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30048" windowHeight="13764"/>
  </bookViews>
  <sheets>
    <sheet name="Sheet1" sheetId="1" r:id="rId1"/>
  </sheets>
  <calcPr calcId="144525"/>
</workbook>
</file>

<file path=xl/sharedStrings.xml><?xml version="1.0" encoding="utf-8"?>
<sst xmlns="http://schemas.openxmlformats.org/spreadsheetml/2006/main" count="46486" uniqueCount="14142">
  <si>
    <t>序号</t>
  </si>
  <si>
    <t>学科</t>
  </si>
  <si>
    <t>Publication Type</t>
  </si>
  <si>
    <t>Authors</t>
  </si>
  <si>
    <t>Book Authors</t>
  </si>
  <si>
    <t>Book Editors</t>
  </si>
  <si>
    <t>Book Group Authors</t>
  </si>
  <si>
    <t>Author Full Names</t>
  </si>
  <si>
    <t>Book Author Full Names</t>
  </si>
  <si>
    <t>Group Authors</t>
  </si>
  <si>
    <t>Article Title</t>
  </si>
  <si>
    <t>Source Title</t>
  </si>
  <si>
    <t>IF(JCR Year 2021)</t>
  </si>
  <si>
    <r>
      <rPr>
        <sz val="10"/>
        <rFont val="Arial"/>
        <charset val="0"/>
      </rPr>
      <t>IF</t>
    </r>
    <r>
      <rPr>
        <sz val="10"/>
        <rFont val="宋体"/>
        <charset val="134"/>
      </rPr>
      <t>大于</t>
    </r>
    <r>
      <rPr>
        <sz val="10"/>
        <rFont val="Arial"/>
        <charset val="0"/>
      </rPr>
      <t>9</t>
    </r>
  </si>
  <si>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</si>
  <si>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</si>
  <si>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</si>
  <si>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</si>
  <si>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</si>
  <si>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</si>
  <si>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</si>
  <si>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</si>
  <si>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</si>
  <si>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</si>
  <si>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</si>
  <si>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</si>
  <si>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单位排名</t>
  </si>
  <si>
    <t>第一作者</t>
  </si>
  <si>
    <t>Addresses</t>
  </si>
  <si>
    <t>KIB角色</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</si>
  <si>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</si>
  <si>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</si>
  <si>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</si>
  <si>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</si>
  <si>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</si>
  <si>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</si>
  <si>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</si>
  <si>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</si>
  <si>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</si>
  <si>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</si>
  <si>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</si>
  <si>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</si>
  <si>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</si>
  <si>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</si>
  <si>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</si>
  <si>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</si>
  <si>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</si>
  <si>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</si>
  <si>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</si>
  <si>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</si>
  <si>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</si>
  <si>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</si>
  <si>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</si>
  <si>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</si>
  <si>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</si>
  <si>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</si>
  <si>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</si>
  <si>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</si>
  <si>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</si>
  <si>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</si>
  <si>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</si>
  <si>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</si>
  <si>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</si>
  <si>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</si>
  <si>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</si>
  <si>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</si>
  <si>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</si>
  <si>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</si>
  <si>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</si>
  <si>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</si>
  <si>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</si>
  <si>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</si>
  <si>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</si>
  <si>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</si>
  <si>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</si>
  <si>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</si>
  <si>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</si>
  <si>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</si>
  <si>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</si>
  <si>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生物学</t>
  </si>
  <si>
    <t>J</t>
  </si>
  <si>
    <t>Ye, Y; Lin, L</t>
  </si>
  <si>
    <t/>
  </si>
  <si>
    <t>Ye, Yvaine; Lin, Liang</t>
  </si>
  <si>
    <t>Where I work</t>
  </si>
  <si>
    <t>NATURE</t>
  </si>
  <si>
    <t>是</t>
  </si>
  <si>
    <t>English</t>
  </si>
  <si>
    <t>Editorial Material</t>
  </si>
  <si>
    <t>Careers; Lab life; Climate change; Biodiversity</t>
  </si>
  <si>
    <t>Plant scientist Liang Lin develops cryopreservation technology to store seeds and plant tissues at liquid-nitrogen temperature to conserve biodiversity. Plant scientist Liang Lin develops cryopreservation technology to store seeds and plant tissues at liquid-nitrogen temperature to conserve biodiversity.</t>
  </si>
  <si>
    <t>Lin, Liang</t>
  </si>
  <si>
    <t>[Lin, Liang] Kunming Inst Bot, Kunming, Yunnan, Peoples R China</t>
  </si>
  <si>
    <t>第一单位</t>
  </si>
  <si>
    <t>Chinese Academy of Sciences; Kunming Institute of Botany, CAS</t>
  </si>
  <si>
    <t>NATURE PORTFOLIO</t>
  </si>
  <si>
    <t>BERLIN</t>
  </si>
  <si>
    <t>HEIDELBERGER PLATZ 3, BERLIN, 14197, GERMANY</t>
  </si>
  <si>
    <t>0028-0836</t>
  </si>
  <si>
    <t>1476-4687</t>
  </si>
  <si>
    <t>Nature</t>
  </si>
  <si>
    <t>APR 21</t>
  </si>
  <si>
    <t>10.1038/d41586-022-01049-8</t>
  </si>
  <si>
    <t>Multidisciplinary Sciences</t>
  </si>
  <si>
    <t>Science Citation Index Expanded (SCI-EXPANDED)</t>
  </si>
  <si>
    <t>Science &amp; Technology - Other Topics</t>
  </si>
  <si>
    <t>0Q5OI</t>
  </si>
  <si>
    <t>Bronze</t>
  </si>
  <si>
    <t>2023-02-01</t>
  </si>
  <si>
    <t>WOS:000784967400014</t>
  </si>
  <si>
    <t>药学</t>
  </si>
  <si>
    <t>Xu, WX; Wu, LJ; Liu, SH; Liu, X; Cao, XL; Zhou, C; Zhang, JY; Fu, Y; Guo, Y; Wu, YR; Tan, QW; Wang, L; Liu, JL; Jiang, LQ; Fan, ZB; Pei, Y; Yu, JY; Cheng, JJ; Zhao, SW; Hao, XJ; Liu, ZJ; Hua, T</t>
  </si>
  <si>
    <t>Xu, Weixiu; Wu, Lijie; Liu, Shenhui; Liu, Xiao; Cao, Xiaoling; Zhou, Cui; Zhang, Jinyi; Fu, You; Guo, Yu; Wu, Yiran; Tan, Qiwen; Wang, Ling; Liu, Junlin; Jiang, Longquan; Fan, Zhongbo; Pei, Yuan; Yu, Jingyi; Cheng, Jianjun; Zhao, Suwen; Hao, Xiaojiang; Liu, Zhi-Jie; Hua, Tian</t>
  </si>
  <si>
    <t>Structural basis for strychnine activation of human bitter taste receptor TAS2R46</t>
  </si>
  <si>
    <t>SCIENCE</t>
  </si>
  <si>
    <t>Article</t>
  </si>
  <si>
    <t>SWEET TASTE; MAMMALIAN SWEET; CELLS; FAMILY; RECOGNITION; GUSTDUCIN; BINDING; GENE</t>
  </si>
  <si>
    <t>Taste sensing is a sophisticated chemosensory process, and bitter taste perception is mediated by type 2 taste receptors (TAS2Rs), or class T G protein-coupled receptors. Understanding the detailed molecular mechanisms behind taste sensation is hindered by a lack of experimental receptor structures. Here, we report the cryo-electron microscopy structures of human TAS2R46 complexed with chimeric mini-G protein gustducin, in both strychnine-bound and apo forms. Several features of TAS2R46 are disclosed, including distinct receptor structures that compare with known GPCRs, a new toggle switch, activation-related motifs, and precoupling with mini-G protein gustducin. Furthermore, the dynamic extracellular and more-static intracellular parts of TAS2R46 suggest possible diverse ligand-recognition and activation processes. This study provides a basis for further exploration of other bitter taste receptors and their therapeutic applications.</t>
  </si>
  <si>
    <t>Xu, Weixiu</t>
  </si>
  <si>
    <t>[Xu, Weixiu; Wu, Lijie; Liu, Shenhui; Liu, Xiao; Cao, Xiaoling; Zhou, Cui; Zhang, Jinyi; Fu, You; Guo, Yu; Wu, Yiran; Tan, Qiwen; Wang, Ling; Liu, Junlin; Jiang, Longquan; Fan, Zhongbo; Pei, Yuan; Cheng, Jianjun; Zhao, Suwen; Liu, Zhi-Jie; Hua, Tian] ShanghaiTech Univ, iHuman Inst, Shanghai 201210, Peoples R China; [Xu, Weixiu; Liu, Shenhui; Liu, Xiao; Cao, Xiaoling; Zhou, Cui; Zhang, Jinyi; Fu, You; Jiang, Longquan; Fan, Zhongbo; Cheng, Jianjun; Zhao, Suwen; Liu, Zhi-Jie; Hua, Tian] ShanghaiTech Univ, Sch Life Sci &amp; Technol, Shanghai 201210, Peoples R China; [Yu, Jingyi] ShanghaiTech Univ, Sch Informat Sci &amp; Technol, Shanghai 201210, Peoples R China; [Hao, Xiaojiang] Chinese Acad Sci, Kunming Inst Bot, State Key Lab Phytochem &amp; Plant Resource West Chi, Kunming 650210, Peoples R China</t>
  </si>
  <si>
    <t>合作单位</t>
  </si>
  <si>
    <t>ShanghaiTech University; ShanghaiTech University; ShanghaiTech University; Chinese Academy of Sciences; Kunming Institute of Botany, CAS</t>
  </si>
  <si>
    <t>Liu, ZJ; Hua, T (通讯作者)，ShanghaiTech Univ, iHuman Inst, Shanghai 201210, Peoples R China.;Liu, ZJ; Hua, T (通讯作者)，ShanghaiTech Univ, Sch Life Sci &amp; Technol, Shanghai 201210, Peoples R China.</t>
  </si>
  <si>
    <t>liuzhj@shanghaitech.edu.cn; huatian@shanghaitech.edu.cn</t>
  </si>
  <si>
    <t>Zhang, Jinyi/0000-0002-0120-7455</t>
  </si>
  <si>
    <t>CAS Strategic Priority Research Program [XDB37030104]; National Science Fund for Distinguished Young Scholars [32022038]; National Natural Science Foundation of China [31930060, 31870744]; National Key Research and Development Program of China [2018YFA0507000]; Shanghai Rising-Star Program [20QA1406500]</t>
  </si>
  <si>
    <t>CAS Strategic Priority Research Program; National Science Fund for Distinguished Young Scholars(National Natural Science Foundation of China (NSFC)National Science Fund for Distinguished Young Scholars); National Natural Science Foundation of China(National Natural Science Foundation of China (NSFC)); National Key Research and Development Program of China; Shanghai Rising-Star Program</t>
  </si>
  <si>
    <t>This work was supported by the CAS Strategic Priority Research Program XDB37030104 (Z.-J.L.), the National Science Fund for Distinguished Young Scholars 32022038 (T.H.), the National Natural Science Foundation of China grants 31930060 (Z.-J.L.) and 31870744 (T.H.), the National Key Research and Development Program of China grant 2018YFA0507000 (T.H.), and the Shanghai Rising-Star Program 20QA1406500 (T.H.).</t>
  </si>
  <si>
    <t>AMER ASSOC ADVANCEMENT SCIENCE</t>
  </si>
  <si>
    <t>WASHINGTON</t>
  </si>
  <si>
    <t>1200 NEW YORK AVE, NW, WASHINGTON, DC 20005 USA</t>
  </si>
  <si>
    <t>0036-8075</t>
  </si>
  <si>
    <t>1095-9203</t>
  </si>
  <si>
    <t>Science</t>
  </si>
  <si>
    <t>SEP 16</t>
  </si>
  <si>
    <t>10.1126/science.abo1633</t>
  </si>
  <si>
    <t>6L1ES</t>
  </si>
  <si>
    <t>WOS:000887933500036</t>
  </si>
  <si>
    <t>Ollerton, J; Ren, ZX</t>
  </si>
  <si>
    <t>Ollerton, Jeff; Ren, Zong-Xin</t>
  </si>
  <si>
    <t>MARINE BIOLOGY Did pollination exist before plants?</t>
  </si>
  <si>
    <t>MUTUALISM</t>
  </si>
  <si>
    <t>Ollerton, Jeff</t>
  </si>
  <si>
    <t>[Ollerton, Jeff; Ren, Zong-Xin] Chinese Acad Sci, Kunming Inst Bot, CAS Key Lab Plant Divers &amp; Biogeog East Asia, Kunming, Yunnan, Peoples R China; [Ollerton, Jeff] Univ Northampton, Fac Arts Sci &amp; Technol, Northampton, England</t>
  </si>
  <si>
    <t>Chinese Academy of Sciences; Kunming Institute of Botany, CAS; University of Northampton</t>
  </si>
  <si>
    <t>Ollerton, J (通讯作者)，Chinese Acad Sci, Kunming Inst Bot, CAS Key Lab Plant Divers &amp; Biogeog East Asia, Kunming, Yunnan, Peoples R China.;Ollerton, J (通讯作者)，Univ Northampton, Fac Arts Sci &amp; Technol, Northampton, England.</t>
  </si>
  <si>
    <t>jeff.ollerton@gmail.com; renzongxin@mail.kib.ac.cn</t>
  </si>
  <si>
    <t>Chinese Academy of Sciences [2021VBA0014, XDB31000000]</t>
  </si>
  <si>
    <t>Chinese Academy of Sciences(Chinese Academy of Sciences)</t>
  </si>
  <si>
    <t>J.O. and Z.-X.R. receive funding from the Chinese Academy of Sciences (2021VBA0014 and XDB31000000).</t>
  </si>
  <si>
    <t>JUL 29</t>
  </si>
  <si>
    <t>10.1126/science.add3198</t>
  </si>
  <si>
    <t>3O2DF</t>
  </si>
  <si>
    <t>WOS:000836647500021</t>
  </si>
  <si>
    <t>Reinke, BA; Cayuela, H; Janzen, FJ; Lemaitre, JF; Gaillard, JM; Lawing, AM; Iverson, JB; Christiansen, DG; Martinez-Solano, I; Sanchez-Montes, G; Gutierrez-Rodriguez, J; Rose, FL; Nelson, N; Keall, S; Crivelli, AJ; Nazirides, T; Grimm-Seyfarth, A; Henle, K; Mori, E; Guiller, G; Homan, R; Olivier, A; Muths, E; Hossack, BR; Bonnet, X; Pilliod, DS; Lettink, M; Whitaker, T; Schmidt, BR; Gardner, MG; Cheylan, M; Poitevin, F; Golubovic, A; Tomovic, L; Arsovski, D; Griffiths, RA; Arntzen, JW; Baron, JP; Le Galliard, JF; Tully, T; Luiselli, L; Capula, M; Rugiero, L; McCaffery, R; Eby, LA; Briggs-Gonzalez, V; Mazzotti, F; Pearson, D; Lambert, BA; Green, DM; Jreidini, N; Angelini, C; Pyke, G; Thirion, JM; Joly, P; Lena, JP; Tucker, AD; Limpus, C; Priol, P; Besnard, A; Bernard, P; Stanford, K; King, R; Garwood, J; Bosch, J; Souza, FL; Bertoluci, J; Famelli, S; Grossenbacher, K; Lenzi, O; Matthews, K; Boitaud, S; Olson, DH; Jessop, TS; Gillespie, GR; Clobert, J; Richard, M; Valenzuela-Sanchez, A; Fellers, GM; Kleeman, PM; Halstead, BJ; Grant, EHC; Byrne, PG; Fretey, T; Le Garff, B; Levionnois, P; Maerz, JC; Pichenot, J; Olgun, K; Uzum, N; Avci, A; Miaud, C; Elmberg, J; Brown, GP; Shine, R; Bendik, NF; O'Donnell, L; Davis, CL; Lannoo, MJ; Stiles, RM; Cox, RM; Reedy, AM; Warner, DA; Bonnaire, E; Grayson, K; Ramos-Targarona, R; Baskale, E; Munoz, D; Measey, J; de Villiers, FA; Selman, W; Ronget, V; Bronikowski, AM; Miller, DAW</t>
  </si>
  <si>
    <t>Reinke, Beth A.; Cayuela, Hugo; Janzen, Fredric J.; Lemaitre, Jean-Francois; Gaillard, Jean-Michel; Lawing, A. Michelle; Iverson, John B.; Christiansen, Ditte G.; Martinez-Solano, Inigo; Sanchez-Montes, Gregorio; Gutierrez-Rodriguez, Jorge; Rose, Francis L.; Nelson, Nicola; Keall, Susan; Crivelli, Alain J.; Nazirides, Theodoros; Grimm-Seyfarth, Annegret; Henle, Klaus; Mori, Emiliano; Guiller, Gaetan; Homan, Rebecca; Olivier, Anthony; Muths, Erin; Hossack, Blake R.; Bonnet, Xavier; Pilliod, David S.; Lettink, Marieke; Whitaker, Tony; Schmidt, Benedikt R.; Gardner, Michael G.; Cheylan, Marc; Poitevin, Francoise; Golubovic, Ana; Tomovic, Ljiljana; Arsovski, Dragan; Griffiths, Richard A.; Arntzen, Jan W.; Baron, Jean-Pierre; Le Galliard, Jean-Francois; Tully, Thomas; Luiselli, Luca; Capula, Massimo; Rugiero, Lorenzo; McCaffery, Rebecca; Eby, Lisa A.; Briggs-Gonzalez, Venetia; Mazzotti, Frank; Pearson, David; Lambert, Brad A.; Green, David M.; Jreidini, Nathalie; Angelini, Claudio; Pyke, Graham; Thirion, Jean-Marc; Joly, Pierre; Lena, Jean-Paul; Tucker, Anton D.; Limpus, Col; Priol, Pauline; Besnard, Aurelien; Bernard, Pauline; Stanford, Kristin; King, Richard; Garwood, Justin; Bosch, Jaime; Souza, Franco L.; Bertoluci, Jaime; Famelli, Shirley; Grossenbacher, Kurt; Lenzi, Omar; Matthews, Kathleen; Boitaud, Sylvain; Olson, Deanna H.; Jessop, Tim S.; Gillespie, Graeme R.; Clobert, Jean; Richard, Murielle; Valenzuela-Sanchez, Andres; Fellers, Gary M.; Kleeman, Patrick M.; Halstead, Brian J.; Grant, Evan H. Campbell; Byrne, Phillip G.; Fretey, Thierry; Le Garff, Bernard; Levionnois, Pauline; Maerz, John C.; Pichenot, Julian; Olgun, Kurtulus; Uzum, Nazan; Avci, Aziz; Miaud, Claude; Elmberg, Johan; Brown, Gregory P.; Shine, Richard; Bendik, Nathan F.; O'Donnell, Lisa; Davis, Courtney L.; Lannoo, Michael J.; Stiles, Rochelle M.; Cox, Robert M.; Reedy, Aaron M.; Warner, Daniel A.; Bonnaire, Eric; Grayson, Kristine; Ramos-Targarona, Roberto; Baskale, Eyup; Munoz, David; Measey, John; de Villiers, F. Andre; Selman, Will; Ronget, Victor; Bronikowski, Anne M.; Miller, David A. W.</t>
  </si>
  <si>
    <t>Diverse aging rates in ectothermic tetrapods provide insights for the evolution of aging and longevity</t>
  </si>
  <si>
    <t>LIFE-HISTORY TRAITS; NATURAL-POPULATIONS; SENESCENCE; MORTALITY; HYPOTHESES; PATTERNS; BIRDS; SPAN; AGE; METABOLISM</t>
  </si>
  <si>
    <t>Comparative studies of mortality in the wild are necessary to understand the evolution of aging; yet, ectothermic tetrapods are underrepresented in this comparative landscape, despite their suitability for testing evolutionary hypotheses. We present a study of aging rates and longevity across wild tetrapod ectotherms, using data from 107 populations (77 species) of nonavian reptiles and amphibians. We test hypotheses of how thermoregulatory mode, environmental temperature, protective phenotypes, and pace of life history contribute to demographic aging. Controlling for phylogeny and body size, ectotherms display a higher diversity of aging rates compared with endotherms and include phylogenetically widespread evidence of negligible aging. Protective phenotypes and life-history strategies further explain macroevolutionary patterns of aging. Analyzing ectothermic tetrapods in a comparative context enhances our understanding of the evolution of aging.</t>
  </si>
  <si>
    <t>Reinke, Beth A.</t>
  </si>
  <si>
    <t>[Reinke, Beth A.] NE Illinois Univ, Dept Biol, Chicago, IL 60625 USA; [Reinke, Beth A.; Munoz, David; Miller, David A. W.] Penn State Univ, Dept Ecosyst Sci &amp; Management, State Coll, PA 16801 USA; [Cayuela, Hugo] Univ Lausanne, Dept Ecol &amp; Evolut, Lausanne, Switzerland; [Janzen, Fredric J.; Bronikowski, Anne M.] Iowa State Univ, Dept Ecol Evolut &amp; Organismal Biol, Ames, IA 50011 USA; [Janzen, Fredric J.; Bronikowski, Anne M.] Michigan State Univ, WK Kellogg Biol Stn, Hickory Corners, MI 49060 USA; [Lemaitre, Jean-Francois; Gaillard, Jean-Michel] Univ Lyon 1, Lab Biometrie &amp; Biol Evolut, Villeurbanne, France; [Lawing, A. Michelle] Texas A&amp;M Univ, Dept Ecol &amp; Conservat Biol, College Stn, TX USA; [Iverson, John B.] Earlham Coll, Dept Biol, Richmond, IN 47374 USA; [Christiansen, Ditte G.; Schmidt, Benedikt R.; Lenzi, Omar] Univ Zurich, Dept Evolutionary Biol &amp; Environm Studies, Zurich, Switzerland; [Martinez-Solano, Inigo; Sanchez-Montes, Gregorio; Gutierrez-Rodriguez, Jorge; Bosch, Jaime] CSIC, Dept Biodiversidad &amp; Biol Evolut, Museo Nacl Ciencias Nat, Madrid, Spain; [Gutierrez-Rodriguez, Jorge] Estn Biol Donana EBD CSIC, Dept Integrat Ecol, Seville, Spain; [Rose, Francis L.] Texas Tech Univ, Dept Biol Sci, Lubbock, TX 79409 USA; [Nelson, Nicola; Keall, Susan] Victoria Univ Wellington, Sch Biol Sci, Wellington, New Zealand; [Crivelli, Alain J.; Olivier, Anthony] Res Inst Conservat Mediterranean Wetlands, Arles, France; [Grimm-Seyfarth, Annegret; Henle, Klaus] UFZ Helmholtz Ctr Environm Res, Dept Conservat Biol &amp; Social Ecol Syst, Leipzig, Germany; [Mori, Emiliano] CNR, Ist Ric Ecosistemi Terr, Sesto Fiorentino, Italy; [Guiller, Gaetan] Grand Momesson, Bouvron, France; [Homan, Rebecca] Denison Univ, Biol Dept, Granville, OH 43023 USA; [Muths, Erin] US Geol Survey, Ft Collins Sci Ctr, Ft Collins, CO USA; [Hossack, Blake R.] Univ Montana, Northern Rocky Mt Sci Ctr, Wildlife Biol Program, US Geol Survey, Missoula, MT USA; [Bonnet, Xavier] Univ La Rochelle, Ctr Etud Biol Chize, CNRS UMR 7372, Villiers En Bois, France; [Pilliod, David S.] US Geol Survey, Forest &amp; Rangeland Ecosyst Sci Ctr, Boise, ID USA; [Lettink, Marieke] Fauna Finders, Christchurch, New Zealand; [Whitaker, Tony] Orinoco, RD1, Motueka, New Zealand; [Schmidt, Benedikt R.] Info Fauna Karch, Neuchatel, Switzerland; [Gardner, Michael G.] Flinders Univ S Australia, Coll Sci &amp; Engn, Adelaide, SA, Australia; [Gardner, Michael G.] South Australian Museum, Evolutionary Biol Unit, Adelaide, SA, Australia; [Cheylan, Marc; Poitevin, Francoise; Miaud, Claude] Univ Montpellier 3, Univ Montpellier, PSL Res Univ, Montpellier, France; [Golubovic, Ana; Tomovic, Ljiljana] Univ Belgrade, Fac Biol, Inst Zool, Belgrade, Serbia; [Arsovski, Dragan] Macedonian Ecol Soc, Skopje, North Macedonia; [Griffiths, Richard A.] Univ Kent, Sch Anthropol &amp; Conservat, Durrell Inst Conservat &amp; Ecol, Canterbury, Kent, England; [Arntzen, Jan W.] Nat Biodivers Ctr, Leiden, Netherlands; [Baron, Jean-Pierre; Le Galliard, Jean-Francois] PSL Univ, Ecole Normale Super, Dept Biol, CNRS,UMS 3194,Ctr Rech Ecol Expt &amp; Predict CEREEP, St Pierre Les Nemours, France; [Le Galliard, Jean-Francois; Tully, Thomas] Sorbonne Univ, Inst Ecol &amp; Environm Sci, iEES Paris, CNRS,INRA,UPEC,IRD, Paris, France; [Luiselli, Luca; Rugiero, Lorenzo] Inst Dev Ecol Conservat &amp; Cooperat, Rome, Italy; [Luiselli, Luca] Rivers State Univ Sci &amp; Technol, Dept Anim &amp; Appl Biol, Port Harcourt, Nigeria; [Luiselli, Luca] Univ Lome, Dept Zool, Lome, Togo; [Capula, Massimo] Museo Civ Zool, Rome, Italy; [McCaffery, Rebecca] US Geol Survey, Forest &amp; Rangeland Ecosyst Sci Ctr, Port Angeles, WA USA; [Eby, Lisa A.] Univ Montana, Wildlife Biol Program, Missoula, MT 59812 USA; [Briggs-Gonzalez, Venetia; Mazzotti, Frank] Univ Florida, Ft Lauderdale Res &amp; Educ Ctr, Dept Wildlife Ecol &amp; Conservat, Ft Lauderdale, FL 33314 USA; [Pearson, David] Dept Biodivers Conservat &amp; Attract, Wanneroo, WA, Australia; [Lambert, Brad A.] Colorado State Univ, Colorado Nat Heritage Program, Ft Collins, CO 80523 USA; [Green, David M.; Jreidini, Nathalie] McGill Univ, Redpath Museum, Montreal, PQ, Canada; [Angelini, Claudio] Salamandrina Sezzese Search Soc, Sezze, Italy; [Pyke, Graham] Chinese Acad Sci, Kunming Inst Bot, Key Lab Plant Divers &amp; Biogeog East Asia, Kunming, Yunnan, Peoples R China; [Pyke, Graham; Brown, Gregory P.; Shine, Richard] Macquarie Univ, Dept Biol Sci, Sydney, NSW, Australia; [Thirion, Jean-Marc] Objectifs Biodiversite, Pont Labbe Darnoult, France; [Joly, Pierre; Lena, Jean-Paul] Univ Lyon, Univ Claude Bernard Lyon 1, UMR5023 LEHNA, ENTPE,CNRS, Villeurbanne, France; [Tucker, Anton D.] Pk &amp; Wildlife Serv Marine Sci Program, Dept Biodivers Conservat &amp; Attract, Kensington, WA, Australia; [Limpus, Col] Ecosci Precinct, Queensland Dept Environm &amp; Sci, Threatened Species Operat, Dutton Pk, Qld, Australia; [Priol, Pauline] Statipop, Sci Consulting, Ganges, France; [Besnard, Aurelien] PSL Res Univ, INRA UMR 5175 CEFE, CNRS, EPHE,UM,SupAgro,IRD,INRA,UMR 5175 CEFE, Montpellier, France; [Bernard, Pauline] Conservatoire Espaces Nat Occitanie, Montpellier, France; [Stanford, Kristin] Ohio State Univ, Ohio Sea Grant &amp; Stone Lab, Put In Bay, OH USA; [King, Richard] Northern Illinois Univ, Dept Biol Sci, De Kalb, IL 60115 USA; [Garwood, Justin] Calif Dept Fish &amp; Wildlife, Arcata, CA USA; [Bosch, Jaime] Univ Oviedo Principal Asturias, IMIB Biodivers Res Unit, Mieres, Spain; [Bosch, Jaime] Sierra de Guadarrama Natl Pk, Tent Invest Seguimiento &amp; Evaluat, Rascafria, Spain; [Souza, Franco L.] Univ Fed Mato Grosso do Sul, Inst Biociencias, Campo Grande, MS, Brazil; [Bertoluci, Jaime] Univ Sao Paulo, Dept Ciencias Biol, Escola Super Agr Luiz de Queiroz, Sao Paulo, Brazil; [Famelli, Shirley] RMIT Univ, Sch Sci, Melbourne, Vic, Australia; [Famelli, Shirley] Univ Highlands &amp; Isl, North Highland Coll, Environm Res Inst, Thurso, Scotland; [Grossenbacher, Kurt] Nat Hist Museum, Abt Wirbeltiere, Bern, Switzerland; [Matthews, Kathleen] USDA Forest Serv, Pacific Southwest Res Stn, Albany, CA USA; [Boitaud, Sylvain] Lab Ecol Hydrosyst Mes Nat &amp; Anthropises, Villeurbanne, France; [Olson, Deanna H.] US Forest Serv, USDA, Pacific Northwest Res Stn, Corvallis, OR USA; [Jessop, Tim S.] Deakin Univ, Ctr Integrat Ecol, Geelong, Vic, Australia; [Gillespie, Graeme R.] Dept Environm &amp; Nat Resources, Palmerston, NT, Australia; [Clobert, Jean; Richard, Murielle] CNRS UMR532, Stn Ecol Theor &amp; Expt Moulis, St Girons, France; [Valenzuela-Sanchez, Andres] Univ Austral Chile, Fac Ciencias Forestales &amp; Recursos Nat, Inst Conservat Biodiversidad &amp; Terr, Valdivia, Chile; [Valenzuela-Sanchez, Andres] ONG Ranita de Darwin, Valdivia, Chile; [Fellers, Gary M.; Kleeman, Patrick M.] US Geol Survey, Point Reyes Natl Seashore, Western Ecol Res Ctr, Point Reyes Stn, CA USA; [Halstead, Brian J.] Western Ecol Res Ctr, Dixon Field Stn, US Geol Survey, Dixon, CA USA; [Grant, Evan H. Campbell] US Geol Survey, Patuxent Wildlife Res Ctr, Eastern Ecol Res Ctr, SO Conte Anadromous Fish Res Ctr, Turners Falls, MA USA; [Byrne, Phillip G.] Univ Wollongong, Sch Earth Atmospher &amp; Life Sci, Wollongong, NSW, Australia; [Fretey, Thierry] Assoc Racine, St Maugan, France; [Le Garff, Bernard] Univ Rennes, Musee Beaulieu, Rennes, France; [Levionnois, Pauline] Off Natl Forets, Direct Terr Grand Est, Nancy, France; [Maerz, John C.] Univ Georgia, Warnell Sch Forestry &amp; Nat Resources, Athens, GA 30602 USA; [Pichenot, Julian] Univ Reims, Ctr Rech &amp; Format Ecoethol, URCA CERFE, Boult Aux Bois, France; [Olgun, Kurtulus; Uzum, Nazan; Avci, Aziz] Adnan Menderes Univ, Fac Sci &amp; Arts, Dept Biol, Aydin, Turkey; [Elmberg, Johan] Kristianstad Univ, Dept Environm Sci &amp; Biosci, Kristianstad, Sweden; [Bendik, Nathan F.] City Austin, Watershed Protect Dept, Austin, TX USA; [O'Donnell, Lisa] City Austin, Balcones Canyonlands Preserve, Austin, TX USA; [Davis, Courtney L.] Cornell Univ, Cornell Lab Ornithol, Ithaca, NY USA; [Lannoo, Michael J.] Indiana Univ Sch Med, Terre Haute, IN USA; [Stiles, Rochelle M.] San Francisco Zool Soc, San Francisco, CA USA; [Cox, Robert M.; Reedy, Aaron M.] Univ Virginia, Dept Biol, Charlottesville, VA USA; [Reedy, Aaron M.; Warner, Daniel A.] Auburn Univ, Dept Biol Sci, Auburn, AL 36849 USA; [Bonnaire, Eric] Agence Meurthe &amp; Moselle, Off Natl Forets, Nancy, France; [Grayson, Kristine] Univ Richmond, Dept Biol, Richmond, VA USA; [Ramos-Targarona, Roberto] Minist Ciencias Tecnol &amp; Medio Ambiente, Cienaga De Zapata, Cuba; [Baskale, Eyup] Pamukkale Univ, Fac Sci &amp; Arts, Dept Biol, Denizli, Turkey; [Measey, John; de Villiers, F. Andre] Stellenbosch Univ, Ctr Invas Biol, Dept Bot &amp; Zool, Stellenbosch, South Africa; [Selman, Will] Millsaps Coll, Dept Biol, Jackson, MS 39210 USA; [Ronget, Victor] Univ Paris Diderot, Unite Ecoanthropol EA, CNRS, Museum Natl Hist Nat, Paris, France</t>
  </si>
  <si>
    <t>Pennsylvania Commonwealth System of Higher Education (PCSHE); Pennsylvania State University; University of Lausanne; Iowa State University; Michigan State University; UDICE-French Research Universities; Universite Claude Bernard Lyon 1; VetAgro Sup; Texas A&amp;M University System; Texas A&amp;M University College Station; Earlham College; University of Zurich; Consejo Superior de Investigaciones Cientificas (CSIC); CSIC - Museo Nacional de Ciencias Naturales (MNCN); Consejo Superior de Investigaciones Cientificas (CSIC); CSIC - Estacion Biologica de Donana (EBD); Texas Tech University System; Texas Tech University; Victoria University Wellington; Helmholtz Association; Helmholtz Center for Environmental Research (UFZ); Consiglio Nazionale delle Ricerche (CNR); Denison University; United States Department of the Interior; United States Geological Survey; United States Department of the Interior; United States Geological Survey; University of Montana System; University of Montana; Centre National de la Recherche Scientifique (CNRS); CNRS - Institute of Ecology &amp; Environment (INEE); La Rochelle Universite; United States Department of the Interior; United States Geological Survey; Flinders University South Australia; South Australian Museum; UDICE-French Research Universities; PSL Research University Paris; Universite de Montpellier; Universite Paul-Valery; University of Belgrade; University of Kent; Naturalis Biodiversity Center; Centre National de la Recherche Scientifique (CNRS); CNRS - Institute of Ecology &amp; Environment (INEE); Centre National de la Recherche Scientifique (CNRS); CNRS - Institute of Ecology &amp; Environment (INEE); INRAE; Institut de Recherche pour le Developpement (IRD); UDICE-French Research Universities; Sorbonne Universite; Universite Paris Cite; Universite Paris-Est-Creteil-Val-de-Marne (UPEC); United States Department of the Interior; United States Geological Survey; University of Montana System; University of Montana; State University System of Florida; University of Florida; Colorado State University; McGill University; Chinese Academy of Sciences; Kunming Institute of Botany, CAS; Macquarie University; Centre National de la Recherche Scientifique (CNRS); CNRS - Institute of Ecology &amp; Environment (INEE); UDICE-French Research Universities; Universite Claude Bernard Lyon 1; Centre National de la Recherche Scientifique (CNRS); CNRS - Institute of Ecology &amp; Environment (INEE); INRAE; Institut Agro; Montpellier SupAgro; UDICE-French Research Universities; PSL Research University Paris; CIRAD; Institut de Recherche pour le Developpement (IRD); Universite Paul-Valery; Universite de Montpellier; University System of Ohio; Ohio State University; Northern Illinois University; Universidade Federal de Mato Grosso do Sul; Universidade de Sao Paulo; Royal Melbourne Institute of Technology (RMIT); UHI Millennium Institute; United States Department of Agriculture (USDA); United States Forest Service; United States Department of Agriculture (USDA); United States Forest Service; Deakin University; Universidad Austral de Chile; United States Department of the Interior; United States Geological Survey; United States Department of the Interior; United States Geological Survey; United States Department of the Interior; United States Geological Survey; University of Wollongong; Universite de Rennes; University System of Georgia; University of Georgia; Universite de Reims Champagne-Ardenne; Adnan Menderes University; Kristianstad University; Cornell University; Indiana University System; University of Virginia; Auburn University System; Auburn University; University of Richmond; Pamukkale University; Stellenbosch University; Millsaps College; Centre National de la Recherche Scientifique (CNRS); Museum National d'Histoire Naturelle (MNHN); UDICE-French Research Universities; Universite Paris Cite</t>
  </si>
  <si>
    <t>Reinke, BA (通讯作者)，NE Illinois Univ, Dept Biol, Chicago, IL 60625 USA.;Reinke, BA; Miller, DAW (通讯作者)，Penn State Univ, Dept Ecosyst Sci &amp; Management, State Coll, PA 16801 USA.;Bronikowski, AM (通讯作者)，Iowa State Univ, Dept Ecol Evolut &amp; Organismal Biol, Ames, IA 50011 USA.;Bronikowski, AM (通讯作者)，Michigan State Univ, WK Kellogg Biol Stn, Hickory Corners, MI 49060 USA.</t>
  </si>
  <si>
    <t>e-reinke@neiu.edu; abroniko@msu.edu; dxm84@psu.edu</t>
  </si>
  <si>
    <t>Measey, John/F-2028-2010; Schmidt, Benedikt R./B-8491-2008; Gutiérrez-Rodríguez, Jorge/O-5312-2019; Grimm-Seyfarth, Annegret/I-9243-2019; Lawing, Michelle/F-7453-2019; Martinez-Solano, Inigo/C-7179-2008; Brown, Gregory P./F-9897-2011; Sanchez-Montes, Gregorio/G-4964-2018; Bertoluci, Jaime/C-2824-2012</t>
  </si>
  <si>
    <t>Measey, John/0000-0001-9939-7615; Schmidt, Benedikt R./0000-0002-4023-1001; Gutiérrez-Rodríguez, Jorge/0000-0003-3968-5257; Grimm-Seyfarth, Annegret/0000-0003-0577-7508; Lawing, Michelle/0000-0003-4041-6177; Pauline, PRIOL/0000-0002-3120-2778; Janzen, Fredric/0000-0002-5919-196X; Lenzi, Omar/0000-0003-1938-6786; Souza, Franco Leandro/0000-0002-7041-4036; Reinke, Beth/0000-0002-9620-001X; Kleeman, Patrick/0000-0001-6567-3239; Martinez-Solano, Inigo/0000-0002-2260-226X; Brown, Gregory P./0000-0002-2924-9040; Sanchez-Montes, Gregorio/0000-0001-8100-1061; Bosch, Jaime/0000-0002-0099-7934; Davis, Courtney/0000-0002-6467-4288; Bertoluci, Jaime/0000-0002-9959-9740; cheylan, marc/0000-0001-7594-571X</t>
  </si>
  <si>
    <t>National Institutes of Health [R01AG049416]; Swiss National Science Foundation [31003A_182265]</t>
  </si>
  <si>
    <t>National Institutes of Health(United States Department of Health &amp; Human ServicesNational Institutes of Health (NIH) - USA); Swiss National Science Foundation(Swiss National Science Foundation (SNSF)European Commission)</t>
  </si>
  <si>
    <t>This study was supported by National Institutes of Health grant R01AG049416 (to A.M.B., F.J.J., and D.A.W.M.). H.C. was supported as a postdoctoral researcher by the Swiss National Science Foundation (grant no. 31003A_182265).</t>
  </si>
  <si>
    <t>JUN 24</t>
  </si>
  <si>
    <t>SI</t>
  </si>
  <si>
    <t>+</t>
  </si>
  <si>
    <t>10.1126/science.abm0151</t>
  </si>
  <si>
    <t>2O8FR</t>
  </si>
  <si>
    <t>Green Published, Green Accepted</t>
  </si>
  <si>
    <t>WOS:000819288900043</t>
  </si>
  <si>
    <t>Santangelo, JS; Ness, RW; Cohan, B; Fitzpatrick, CR; Innes, SG; Koch, S; Miles, LS; Munim, S; Peres-Neto, PR; Prashad, C; Tong, AT; Aguirre, WE; Akinwole, PO; Alberti, M; Alvarez, J; Anderson, JT; Anderson, JJ; Ando, Y; Andrew, NR; Angeoletto, F; Anstett, DN; Anstett, J; Aoki-Goncalves, F; Arietta, AZA; Arroyo, MTK; Austen, EJ; Baena-Diaz, F; Barker, CA; Baylis, HA; Beliz, JM; Benitez-Mora, A; Bickford, D; Biedebach, G; Blackburn, GS; Boehm, MMA; Bonser, SP; Bonte, D; Bragger, JR; Branquinho, C; Brans, KI; Bresciano, JC; Brom, PD; Bucharova, A; Burt, B; Cahill, JF; Campbell, KD; Carlen, EJ; Carmona, D; Castellanos, MC; Centenaro, G; Chalen, I; Chaves, JA; Chavez-Pesqueira, M; Chen, XY; Chilton, AM; Chomiak, KM; Cisneros-Heredia, DF; Cisse, IK; Classen, AT; Comerford, MS; Fradinger, CC; Corney, H; Crawford, AJ; Crawford, KM; Dahirel, M; David, S; De Haan, R; Deacon, NJ; Dean, C; Del-Val, E; Deligiannis, EK; Denney, D; Dettlaff, MA; DiLeo, MF; Ding, YY; Dominguez-Lopez, ME; Dominoni, DM; Draud, SL; Dyson, K; Ellers, J; Espinosa, CI; Essi, L; Falahati-Anbaran, M; Falcao, JCF; Fargo, HT; Fellowes, MDE; Fitzpatrick, RM; Flaherty, LE; Flood, PJ; Flores, MF; Fornoni, J; Foster, AG; Frost, CJ; Fuentes, TL; Fulkerson, JR; Gagnon, E; Garbsch, F; Garroway, CJ; Gerstein, AC; Giasson, MM; Girdler, EB; Gkelis, S; Godsoe, W; Golemiec, AM; Golemiec, M; Gonzalez-Lagos, C; Gorton, AJ; Gotanda, KM; Granath, G; Greiner, S; Griffiths, JS; Grilo, F; Gundel, PE; Hamilton, B; Hardin, JM; He, T; Heard, SB; Henriques, AF; Hernandez-Poveda, M; Hetherington-Rauth, MC; Hill, SJ; Hochuli, DF; Hodgins, KA; Hood, GR; Hopkins, GR; Hovanes, KA; Howard, AR; Hubbard, SC; Ibarra-Cerdena, CN; Iniguez-Armijos, C; Jara-Arancio, P; Jarrett, BJM; Jeannot, M; Jimenez-Lobato, V; Johnson, M; Johnson, O; Johnson, PP; Johnson, R; Josephson, MP; Jung, MC; Just, MG; Kahilainen, A; Kailing, OS; Karinho-Betancourt, E; Karousou, R; Kirn, LA; Kirschbaum, A; Laine, AL; LaMontagne, JM; Lampei, C; Lara, C; Larson, EL; Lazaro-Lobo, A; Le, JH; Leandro, DS; Lee, C; Lei, YT; Leon, CA; Tamara, MEL; Levesque, DC; Liao, WJ; Ljubotina, M; Locke, H; Lockett, MT; Longo, TC; Lundholm, JT; MacGillavry, T; Mackin, CR; Mahmoud, AR; Manju, IA; Marien, J; Martinez, DN; Martinez-Bartolome, M; Meineke, EK; Mendoza-Arroyo, W; Merritt, TJS; Merritt, LEL; Migiani, G; Minor, ES; Mitchell, N; Bazargani, MM; Moles, AT; Monk, JD; Moore, CM; Morales-Morales, PA; Moyers, BT; Munoz-Rojas, M; Munshi-South, J; Murphy, SM; Murua, MM; Neila, M; Nikolaidis, O; Njunji, I; Nosko, P; Nunez-Farfan, J; Ohgushi, T; Olsen, KM; Opedal, OH; Ornelas, C; Parachnowitsch, AL; Paratore, AS; Parody-Merino, AM; Paule, J; Paulo, OS; Pena, JC; Pfeiffer, VW; Pinho, P; Piot, A; Porth, IM; Poulos, N; Puentes, A; Qu, J; Quintero-Vallejo, E; Raciti, SM; Raeymaekers, JAM; Raveala, KM; Rennison, DJ; Ribeiro, MC; Richardson, JL; Rivas-Torres, G; Rivera, BJ; Roddy, AB; Rodriguez-Munoz, E; Roman, JR; Rossi, LS; Rowntree, JK; Ryan, TJ; Salinas, S; Sanders, NJ; Santiago-Rosario, LY; Savage, AM; Scheepens, JF; Schilthuizen, M; Schneider, AC; Scholier, T; Scott, JL; Shaheed, SA; Shefferson, RP; Shepard, CA; Shykoff, JA; Silveira, G; Smith, AD; Solis-Gabriel, L; Soro, A; Spellman, KV; Whitney, KS; Starke-Ottich, I; Stephan, JG; Stephens, JD; Szulc, J; Szulkin, M; Tack, AJM; Tamburrino, I; Tate, TD; Tergemina, E; Theodorou, P; Thompson, KA; Threlfall, CG; Tinghitella, RM; Toledo-Chelala, L; Tong, X; Uroy, L; Utsumi, S; Vandegehuchte, ML; VanWallendael, A; Vidal, PM; Wadgymar, SM; Wang, AY; Wang, N; Warbrick, ML; Whitney, KD; Wiesmeier, M; Wiles, JT; Wu, JQ; Xirocostas, ZA; Yan, ZG; Yao, JH; Yoder, JB; Yoshida, O; Zhang, JX; Zhao, ZG; Ziter, CD; Zuellig, MP; Zufall, RA; Zurita, JE; Zytynska, SE; Johnson, MTJ</t>
  </si>
  <si>
    <t>Santangelo, James S.; Ness, Rob W.; Cohan, Beata; Fitzpatrick, Connor R.; Innes, Simon G.; Koch, Sophie; Miles, Lindsay S.; Munim, Samreen; Peres-Neto, Pedro R.; Prashad, Cindy; Tong, Alex T.; Aguirre, Windsor E.; Akinwole, Philips O.; Alberti, Marina; Alvarez, Jackie; Anderson, Jill T.; Anderson, Joseph J.; Ando, Yoshino; Andrew, Nigel R.; Angeoletto, Fabio; Anstett, Daniel N.; Anstett, Julia; Aoki-Goncalves, Felipe; Arietta, A. Z. Andis; Arroyo, Mary T. K.; Austen, Emily J.; Baena-Diaz, Fernanda; Barker, Cory A.; Baylis, Howard A.; Beliz, Julia M.; Benitez-Mora, Alfonso; Bickford, David; Biedebach, Gabriela; Blackburn, Gwylim S.; Boehm, Mannfred M. A.; Bonser, Stephen P.; Bonte, Dries; Bragger, Jesse R.; Branquinho, Cristina; Brans, Kristien, I; Bresciano, Jorge C.; Brom, Peta D.; Bucharova, Anna; Burt, Briana; Cahill, James F.; Campbell, Katelyn D.; Carlen, Elizabeth J.; Carmona, Diego; Castellanos, Maria Clara; Centenaro, Giada; Chalen, Izan; Chaves, Jaime A.; Chavez-Pesqueira, Mariana; Chen, Xiao-Yong; Chilton, Angela M.; Chomiak, Kristina M.; Cisneros-Heredia, Diego F.; Cisse, Ibrahim K.; Classen, Aimee T.; Comerford, Mattheau S.; Fradinger, Camila Cordoba; Corney, Hannah; Crawford, Andrew J.; Crawford, Kerri M.; Dahirel, Maxime; David, Santiago; De Haan, Robert; Deacon, Nicholas J.; Dean, Clare; Del-Val, Ek; Deligiannis, Eleftherios K.; Denney, Derek; Dettlaff, Margarete A.; DiLeo, Michelle F.; Ding, Yuan-Yuan; Dominguez-Lopez, Moises E.; Dominoni, Davide M.; Draud, Savannah L.; Dyson, Karen; Ellers, Jacintha; Espinosa, Carlos, I; Essi, Liliana; Falahati-Anbaran, Mohsen; Falcao, Jessica C. F.; Fargo, Hayden T.; Fellowes, Mark D. E.; Fitzpatrick, Raina M.; Flaherty, Leah E.; Flood, Padraic J.; Flores, Maria F.; Fornoni, Juan; Foster, Amy G.; Frost, Christopher J.; Fuentes, Tracy L.; Fulkerson, Justin R.; Gagnon, Edeline; Garbsch, Frauke; Garroway, Colin J.; Gerstein, Aleeza C.; Giasson, Mischa M.; Girdler, E. Binney; Gkelis, Spyros; Godsoe, William; Golemiec, Anneke M.; Golemiec, Mireille; Gonzalez-Lagos, Cesar; Gorton, Amanda J.; Gotanda, Kiyoko M.; Granath, Gustaf; Greiner, Stephan; Griffiths, Joanna S.; Grilo, Filipa; Gundel, Pedro E.; Hamilton, Benjamin; Hardin, Joyce M.; He, Tianhua; Heard, Stephen B.; Henriques, Andre F.; Hernandez-Poveda, Melissa; Hetherington-Rauth, Molly C.; Hill, Sarah J.; Hochuli, Dieter F.; Hodgins, Kathryn A.; Hood, Glen R.; Hopkins, Gareth R.; Hovanes, Katherine A.; Howard, Ava R.; Hubbard, Sierra C.; Ibarra-Cerdena, Carlos N.; Iniguez-Armijos, Carlos; Jara-Arancio, Paola; Jarrett, Benjamin J. M.; Jeannot, Manon; Jimenez-Lobato, Vania; Johnson, Mae; Johnson, Oscar; Johnson, Philip P.; Johnson, Reagan; Josephson, Matthew P.; Jung, Meen Chel; Just, Michael G.; Kahilainen, Aapo; Kailing, Otto S.; Karinho-Betancourt, Eunice; Karousou, Regina; Kirn, Lauren A.; Kirschbaum, Anna; Laine, Anna-Liisa; LaMontagne, Jalene M.; Lampei, Christian; Lara, Carlos; Larson, Erica L.; Lazaro-Lobo, Adrian; Le, Jennifer H.; Leandro, Deleon S.; Lee, Christopher; Lei, Yunting; Leon, Carolina A.; Tamara, Manuel E. Lequerica; Levesque, Danica C.; Liao, Wan-Jin; Ljubotina, Megan; Locke, Hannah; Lockett, Martin T.; Longo, Tiffany C.; Lundholm, Jeremy T.; MacGillavry, Thomas; Mackin, Christopher R.; Mahmoud, Alex R.; Manju, Isaac A.; Marien, Janine; Martinez, D. Nayeli; Martinez-Bartolome, Marina; Meineke, Emily K.; Mendoza-Arroyo, Wendy; Merritt, Thomas J. S.; Merritt, Lila Elizabeth L.; Migiani, Giuditta; Minor, Emily S.; Mitchell, Nora; Bazargani, Mitra Mohammadi; Moles, Angela T.; Monk, Julia D.; Moore, Christopher M.; Morales-Morales, Paula A.; Moyers, Brook T.; Munoz-Rojas, Miriam; Munshi-South, Jason; Murphy, Shannon M.; Murua, Maureen M.; Neila, Melisa; Nikolaidis, Ourania; Njunji, Iva; Nosko, Peter; Nunez-Farfan, Juan; Ohgushi, Takayuki; Olsen, Kenneth M.; Opedal, Oystein H.; Ornelas, Cristina; Parachnowitsch, Amy L.; Paratore, Aaron S.; Parody-Merino, Angela M.; Paule, Juraj; Paulo, Octavio S.; Pena, Joao Carlos; Pfeiffer, Vera W.; Pinho, Pedro; Piot, Anthony; Porth, Ilga M.; Poulos, Nicholas; Puentes, Adriana; Qu, Jiao; Quintero-Vallejo, Estela; Raciti, Steve M.; Raeymaekers, Joost A. M.; Raveala, Krista M.; Rennison, Diana J.; Ribeiro, Milton C.; Richardson, Jonathan L.; Rivas-Torres, Gonzalo; Rivera, Benjamin J.; Roddy, Adam B.; Rodriguez-Munoz, Erika; Roman, Jose Raul; Rossi, Laura S.; Rowntree, Jennifer K.; Ryan, Travis J.; Salinas, Santiago; Sanders, Nathan J.; Santiago-Rosario, Luis Y.; Savage, Amy M.; Scheepens, J. F.; Schilthuizen, Menno; Schneider, Adam C.; Scholier, Tiffany; Scott, Jared L.; Shaheed, Summer A.; Shefferson, Richard P.; Shepard, Caralee A.; Shykoff, Jacqui A.; Silveira, Georgianna; Smith, Alexis D.; Solis-Gabriel, Lizet; Soro, Antonella; Spellman, Katie, V; Whitney, Kaitlin Stack; Starke-Ottich, Indra; Stephan, Jorg G.; Stephens, Jessica D.; Szulc, Justyna; Szulkin, Marta; Tack, Ayco J. M.; Tamburrino, Italo; Tate, Tayler D.; Tergemina, Emmanuel; Theodorou, Panagiotis; Thompson, Ken A.; Threlfall, Caragh G.; Tinghitella, Robin M.; Toledo-Chelala, Lilibeth; Tong, Xin; Uroy, Lea; Utsumi, Shunsuke; Vandegehuchte, Martijn L.; VanWallendael, Acer; Vidal, Paula M.; Wadgymar, Susana M.; Wang, Ai-Ying; Wang, Nian; Warbrick, Montana L.; Whitney, Kenneth D.; Wiesmeier, Miriam; Wiles, J. Tristian; Wu, Jianqiang; Xirocostas, Zoe A.; Yan, Zhaogui; Yao, Jiahe; Yoder, Jeremy B.; Yoshida, Owen; Zhang, Jingxiong; Zhao, Zhigang; Ziter, Carly D.; Zuellig, Matthew P.; Zufall, Rebecca A.; Zurita, Juan E.; Zytynska, Sharon E.; Johnson, Marc T. J.</t>
  </si>
  <si>
    <t>Global urban environmental change drives adaptation in white clover</t>
  </si>
  <si>
    <t>SURFACE TEMPERATURE RETRIEVAL; CYANOGENESIS CLINES; HYDROGEN-CYANIDE; GENE FLOW; F-ST; EVOLUTION; POLYMORPHISM; EMISSIVITY; DISCOVERY; SELECTION</t>
  </si>
  <si>
    <t>Urbanization transforms environments in ways that alter biological evolution. We examined whether urban environmental change drives parallel evolution by sampling 110,019 white clover plants from 6169 populations in 160 cities globally. Plants were assayed for a Mendelian antiherbivore defense that also affects tolerance to abiotic stressors. Urban-rural gradients were associated with the evolution of clines in defense in 47% of cities throughout the world. Variation in the strength of clines was explained by environmental changes in drought stress and vegetation cover that varied among cities. Sequencing 2074 genomes from 26 cities revealed that the evolution of urban-rural dines was best explained by adaptive evolution, but the degree of parallel adaptation varied among cities. Our results demonstrate that urbanization leads to adaptation at a global scale.</t>
  </si>
  <si>
    <t>Santangelo, James S.</t>
  </si>
  <si>
    <t>[Santangelo, James S.; Ness, Rob W.; Cohan, Beata; Innes, Simon G.; Koch, Sophie; Miles, Lindsay S.; Munim, Samreen; Prashad, Cindy; Tong, Alex T.; Fargo, Hayden T.; Golemiec, Mireille; Hetherington-Rauth, Molly C.; Schneider, Adam C.; Johnson, Marc T. J.] Univ Toronto Mississauga, Dept Biol, Mississauga, ON, Canada; [Santangelo, James S.; Ness, Rob W.; Miles, Lindsay S.; Johnson, Marc T. J.] Univ Toronto Mississauga, Ctr Urban Environm, Mississauga, ON, Canada; [Fitzpatrick, Connor R.] Univ N Carolina, Dept Biol, Chapel Hill, NC USA; [Innes, Simon G.] Univ Louisiana, Dept Biol, Lafayette, LA USA; [Munim, Samreen; Golemiec, Anneke M.] Queens Univ, Dept Biol, Kingston, ON, Canada; [Peres-Neto, Pedro R.; Ziter, Carly D.] Concordia Univ, Dept Biol, Montreal, PQ, Canada; [Aguirre, Windsor E.; LaMontagne, Jalene M.] De Paul Univ, Dept Biol Sci, Chicago, IL 60614 USA; [Akinwole, Philips O.] DePauw Univ, Dept Biol, Greencastle, IN USA; [Alberti, Marina; Dyson, Karen; Fuentes, Tracy L.; Jung, Meen Chel] Univ Washington, Dept Urban Design &amp; Planning, Seattle, WA 98195 USA; [Alvarez, Jackie; Chalen, Izan; Chaves, Jaime A.; Cisneros-Heredia, Diego F.; Rivas-Torres, Gonzalo; Zurita, Juan E.] Univ San Francisco Quito USFQ, Colegio Ciencias Biol &amp; Ambientales, Quito, Ecuador; [Anderson, Jill T.; Denney, Derek] Univ Georgia, Dept Genet, Athens, GA 30602 USA; [Anderson, Joseph J.; Granath, Gustaf; Parachnowitsch, Amy L.] Uppsala Univ, Evolutionary Biol Ctr, Dept Ecol &amp; Genet, Uppsala, Sweden; [Ando, Yoshino; Utsumi, Shunsuke] Hokkaido Univ, Field Sci Ctr Northern Biosphere, Sapporo, Hokkaido, Japan; [Andrew, Nigel R.; Hill, Sarah J.] Univ New England, Zool, Nat Hist Museum, Armidale, NSW, Australia; [Angeoletto, Fabio] Programa Posgrad Geog UFMT, Campus Rondonopolis, Cuiaba, Brazil; [Anstett, Daniel N.; Boehm, Mannfred M. A.] Univ British Columbia, Dept Bot, Vancouver, BC, Canada; [Anstett, Daniel N.; Boehm, Mannfred M. A.; David, Santiago; Thompson, Ken A.] Univ British Columbia, Biodivers Res Ctr, Vancouver, BC, Canada; [Anstett, Julia] Univ British Columbia, Genome Sci Ctr, Grad Program Genome Sci &amp; Technol, Vancouver, BC, Canada; [Anstett, Julia] Univ British Columbia, Dept Microbiol &amp; Immunol, Vancouver, BC, Canada; [Aoki-Goncalves, Felipe] Inst Ecol AC, Red Biol Evolut, Xalapa, Veracruz, Mexico; [Arietta, A. Z. Andis; Monk, Julia D.] Yale Univ, Sch Environm, New Haven, CT USA; [Arroyo, Mary T. K.] Univ Chile, Fac Ciencias, Dept Ciencias Ecol, Santiago, Chile; [Arroyo, Mary T. K.; Flores, Maria F.; Tamburrino, Italo; Vidal, Paula M.] Univ Chile, Inst Ecol &amp; Biodiversidad, Santiago, Chile; [Austen, Emily J.] Mt Allison Univ, Dept Biol, Sackville, NB, Canada; [Baena-Diaz, Fernanda] Inst Ecol AC, Red Ecoetol, Xalapa, Veracruz, Mexico; [Barker, Cory A.; Campbell, Katelyn D.] Univ Ottawa, Dept Biol, Ottawa, ON, Canada; [Baylis, Howard A.; Gotanda, Kiyoko M.; Jarrett, Benjamin J. M.] Univ Cambridge, Dept Zool, Cambridge, England; [Beliz, Julia M.; Mahmoud, Alex R.; Olsen, Kenneth M.] Washington Univ, Dept Biol, Campus Box 1137, St Louis, MO 63130 USA; [Beliz, Julia M.] Univ Miami, Dept Biol, Miami, FL USA; [Benitez-Mora, Alfonso; Gonzalez-Lagos, Cesar; Leon, Carolina A.; Neila, Melisa] Univ Bernardo OHiggins, Ctr Invest Recursos Nat &amp; Sustentabilidad CIRENYS, Santiago, Chile; [Bickford, David; Biedebach, Gabriela] Univ La Verne, Dept Biol, La Verne, CA USA; [Blackburn, Gwylim S.; Piot, Anthony; Porth, Ilga M.] Univ Laval, Dept Sci Bois &amp; Foret, Quebec City, PQ, Canada; [Bonser, Stephen P.; Moles, Angela T.; Xirocostas, Zoe A.] UNSW Sydney, Sch Biol Earth &amp; Environm Sci, Evolut &amp; Ecol Res Ctr, Sydney, NSW, Australia; [Bonte, Dries; Qu, Jiao; Vandegehuchte, Martijn L.] Univ Ghent, Dept Biol, Ghent, Belgium; [Bragger, Jesse R.; Longo, Tiffany C.; Shaheed, Summer A.] Monmouth Univ, Dept Biol, West Long Branch, NJ USA; [Branquinho, Cristina; Grilo, Filipa; Henriques, Andre F.; Paulo, Octavio S.; Pinho, Pedro] Univ Lisbon, Fac Ciencias, Ctr Ecol Evolut &amp; Environm Changes, Lisbon, Portugal; [Brans, Kristien, I] Katholieke Univ Leuven, Dept Biol, Leuven, Belgium; [Bresciano, Jorge C.; Parody-Merino, Angela M.] Massey Univ, Sch Agr &amp; Environm, Wildlife &amp; Ecol Grp, Palmerston North, Manawatu, New Zealand; [Brom, Peta D.] Univ Cape Town, Dept Biol Sci, Cape Town, South Africa; [Bucharova, Anna; Lampei, Christian] Univ Munster, Inst Landscape Ecol, Munster, Germany; [Burt, Briana; Chomiak, Kristina M.; Cisse, Ibrahim K.; Hamilton, Benjamin; Paratore, Aaron S.] Rochester Inst Technol, Gosnell Sch Life Sci, Rochester, NY 14623 USA; [Cahill, James F.; Dettlaff, Margarete A.; Ljubotina, Megan] Univ Alberta, Dept Biol Sci, Edmonton, AB, Canada; [Carlen, Elizabeth J.; Munshi-South, Jason] Fordham Univ, Louis Calder Ctr, Armonk, NY USA; [Carlen, Elizabeth J.; Munshi-South, Jason] Fordham Univ, Dept Biol Sci, Armonk, NY USA; [Carmona, Diego] Univ Autonoma Yucatan, Dept Ecol Trop, Merida, Yucatan, Mexico; [Castellanos, Maria Clara; Mackin, Christopher R.] Univ Sussex, Sch Life Sci, Brighton, E Sussex, England; [Centenaro, Giada; Tack, Ayco J. M.] Stockholm Univ, Dept Ecol Environm &amp; Plant Sci, Stockholm, Sweden; [Chalen, Izan; Cisneros-Heredia, Diego F.] Univ San Francisco Quito, iBIOTROP Inst Biodiversidad Trop, Quito, Ecuador; [Chaves, Jaime A.] San Francisco State Univ, Dept Biol, San Francisco, CA 94132 USA; [Chavez-Pesqueira, Mariana] Ctr Invest Cient Yucatan AC, Unidad Recursos Nat, Merida, Yucatan, Mexico; [Chen, Xiao-Yong; Ding, Yuan-Yuan; Tong, Xin] East China Normal Univ, Sch Ecol &amp; Environm Sci, Shanghai, Peoples R China; [Chen, Xiao-Yong] Shanghai Engn Res Ctr Sustainable Plant Innovat, Shanghai 200231, Peoples R China; [Chilton, Angela M.; Munoz-Rojas, Miriam] UNSW Sydney, Sch Biol Earth &amp; Environm Sci, Ctr Ecosyst Sci, Sydney, NSW, Australia; [Classen, Aimee T.; Sanders, Nathan J.] Univ Michigan, Dept Ecol &amp; Evolutionary Biol, Ann Arbor, MI 48109 USA; [Comerford, Mattheau S.] Rice Univ, Dept Biosci, Houston, TX USA; [Fradinger, Camila Cordoba; Gundel, Pedro E.] Univ Buenos Aires, Fac Agron, CONICET, IFEVA, Buenos Aires, DF, Argentina; [Corney, Hannah; Lundholm, Jeremy T.; Yoshida, Owen] St Marys Univ, Biol Dept, Halifax, NS, Canada; [Crawford, Andrew J.; Hernandez-Poveda, Melissa; Rodriguez-Munoz, Erika] Univ Los Andes, Dept Biol Sci, Bogota, Colombia; [Crawford, Kerri M.; Locke, Hannah; Zufall, Rebecca A.] Univ Houston, Dept Biol &amp; Biochem, Houston, TX USA; [Dahirel, Maxime; Uroy, Lea] Univ Rennes, ECOBIO Ecosyst Biodiversite Evolut, Rennes, France; [David, Santiago; Thompson, Ken A.] Univ British Columbia, Dept Zool, Vancouver, BC, Canada; [De Haan, Robert] Dordt Univ, Dept Environm Studies, Sioux Ctr, IA USA; [Deacon, Nicholas J.] Minneapolis Community &amp; Tech Coll, Dept Biol, Minneapolis, MN USA; [Dean, Clare; Rowntree, Jennifer K.] Manchester Metropolitan Univ, Ecol &amp; Environm Res Ctr, Dept Nat Sci, Manchester, Lancs, England; [Del-Val, Ek; Martinez, D. Nayeli; Solis-Gabriel, Lizet; Toledo-Chelala, Lilibeth] UNAM, Inst Invest Ecosistemas &amp; Sustentabilidad, Morelia, Michoacan, Mexico; [Deligiannis, Eleftherios K.; Gkelis, Spyros; Karousou, Regina] Aristotle Univ Thessaloniki, Sch Biol, Dept Bot, Thessaloniki, Greece; [DiLeo, Michelle F.; Kahilainen, Aapo; Laine, Anna-Liisa; Raveala, Krista M.] Univ Helsinki, Fac Biol &amp; Environm Sci, Organismal &amp; Evolutionary Biol Res Programme, Helsinki, Finland; [Dominguez-Lopez, Moises E.] Corp Cient Ingeobosque, Medellin, Antioquia, Colombia; [Dominguez-Lopez, Moises E.] GTA Colombia SAS, Envigado, Antioquia, Colombia; [Dominoni, Davide M.; MacGillavry, Thomas; Migiani, Giuditta] Univ Glasgow, Inst Biodivers Anim Hlth &amp; Comparat Med, Glasgow, Lanark, Scotland; [Draud, Savannah L.; Hardin, Joyce M.; Hubbard, Sierra C.; Schneider, Adam C.; Shepard, Caralee A.; Wiles, J. Tristian] Hendrix Coll, Dept Biol, Conway, AR USA; [Ellers, Jacintha; Marien, Janine] Vrije Univ Amsterdam, Dept Ecol Sci, Amsterdam, Netherlands; [Espinosa, Carlos, I; Iniguez-Armijos, Carlos] Univ Tecn Particular Loja, Dept Ciencias Biol &amp; Agr, Loja, Ecuador; [Essi, Liliana] Univ Fed Santa Maria UFSM, Dept Biol, Santa Maria, RS, Brazil; [Falahati-Anbaran, Mohsen] Univ Tehran, Coll Sci, Sch Biol, Dept Plant Sci, Tehran, Iran; [Falahati-Anbaran, Mohsen] Norwegian Univ Sci &amp; Technol, NTNU Univ Museum, N-7491 Trondheim, Norway; [Falcao, Jessica C. F.] Inst Ecol AC, Red Estudios Mol Avanzados, Xalapa, Veracruz, Mexico; [Fellowes, Mark D. E.] Univ Reading, Sch Biol Sci, Whiteknights Pk, Reading, Berks, England; [Fitzpatrick, Raina M.] No Arizona Univ, Dept Biol, Flagstaff, AZ 86011 USA; [Flaherty, Leah E.] MacEwan Univ, Dept Biol Sci, Edmonton, AB, Canada; [Flood, Padraic J.; Tergemina, Emmanuel] Max Planck Inst Plant Breeding Res, Cologne, Germany; [Fornoni, Juan; Nunez-Farfan, Juan] Univ Nacl Autonoma Mexico, Inst Ecol, Dept Ecol Evolut, Ciudad De Mexico, Mexico; [Foster, Amy G.; Garbsch, Frauke; Greiner, Stephan] Max Planck Inst Mol Plant Physiol, Potsdam, Germany; [Frost, Christopher J.] Univ Arizona, BIO5 Inst, Tucson, AZ USA; [Fulkerson, Justin R.] Univ Alaska Anchorage, Alaska Ctr Conservat Sci, Anchorage, AK USA; [Gagnon, Edeline] Royal Bot Garden Edinburgh, Trop Divers, Edinburgh, Midlothian, Scotland; [Gagnon, Edeline] Univ Moncton, Dept Biol, Moncton, NB, Canada; [Garroway, Colin J.] Univ Manitoba, Dept Biol Sci, Winnipeg, MB, Canada; [Gerstein, Aleeza C.] Univ Manitoba, Dept Microbiol, Winnipeg, MB, Canada; [Giasson, Mischa M.; Heard, Stephen B.; Parachnowitsch, Amy L.] Univ New Brunswick, Dept Biol, Fredericton, NB, Canada; [Girdler, E. Binney; Rivera, Benjamin J.; Salinas, Santiago] Kalamazoo Coll, Dept Biol, Kalamazoo, MI 49007 USA; [Godsoe, William] Lincoln Univ, BioProtect Res Ctr, Canterbury, New Zealand; [Gonzalez-Lagos, Cesar] Univ Adolfo Ibanez, Fac Artes Liberales, Dept Ciencias, Santiago, Chile; [Gorton, Amanda J.] Univ Minnesota, Dept Ecol Evolut &amp; Behav, Minneapolis, MN USA; [Gotanda, Kiyoko M.] Brock Univ, Dept Biol Sci, St Catharines, ON, Canada; [Griffiths, Joanna S.] Univ Calif Davis, Dept Environm Toxicol, Davis, CA 95616 USA; [Gundel, Pedro E.] ICB Univ Talca, Talca, Chile; [He, Tianhua] Curtin Univ, Sch Mol &amp; Life Sci, Perth, WA, Australia; [He, Tianhua] Murdoch Univ, Coll Sci Hlth Engn &amp; Educ, Murdoch, WA, Australia; [Hochuli, Dieter F.; Tamara, Manuel E. Lequerica; Threlfall, Caragh G.] Univ Sydney, Sch Life &amp; Environm Sci, Sydney, NSW, Australia; [Hodgins, Kathryn A.; Kirn, Lauren A.; Lee, Christopher] Monash Univ, Sch Biol Sci, Melbourne, Vic, Australia; [Hood, Glen R.] Wayne State Univ, Dept Biol Sci, Detroit, MI 48202 USA; [Hopkins, Gareth R.; Howard, Ava R.; Manju, Isaac A.; Tate, Tayler D.] Western Oregon Univ, Dept Biol, Monmouth, OR USA; [Hovanes, Katherine A.] Univ Arizona, Sch Nat Resources &amp; Environm, Tucson, AZ USA; [Ibarra-Cerdena, Carlos N.] CINVESTAV, Dept Ecol Humana, Merida, Yucatan, Mexico; [Jara-Arancio, Paola] Univ Andres Bello, Fac Ciencias Vida, Dept Ciencias Biol, Santiago, Chile; [Jara-Arancio, Paola] Univ Andres Bello, Fac Ciencias Vida, Dept Ecol &amp; Biodiversidad, Santiago, Chile; [Jara-Arancio, Paola] Inst Ecol &amp; Biodivers IEB, Santiago, Chile; [Jarrett, Benjamin J. M.; Opedal, Oystein H.] Lund Univ, Dept Biol, Lund, Sweden; [Jeannot, Manon; Vandegehuchte, Martijn L.] Norwegian Univ Sci &amp; Technol, Dept Biol, Trondheim, Norway; [Jimenez-Lobato, Vania] Univ Autonoma Guerrero, Escuela Super Desarrollo Sustentable, CONACYT, Las Tunas, Mexico; [Johnson, Mae] Clarkson Secondary Sch, Peel Dist Sch Board, Mississauga, ON, Canada; [Johnson, Oscar] Homelands Sr Publ Sch, Peel Dist Sch Board, Mississauga, ON, Canada; [Johnson, Philip P.; Minor, Emily S.; Smith, Alexis D.] Univ Illinois, Dept Biol Sci, Chicago, IL 60680 USA; [Johnson, Reagan] Dufferin Peel Catholic Dist Sch Board, St James Catholic Global Learning Ctr, Mississauga, ON, Canada; [Josephson, Matthew P.] Univ Calgary, Dept Biosci, Calgary, AB, Canada; [Just, Michael G.] US Army ERDC CERL, Ecol Proc Branch, Champaign, IL USA; [Kailing, Otto S.] Oberlin Coll, Dept Biol, Oberlin, OH 44074 USA; [Karinho-Betancourt, Eunice; Mendoza-Arroyo, Wendy] UNAM, Escuela Nacl Estudios Super, Unidad Morelia, Morelia, Michoacan, Mexico; [Kirschbaum, Anna; Scheepens, J. F.] Univ Tubingen, Inst Evolut &amp; Ecol, Tubingen, Germany; [Laine, Anna-Liisa] Univ Zurich, Dept Evolutionary Biol &amp; Environm Studies, Winterthurerstr, Zurich, Switzerland; [LaMontagne, Jalene M.] Lincoln Pk Zoo, Dept Conservat &amp; Sci, Urban Wildlife Inst, Chicago, IL USA; [Lara, Carlos] Univ Catolica Santisima Concepcion, Dept Ecol, Concepcion, Chile; [Larson, Erica L.; Murphy, Shannon M.; Tinghitella, Robin M.] Univ Denver, Dept Biol Sci, Denver, CO 80208 USA; [Lazaro-Lobo, Adrian; Martinez-Bartolome, Marina] Mississippi State Univ, Dept Biol Sci, Starkville, MS USA; [Le, Jennifer H.; Nikolaidis, Ourania; Savage, Amy M.] Rutgers Univ Camden, Ctr Computat &amp; Integrat Biol, Dept Biol, Camden, NJ USA; [Leandro, Deleon S.] UFMT, Programa Posgrad Geog, Campus Rondonopolis, Rondonopolis, Brazil; [Lei, Yunting; Wu, Jianqiang; Zhang, Jingxiong] Chinese Acad Sci, Kunming Inst Bot, Kunming, Yunnan, Peoples R China; [Levesque, Danica C.; Merritt, Thomas J. S.; Merritt, Lila Elizabeth L.] Laurentian Univ, Dept Chem &amp; Biochem, Sudbury, ON, Canada; [Liao, Wan-Jin; Wang, Ai-Ying] Beijing Normal Univ, Coll Life Sci, Minist Educ, Key Lab Biodivers Sci &amp; Ecol Engn, Beijing, Peoples R China; [Lockett, Martin T.] Univ Melbourne, Sch BioSci, Melbourne, Vic, Australia; [Martinez, D. Nayeli] Univ Nacl Autonoma Mexico, Posgrad Ciencias Biol, Mexico City 04510, DF, Mexico; [Martinez-Bartolome, Marina] Auburn Univ, Dept Biol Sci, Auburn, AL USA; [Meineke, Emily K.] Univ Calif Davis, Dept Entomol &amp; Nematol, Davis, CA 95616 USA; [Mitchell, Nora; Whitney, Kenneth D.] Univ New Mexico, Dept Biol, Albuquerque, NM 87131 USA; [Mitchell, Nora] Univ Wisconsin, Dept Biol, Eau Claire, WI 54701 USA; [Bazargani, Mitra Mohammadi] Iranian Res Org Sci &amp; Technol IROST, Agr Inst, Tehran, Iran; [Moore, Christopher M.] Colby Coll, Dept Biol, Waterville, ME 04901 USA; [Morales-Morales, Paula A.] Univ Antioquia, Inst Biol, Medellin, Colombia; [Moyers, Brook T.] Univ Massachusetts, Dept Biol, Boston, MA 02125 USA; [Moyers, Brook T.] Colorado State Univ, Agr Biol, Ft Collins, CO 80523 USA; [Munoz-Rojas, Miriam] Univ Seville, Fac Biol, Dept Biol Vegetal &amp; Ecol, Av Reina Mercedes Sn, Seville 41012, Spain; [Murua, Maureen M.] Univ Mayor, Fac Estudios Interdisciplinarios, Ctr GEMA Genom Ecol &amp; Medio Ambiente, Santiago, Chile; [Njunji, Iva] Nat Biodivers Ctr, Evolutionary Ecol Grp, Leiden, Netherlands; [Nosko, Peter; Rossi, Laura S.; Warbrick, Montana L.] Nipissing Univ, Dept Biol &amp; Chem, North Bay, ON, Canada; [Ohgushi, Takayuki] Kyoto Univ, Ctr Ecol Res, Otsu, Shiga, Japan; [Ornelas, Cristina; Spellman, Katie, V] Univ Alaska Fairbanks, Bonanza Creek Long Term Ecol Res Program, Fairbanks, AK USA; [Paule, Juraj; Starke-Ottich, Indra] Senckenberg Res Inst, Dept Bot &amp; Mol Evolut, Frankfurt, Germany; [Paule, Juraj; Starke-Ottich, Indra] Nat Hist Museum Frankfurt, Frankfurt, Germany; [Pena, Joao Carlos; Ribeiro, Milton C.] Univ Estadual Paulista UNESP, Inst Biociencias, Dept Biodiversidade, Rio Claro, SP, Brazil; [Pfeiffer, Vera W.] Univ Wisconsin, Nelson Inst Environm Studies, Madison, WI USA; [Poulos, Nicholas; Yoder, Jeremy B.] Calif State Univ Los Angeles, Dept Biol, Los Angeles, CA 90032 USA; [Puentes, Adriana; Scholier, Tiffany; Stephan, Jorg G.] Swedish Univ Agr Sci, Dept Ecol, Uppsala, Sweden; [Quintero-Vallejo, Estela] Univ CES, Fac Ciencias &amp; Biotecnol, Medellin, Colombia; [Raciti, Steve M.] Hofstra Univ, Dept Biol, Long Isl City, NY USA; [Raeymaekers, Joost A. M.] Nord Univ, Fac Biosci &amp; Aquaculture, Bod, Norway; [Rennison, Diana J.] Univ Calif San Diego, Div Biol Sci, San Diego, CA 92103 USA; [Richardson, Jonathan L.] Univ Richmond, Dept Biol, Richmond, VA 23173 USA; [Rivas-Torres, Gonzalo] Univ San Francisco Quito USFQ, Colegio Ciencias Biol &amp; Ambientales, Estn Biodiversidad Tiputini, Quito, Ecuador; [Roddy, Adam B.] Florida Int Univ, Dept Biol Sci, Inst Environm, Miami, FL 33199 USA; [Roman, Jose Raul] Univ Almeria, Agron Dept, Almeria, Spain; [Ryan, Travis J.] Butler Univ, Dept Biol Sci, Indianapolis, IN 46208 USA; [Ryan, Travis J.] Butler Univ, Ctr Urban Ecol &amp; Sustainabil, Indianapolis, IN 46208 USA; [Santiago-Rosario, Luis Y.] Louisiana State Univ, Dept Biol Sci, Baton Rouge, LA 70803 USA; [Scheepens, J. F.] Goethe Univ Frankfurt, Fac Biol Sci, Frankfurt, Germany; [Schilthuizen, Menno] Leiden Univ, Inst Biol Leiden, Leiden, Netherlands; [Scholier, Tiffany] Univ Jyvaskyla, Dept Biol &amp; Environm Sci, Jyvaskyla, Finland; [Scott, Jared L.] Univ Louisville, Dept Biol, Louisville, KY 40292 USA; [Shefferson, Richard P.] Univ Tokyo, Org Programs Environm Sci, Tokyo, Japan; [Shykoff, Jacqui A.] Univ Paris Saclay, Ecol Systemat &amp; Evolut, AgroParisTech, CNRS, F-91405 Orsay, France; [Silveira, Georgianna] Providence Coll, Dept Biol, Providence, RI 02918 USA; [Soro, Antonella; Theodorou, Panagiotis] Martin Luther Univ Halle Wittenberg, Inst Biol, Gen Zool, Halle, Germany; [Spellman, Katie, V] Univ Alaska Fairbanks, Int Arctic Res Ctr, Fairbanks, AK USA; [Whitney, Kaitlin Stack] Rochester Inst Technol, Sci Technol &amp; Soc Dept, Rochester, NY 14623 USA; [Stephan, Jorg G.] Swedish Univ Agr Sci, SLU Swedish Species Informat Ctr, Uppsala, Sweden; [Stephens, Jessica D.] Westfield State Univ, Dept Biol, Westfield, MA USA; [Szulc, Justyna; Szulkin, Marta] Univ Warsaw, Ctr New Technol, Warsaw, Poland; [Thompson, Ken A.] Stanford Univ, Dept Biol, Stanford, CA 94305 USA; [Uroy, Lea] Agrocampus Ouest ESA INRA, UMR 0980 BAGAP, Rennes, France; [VanWallendael, Acer] Michigan State Univ, Plant Biol Dept, E Lansing, MI 48824 USA; [Wadgymar, Susana M.] Davidson Coll, Biol Dept, Davidson, NC 28036 USA; [Wang, Nian; Yan, Zhaogui] Huazhong Agr Univ, Coll Hort &amp; Forestry Sci, Hubei Engn Technol Res Ctr Forestry Informat, Wuhan, Peoples R China; [Wiesmeier, Miriam; Zytynska, Sharon E.] Tech Univ Munich, Sch Life Sci, Munich, Germany; [Yao, Jiahe; Zhao, Zhigang] Lanzhou Univ, Sch Life Sci, Lanzhou, Peoples R China; [Zuellig, Matthew P.] Univ Bern, Inst Ecol &amp; Evolut, Bern, Switzerland; [Zytynska, Sharon E.] Univ Liverpool, Dept Evolut Ecol &amp; Behav, Liverpool, Merseyside, England</t>
  </si>
  <si>
    <t>University of Toronto; University Toronto Mississauga; University of Toronto; University Toronto Mississauga; University of North Carolina; University of North Carolina Chapel Hill; University of Louisiana Lafayette; Queens University - Canada; Concordia University - Canada; DePaul University; DePauw University; University of Washington; University of Washington Seattle; University System of Georgia; University of Georgia; Uppsala University; Hokkaido University; University of New England; University of British Columbia; University of British Columbia; University of British Columbia; University of British Columbia; Instituto de Ecologia - Mexico; Yale University; Universidad de Chile; Universidad de Chile; Mount Allison University; Instituto de Ecologia - Mexico; University of Ottawa; University of Cambridge; Washington University (WUSTL); University of Miami; Universidad  Bernardo O'Higgins; University of La Verne; Laval University; University of New South Wales Sydney; Ghent University; Monmouth University; Universidade de Lisboa; KU Leuven; Massey University; University of Cape Town; University of Munster; Rochester Institute of Technology; University of Alberta; Fordham University; Fordham University; Universidad Autonoma de Yucatan; University of Sussex; Stockholm University; California State University System; San Francisco State University; Centro de Investigacion Cientifica de Yucatan; East China Normal University; University of New South Wales Sydney; University of Michigan System; University of Michigan; Rice University; Consejo Nacional de Investigaciones Cientificas y Tecnicas (CONICET); University of Buenos Aires; Saint Marys University - Canada; Universidad de los Andes (Colombia); University of Houston System; University of Houston; Universite de Rennes; University of British Columbia; Manchester Metropolitan University; Universidad Nacional Autonoma de Mexico; Aristotle University of Thessaloniki; University of Helsinki; University of Glasgow; Vrije Universiteit Amsterdam; Universidad Tecnica Particular de Loja; Universidade Federal de Santa Maria (UFSM); University of Tehran; Norwegian University of Science &amp; Technology (NTNU); Instituto de Ecologia - Mexico; University of Reading; Northern Arizona University; Max Planck Society; Universidad Nacional Autonoma de Mexico; Max Planck Society; University of Arizona; University of Alaska System; University of Alaska Anchorage; University of Moncton; University of Manitoba; University of Manitoba; University of New Brunswick; Kalamazoo College; Lincoln University - New Zealand; Universidad Adolfo Ibanez; University of Minnesota System; University of Minnesota Twin Cities; Brock University; University of California System; University of California Davis; Curtin University; Murdoch University; University of Sydney; Monash University; Wayne State University; Western Oregon University; University of Arizona; CINVESTAV - Centro de Investigacion y de Estudios Avanzados del Instituto Politecnico Nacional; Universidad Andres Bello; Universidad Andres Bello; Lund University; Norwegian University of Science &amp; Technology (NTNU); University of Illinois System; University of Illinois Chicago; University of Illinois Chicago Hospital; University of Calgary; United States Department of Defense; United States Army; U.S. Army Corps of Engineers; U.S. Army Engineer Research &amp; Development Center (ERDC); Construction Engineering Research Laboratory (CERL); Oberlin College; Universidad Nacional Autonoma de Mexico; Eberhard Karls University of Tubingen; University of Zurich; Universidad Catolica de la Santisima Concepcion; University of Denver; Mississippi State University; Rutgers State University Camden; Universidade Federal de Mato Grosso do Sul; Chinese Academy of Sciences; Kunming Institute of Botany, CAS; Laurentian University; Beijing Normal University; University of Melbourne; Universidad Nacional Autonoma de Mexico; Auburn University System; Auburn University; University of California System; University of California Davis; University of New Mexico; University of Wisconsin System; Colby College; Universidad de Antioquia; University of Massachusetts System; University of Massachusetts Boston; Colorado State University; University of Sevilla; Universidad Mayor; Naturalis Biodiversity Center; Nipissing University; Kyoto University; University of Alaska System; University of Alaska Fairbanks; Senckenberg Gesellschaft fur Naturforschung (SGN); Universidade Estadual Paulista; University of Wisconsin System; University of Wisconsin Madison; California State University System; California State University Los Angeles; Swedish University of Agricultural Sciences; Hofstra University; Nord University; University of California System; University of California San Diego; University of Richmond; State University System of Florida; Florida International University; Universidad de Almeria; Butler University; Butler University; Louisiana State University System; Louisiana State University; Goethe University Frankfurt; Leiden University; Leiden University - Excl LUMC; University of Jyvaskyla; University of Louisville; University of Tokyo; AgroParisTech; Centre National de la Recherche Scientifique (CNRS); UDICE-French Research Universities; Universite Paris Saclay; Providence College; Martin Luther University Halle Wittenberg; University of Alaska System; University of Alaska Fairbanks; Rochester Institute of Technology; Swedish University of Agricultural Sciences; Massachusetts System of Public Higher Education; Westfield State University; University of Warsaw; Stanford University; Michigan State University; Davidson College; Huazhong Agricultural University; Technical University of Munich; Lanzhou University; University of Bern; University of Liverpool</t>
  </si>
  <si>
    <t>Johnson, MTJ (通讯作者)，Univ Toronto Mississauga, Dept Biol, Mississauga, ON, Canada.;Johnson, MTJ (通讯作者)，Univ Toronto Mississauga, Ctr Urban Environm, Mississauga, ON, Canada.</t>
  </si>
  <si>
    <t>marcjohnson@utoronto.ca</t>
  </si>
  <si>
    <t>Utsumi, Shunsuke/AFJ-8139-2022; Porth, Ilga M/N-4862-2015; Moyers, Brook T./E-1516-2012; Román, Raúl/R-5400-2019; Paule, Juraj/A-2998-2017; Monk, Julia/AAF-2469-2020; Sanders, Nathan/ABE-4335-2020; Baena-Díaz, Fernanda/B-3751-2015; Gkelis, Spyros/N-3484-2015; Lampei, Christian/Z-2465-2019; Akinwole, Philips/I-6811-2019; Gotanda, Kiyoko/A-4119-2013; Branquinho, Cristina/B-3670-2008; Jung, Meen Chel/R-2790-2019; Chen, Xiao-Yong/B-1467-2009; Paulo, Octávio/D-9921-2011; Uroy, Léa/AGZ-9833-2022; Jung, Meen Chel/GXA-0772-2022; Mohammadi Bazargani, Mitra/ABD-6155-2021; Greiner, Stephan/D-9742-2012; Santiago-Rosario, Luis/ABU-9195-2022; Classen, Aimee/AAM-5671-2021; Stephan, Jörg G./C-1618-2015; ding, yy/HHS-9589-2022; de Castro Pena, João Carlos/S-6798-2016; Theodorou, Panagiotis/D-4906-2015; Andrew, Nigel/B-7162-2008; Moore, Christopher/H-3827-2015; Classen, Aimee/C-4035-2008; Castellanos, Maria Clara/H-5606-2011; Raeymaekers, Joost/J-9538-2014; Dominoni, Davide Michelangelo/E-9092-2016</t>
  </si>
  <si>
    <t>Utsumi, Shunsuke/0000-0003-1558-8073; Porth, Ilga M/0000-0002-9344-6348; Moyers, Brook T./0000-0003-0340-9488; Román, Raúl/0000-0002-5324-2033; Paule, Juraj/0000-0001-5375-7689; Monk, Julia/0000-0002-5214-6576; Baena-Díaz, Fernanda/0000-0002-0660-0627; Gkelis, Spyros/0000-0002-7746-3199; Lampei, Christian/0000-0003-2866-2869; Gotanda, Kiyoko/0000-0002-3666-0700; Branquinho, Cristina/0000-0001-8294-7924; Jung, Meen Chel/0000-0002-7592-1512; Chen, Xiao-Yong/0000-0002-4795-8940; Paulo, Octávio/0000-0001-5408-5212; Uroy, Léa/0000-0003-4967-4017; Jung, Meen Chel/0000-0002-7592-1512; Greiner, Stephan/0000-0003-3369-0354; Stephan, Jörg G./0000-0001-6195-7867; de Castro Pena, João Carlos/0000-0003-1368-1805; Theodorou, Panagiotis/0000-0002-4056-5300; Andrew, Nigel/0000-0002-2850-2307; Garroway, Colin/0000-0002-0955-0688; Cohan, Beata/0000-0001-8628-4013; Lee, Christopher/0000-0003-1108-8514; Santangelo, James/0000-0002-5921-2548; Benitez Mora, Alfonso/0000-0002-1096-7579; Moore, Christopher/0000-0001-5783-9833; Classen, Aimee/0000-0002-6741-3470; Chalen Paredes, Izan/0000-0002-4607-8140; Zhao, Zhigang/0000-0002-5252-4813; del-val, ek/0000-0003-3862-1024; Tong, Xin/0000-0002-3474-3043; Tamburrino, Italo/0000-0002-7163-6220; Ryan, Travis/0000-0003-2039-5989; Castellanos, Maria Clara/0000-0002-9967-355X; Brom, Peta/0000-0002-9183-438X; Vandegehuchte, Martijn L./0000-0003-1283-4654; Fulkerson, Justin/0000-0003-2666-9979; Gonzalez-Lagos, Cesar/0000-0001-5679-4610; Raeymaekers, Joost/0000-0003-2732-7495; Santiago-Rosario, Luis/0000-0002-5403-5650; Puentes, Adriana/0000-0001-9393-7449; Rowntree, Jennifer/0000-0001-8249-8057; Dominoni, Davide Michelangelo/0000-0003-2063-9955; Murua Ibarra, Maureen/0000-0002-8777-9445; Hill, Sarah/0000-0002-3305-6954; Xirocostas, Zoe/0000-0001-7103-5153; Aguirre, Windsor/0000-0003-3641-5120; Hodgins, Kathryn/0000-0003-2795-5213; Deacon, Nicholas/0000-0002-6180-9888; Henriques, Andre Filipe Ribeiro/0000-0003-2800-046X; Fellowes, Mark/0000-0001-5431-8637; DiLeo, Michelle/0000-0003-0101-5274; Marien, Janine/0000-0001-7600-5594; Scholier, Tiffany/0000-0002-0868-1352; Miles, Lindsay/0000-0003-0406-7985; Levesque, Danica/0000-0001-8745-3827; Vidal, Paula M./0000-0002-1078-0587; Kahilainen, Aapo/0000-0001-9180-6998; MacGillavry, Thomas/0000-0002-2298-6670; Anderson, Joseph/0000-0002-3302-9366; LaMontagne, Jalene/0000-0001-7713-8591; Lazaro-Lobo, Adrian/0000-0002-0509-2085; Mitchell, Nora/0000-0002-4745-438X</t>
  </si>
  <si>
    <t>NSERC Discovery Grant; Canada Research Chair; NSERC Steacie Fellowship; NSERC Canadian Graduate Scholarship; NSERC Postdoctoral Fellowship; NSERC Discovery grants; NSF [RCN DEB-1840663]; CAPES; CONICYT [PIA APOYO CCTE AFB170008]; Monmouth University School of Science Summer Research Program; Departement de Biologie, Universite de Moncton; Center of Applied Ecology and Sustainability (CAPES); ANID PIA/BASAL [FB0002]; Max Planck Society; ANID [PIA/BASAL FB210006]; Leiden Municipality; US NSF [IOS-1557770, DEB-1601641]; FAPESP [2018/00107-3]</t>
  </si>
  <si>
    <t>NSERC Discovery Grant(Natural Sciences and Engineering Research Council of Canada (NSERC)); Canada Research Chair(Natural Resources CanadaCanadian Forest ServiceCanada Research Chairs); NSERC Steacie Fellowship; NSERC Canadian Graduate Scholarship(Natural Sciences and Engineering Research Council of Canada (NSERC)); NSERC Postdoctoral Fellowship(Natural Sciences and Engineering Research Council of Canada (NSERC)); NSERC Discovery grants(Natural Sciences and Engineering Research Council of Canada (NSERC)); NSF(National Science Foundation (NSF)); CAPES(Coordenacao de Aperfeicoamento de Pessoal de Nivel Superior (CAPES)); CONICYT(Comision Nacional de Investigacion Cientifica y Tecnologica (CONICYT)); Monmouth University School of Science Summer Research Program; Departement de Biologie, Universite de Moncton; Center of Applied Ecology and Sustainability (CAPES); ANID PIA/BASAL; Max Planck Society(Max Planck SocietyFoundation CELLEX); ANID; Leiden Municipality; US NSF(National Science Foundation (NSF)); FAPESP(Fundacao de Amparo a Pesquisa do Estado de Sao Paulo (FAPESP))</t>
  </si>
  <si>
    <t>The Global Urban Evolution project was primarily funded by an NSERC Discovery Grant, Canada Research Chair and NSERC Steacie Fellowship to M.T.J.J.. J.S.S. received funding from an NSERC Canadian Graduate Scholarship and C.R.F. is funded by an NSERC Postdoctoral Fellowship. P.R.P.-N., R.W.N., and J.C.C. were supported by NSERC Discovery grants. M.A. was funded by NSF RCN DEB-1840663. F.A. received funding from CAPES. M.T.K.A. was funded by CONICYT PIA APOYO CCTE AFB170008. J.R.B, T.C.L., and S.A.S were supported by Monmouth University School of Science Summer Research Program. E.G. was funded by Departement de Biologie, Universite de Moncton. C.G.-L. received funding from the Center of Applied Ecology and Sustainability (CAPES), and ANID PIA/BASAL FB0002. S.G. was funded by the Max Planck Society. P.J.-A. was funded by ANID PIA/BASAL FB210006. I.N. and M.S. were supported by Leiden Municipality. K.M.O. was funded by US NSF awards IOS-1557770 and DEB-1601641. J.C.P. thanks FAPESP process 2018/00107-3, and M.C.R. thanks CNPq and FAPESP.</t>
  </si>
  <si>
    <t>MAR 18</t>
  </si>
  <si>
    <t>10.1126/science.abk0989</t>
  </si>
  <si>
    <t>ZV2SY</t>
  </si>
  <si>
    <t>Green Accepted, Green Submitted, Green Published</t>
  </si>
  <si>
    <t>WOS:000770386600037</t>
  </si>
  <si>
    <t>Mapook, A; Hyde, KD; Hassan, K; Kemkuignou, BM; Cmokova, A; Surup, F; Kuhnert, E; Paomephan, P; Cheng, T; de Hoog, S; Song, YG; Jayawardena, RS; Al-Hatmi, AMS; Mahmoudi, T; Ponts, N; Studt-Reinhold, L; Richard-Forget, F; Chethana, KWT; Harishchandra, DL; Mortimer, PE; Li, HL; Lumyong, S; Aiduang, W; Kumla, J; Suwannarach, N; Bhunjun, CS; Yu, FM; Zhao, Q; Schaefer, D; Stadler, M</t>
  </si>
  <si>
    <t>Mapook, Ausana; Hyde, Kevin D.; Hassan, Khadija; Kemkuignou, Blondelle Matio; Cmokova, Adela; Surup, Frank; Kuhnert, Eric; Paomephan, Pathompong; Cheng, Tian; de Hoog, Sybren; Song, Yinggai; Jayawardena, Ruvishika S.; Al-Hatmi, Abdullah M. S.; Mahmoudi, Tokameh; Ponts, Nadia; Studt-Reinhold, Lena; Richard-Forget, Florence; Chethana, K. W. Thilini; Harishchandra, Dulanjalee L.; Mortimer, Peter E.; Li, Huili; Lumyong, Saisamorm; Aiduang, Worawoot; Kumla, Jaturong; Suwannarach, Nakarin; Bhunjun, Chitrabhanu S.; Yu, Feng-Ming; Zhao, Qi; Schaefer, Doug; Stadler, Marc</t>
  </si>
  <si>
    <t>Ten decadal advances in fungal biology leading towards human well-being</t>
  </si>
  <si>
    <t>FUNGAL DIVERSITY</t>
  </si>
  <si>
    <t>Review</t>
  </si>
  <si>
    <t>Biomaterial; CRISPR; Drug development; Morel cultivation; Mushroom cultivation; Mycotoxin biosynthesis; Plastic degradation</t>
  </si>
  <si>
    <t>LOW-DENSITY POLYETHYLENE; CENTRAL-NERVOUS-SYSTEM; TRUE MORELS MORCHELLA; ENHANCED ANTIMICROBIAL ACTIVITY; PLASTICIZED POLYVINYL-CHLORIDE; HISTONE VARIANT H2A.Z; ACUTE BACTERIAL SKIN; HEPATITIS-B-VIRUS; MULTIPLE-SCLEROSIS; POLYESTER POLYURETHANE</t>
  </si>
  <si>
    <t>Fungi are an understudied resource possessing huge potential for developing products that can greatly improve human well-being. In the current paper, we highlight some important discoveries and developments in applied mycology and interdisciplinary Life Science research. These examples concern recently introduced drugs for the treatment of infections and neurological diseases; application of -OMICS techniques and genetic tools in medical mycology and the regulation of mycotoxin production; as well as some highlights of mushroom cultivaton in Asia. Examples for new diagnostic tools in medical mycology and the exploitation of new candidates for therapeutic drugs, are also given. In addition, two entries illustrating the latest developments in the use of fungi for biodegradation and fungal biomaterial production are provided. Some other areas where there have been and/or will be significant developments are also included. It is our hope that this paper will help realise the importance of fungi as a potential industrial resource and see the next two decades bring forward many new fungal and fungus-derived products.</t>
  </si>
  <si>
    <t>Mapook, Ausana</t>
  </si>
  <si>
    <t>[Mapook, Ausana; Hyde, Kevin D.; Jayawardena, Ruvishika S.; Chethana, K. W. Thilini; Harishchandra, Dulanjalee L.; Bhunjun, Chitrabhanu S.; Yu, Feng-Ming] Mae Fah Luang Univ, Ctr Excellence Fungal Res, Chiang Rai 57100, Thailand; [Hyde, Kevin D.; Jayawardena, Ruvishika S.; Chethana, K. W. Thilini; Harishchandra, Dulanjalee L.; Bhunjun, Chitrabhanu S.; Yu, Feng-Ming] Mae Fah Luang Univ, Sch Sci, Chiang Rai 57100, Thailand; [Hassan, Khadija; Kemkuignou, Blondelle Matio; Surup, Frank; Paomephan, Pathompong; Cheng, Tian; Stadler, Marc] Helmholtz Ctr Infect Res HZI, Dept Microbial Drugs, Inhoffenstr 7, D-38124 Braunschweig, Germany; [Hassan, Khadija; Kemkuignou, Blondelle Matio; Surup, Frank; Paomephan, Pathompong; Cheng, Tian; Stadler, Marc] German Ctr Infect Res DZIF, Partner Site Hannover Braunschweig, Inhoffenstr 7, D-38124 Braunschweig, Germany; [Surup, Frank; Stadler, Marc] Tech Univ Carolo Wilhelmina Braunschweig, Inst Microbiol, Spielmannstr 7, D-38106 Braunschweig, Germany; [Cmokova, Adela; Cheng, Tian] Czech Acad Sci, Inst Microbiol, Lab Fungal Genet &amp; Metab, Prague, Czech Republic; [Kuhnert, Eric] Leibniz Univ Hannover, Ctr Biomol Drug Res BMWZ, Inst Organ Chem, Schneiderberg 38, D-30167 Hannover, Germany; [Paomephan, Pathompong] Mahidol Univ, Fac Sci, Dept Biotechnol, 272 Rama VI Rd, Bangkok 10400, Thailand; [de Hoog, Sybren; Al-Hatmi, Abdullah M. S.] Radboud Univ Nijmegen, Ctr Expertise Mycol, Canisius Wilhelmina Hosp, Med Ctr, Nijmegen, Netherlands; [de Hoog, Sybren] Guizhou Med Univ, Key Lab Environm Pollut Monitoring &amp; Dis Control, Guiyang, Peoples R China; [de Hoog, Sybren] Univ Fed Parana, Microbiol Parasitol &amp; Pathol Grad Program, Curitiba, Parana, Brazil; [Song, Yinggai] Peking Univ, Peking Univ Hosp 1, Dept Dermatol, Beijing, Peoples R China; [Al-Hatmi, Abdullah M. S.] Univ Nizwa, Nat &amp; Med Sci Res Ctr, Nizwa, Oman; [Mahmoudi, Tokameh] Erasmus MC, Dept Biochem, Rotterdam, Netherlands; [Ponts, Nadia; Richard-Forget, Florence] INRAE, UR1264 Mycol &amp; Food Safety MycSA, F-33882 Villenave Dornon, France; [Studt-Reinhold, Lena] Univ Nat Resources &amp; Life Sci, Inst Microbial Genet, Dept Appl Genet &amp; Cell Biol, Vienna BOKU, Tulln An Der Donau, Austria; [Harishchandra, Dulanjalee L.] Beijing Acad Agr &amp; Forestry Sci, Inst Plant Protect, Beijing Key Lab Environm Friendly Management Frui, Beijing 100097, Peoples R China; [Hyde, Kevin D.; Mortimer, Peter E.; Li, Huili] Chinese Acad Sci, Kunming Inst Bot, Key Lab Plant Divers &amp; Biogeog East Asia, Kunming 650201, Yunnan, Peoples R China; [Mortimer, Peter E.; Li, Huili; Schaefer, Doug] Chinese Acad Sci, Ctr Mt Futures CMF, Kunming Inst Bot, Kunming 650201, Yunnan, Peoples R China; [Hyde, Kevin D.; Lumyong, Saisamorm; Kumla, Jaturong; Suwannarach, Nakarin] Chiang Mai Univ, Res Ctr Microbial Divers &amp; Sustainable Utilizat, Chiang Mai 50200, Thailand; [Hyde, Kevin D.; Lumyong, Saisamorm; Aiduang, Worawoot; Kumla, Jaturong; Suwannarach, Nakarin] Chiang Mai Univ, Fac Sci, Dept Biol, Chiang Mai 50200, Thailand; [Lumyong, Saisamorm] Royal Soc Thailand, Acad Sci, Bangkok 10300, Thailand; [Yu, Feng-Ming; Zhao, Qi] Chinese Acad Sci, Kunming Inst Bot, Yunnan Key Lab Fungal Divers &amp; Green Dev, Key Lab Plant Divers &amp; Biogeog East Asia, Kunming 650201, Yunnan, Peoples R China; [Hyde, Kevin D.] Zhongkai Univ Agr &amp; Engn, Innovat Inst Plant Hlth, Guangzhou 510225, Peoples R China</t>
  </si>
  <si>
    <t>通讯作者单位</t>
  </si>
  <si>
    <t>Mae Fah Luang University; Mae Fah Luang University; Helmholtz Association; Helmholtz-Center for Infection Research; German Center for Infection Research; Braunschweig University of Technology; Czech Academy of Sciences; Institute of Microbiology of the Czech Academy of Sciences; BMW AG; Leibniz University Hannover; Mahidol University; Canisius-Wilhelmina Hospital; Radboud University Nijmegen; Guizhou Medical University; Universidade Federal do Parana; Peking University; University of Nizwa; Erasmus University Rotterdam; Erasmus MC; INRAE; University of Natural Resources &amp; Life Sciences, Vienna; Beijing Academy of Agriculture &amp; Forestry; Chinese Academy of Sciences; Kunming Institute of Botany, CAS; Chinese Academy of Sciences; Kunming Institute of Botany, CAS; Chiang Mai University; Chiang Mai University; Chinese Academy of Sciences; Kunming Institute of Botany, CAS; Zhongkai University of Agriculture &amp; Engineering</t>
  </si>
  <si>
    <t>Hyde, KD (通讯作者)，Mae Fah Luang Univ, Ctr Excellence Fungal Res, Chiang Rai 57100, Thailand.;Hyde, KD (通讯作者)，Mae Fah Luang Univ, Sch Sci, Chiang Rai 57100, Thailand.;Stadler, M (通讯作者)，Helmholtz Ctr Infect Res HZI, Dept Microbial Drugs, Inhoffenstr 7, D-38124 Braunschweig, Germany.;Stadler, M (通讯作者)，German Ctr Infect Res DZIF, Partner Site Hannover Braunschweig, Inhoffenstr 7, D-38124 Braunschweig, Germany.;Stadler, M (通讯作者)，Tech Univ Carolo Wilhelmina Braunschweig, Inst Microbiol, Spielmannstr 7, D-38106 Braunschweig, Germany.;Hyde, KD (通讯作者)，Chinese Acad Sci, Kunming Inst Bot, Key Lab Plant Divers &amp; Biogeog East Asia, Kunming 650201, Yunnan, Peoples R China.;Hyde, KD (通讯作者)，Chiang Mai Univ, Res Ctr Microbial Divers &amp; Sustainable Utilizat, Chiang Mai 50200, Thailand.;Hyde, KD (通讯作者)，Chiang Mai Univ, Fac Sci, Dept Biol, Chiang Mai 50200, Thailand.;Hyde, KD (通讯作者)，Zhongkai Univ Agr &amp; Engn, Innovat Inst Plant Hlth, Guangzhou 510225, Peoples R China.</t>
  </si>
  <si>
    <t>kdhyde3@gmail.com; Marc.Stadler@helmholtz-hzi.de</t>
  </si>
  <si>
    <t>Mapook, Ausana/ABE-6304-2020; Hyde, Kevin D/F-7890-2010; Jayawardena, Ruvishika/V-3592-2018; Kandawatte, Thilini Chethana/AAE-8036-2019; Stadler, Marc/P-8882-2014</t>
  </si>
  <si>
    <t>Mapook, Ausana/0000-0001-7929-2429; Jayawardena, Ruvishika/0000-0001-7702-4885; Kandawatte, Thilini Chethana/0000-0002-5816-9269; Stadler, Marc/0000-0002-7284-8671; Surup, Frank/0000-0001-5234-8525</t>
  </si>
  <si>
    <t>Projekt DEAL; Mae Fah Luang University [651A16029]; Basic Research Fund [652A01001]; Princess Srinagarindra's Centenary Celebrations Foundation [64316001]; National Research Council Thailand [NRCT5TRG630010- 01]; Czech Academy of Sciences Long-term Research Development Project [61388971]; Thailand Research Fund [PHD/0039/2560]; Deutscher Akademischer Austauschdienst [57507870]; Czech Academy of Sciences [CZ.02.2.69/0.0/0.0/18_053/0017705]; Chiang Mai University [FF65/067]; STEP Program [2019QZKK0503]; Kunming Institute of Botany, Chinese Academy of Sciences [292019312511043]</t>
  </si>
  <si>
    <t>Projekt DEAL; Mae Fah Luang University; Basic Research Fund; Princess Srinagarindra's Centenary Celebrations Foundation; National Research Council Thailand; Czech Academy of Sciences Long-term Research Development Project; Thailand Research Fund(Thailand Research Fund (TRF)); Deutscher Akademischer Austauschdienst(Deutscher Akademischer Austausch Dienst (DAAD)); Czech Academy of Sciences(Czech Academy of Sciences); Chiang Mai University; STEP Program; Kunming Institute of Botany, Chinese Academy of Sciences(Chinese Academy of Sciences)</t>
  </si>
  <si>
    <t>Open Access funding enabled and organized by Projekt DEAL. Funding was provided by Mae Fah Luang University ( Grant No.: 651A16029), Basic Research Fund (Grant No.: 652A01001), Princess Srinagarindra's Centenary Celebrations Foundation (Grant No.: 64316001), National Research Council Thailand (Grant No.: NRCT5TRG630010- 01), Czech Academy of Sciences Long-term Research Development Project (Grant No.: 61388971), Thailand Research Fund (Grant No.: PHD/0039/2560), Deutscher Akademischer Austauschdienst (Grant Nos.: 57507870, PhD stipend), Czech Academy of Sciences ( Grant No.: CZ.02.2.69/0.0/0.0/18_053/0017705), Chiang Mai University (Grant No.: FF65/067), STEP Program (CH) (Grant No.: 2019QZKK0503), Kunming Institute of Botany, Chinese Academy of Sciences (Grant No.: 292019312511043).</t>
  </si>
  <si>
    <t>SPRINGER</t>
  </si>
  <si>
    <t>NEW YORK</t>
  </si>
  <si>
    <t>ONE NEW YORK PLAZA, SUITE 4600, NEW YORK, NY, UNITED STATES</t>
  </si>
  <si>
    <t>1560-2745</t>
  </si>
  <si>
    <t>1878-9129</t>
  </si>
  <si>
    <t>FUNGAL DIVERS</t>
  </si>
  <si>
    <t>Fungal Divers.</t>
  </si>
  <si>
    <t>SEP</t>
  </si>
  <si>
    <t>10.1007/s13225-022-00510-3</t>
  </si>
  <si>
    <t>SEP 2022</t>
  </si>
  <si>
    <t>Mycology</t>
  </si>
  <si>
    <t>4Z8VC</t>
  </si>
  <si>
    <t>Green Published, hybrid</t>
  </si>
  <si>
    <t>WOS:000854665500001</t>
  </si>
  <si>
    <t>Calabon, MS; Hyde, KD; Jones, EBG; Luo, ZL; Dong, W; Hurdeal, VG; Gentekaki, E; Rossi, W; Leonardi, M; Thiyagaraja, V; Lestari, AS; Shen, HW; Bao, DF; Boonyuen, N; Zeng, M</t>
  </si>
  <si>
    <t>Calabon, Mark S.; Hyde, Kevin D.; Jones, E. B. Gareth; Luo, Zong-Long; Dong, Wei; Hurdeal, Vedprakash G.; Gentekaki, Eleni; Rossi, Walter; Leonardi, Marco; Thiyagaraja, Vinodhini; Lestari, Anis S.; Shen, Hong-Wei; Bao, Dan-Feng; Boonyuen, Nattawut; Zeng, Ming</t>
  </si>
  <si>
    <t>Freshwater fungal numbers</t>
  </si>
  <si>
    <t>Fungal classification; Fungal taxonomy; Freshwater fungi; Higher fungi; Molecular taxonomy; Basal clades</t>
  </si>
  <si>
    <t>SEMIARID CAATINGA BIOME; SP-NOV MICROSPORA; DOUGLAS LAKE REGION; N. SP MICROSPORIDIA; AQUATICA-SP.-NOV.; SUBMERGED PLANT-MATERIAL; DAPHNIA-MAGNA CRUSTACEA; WOOD-INHABITING FUNGI; YEAST-LIKE FUNGI; ET-SP-NOV</t>
  </si>
  <si>
    <t>A comprehensive account of fungal classification from freshwater habitats is outlined and discussed in the present review based on literature of biodiversity studies and recent morpho-phylogenetic analyses. A total of 3,870 freshwater fungal species are listed with additional details on the isolation source, habitat, geographical distribution, and molecular data. The Ascomycota (2,968 species, 1,018 genera) dominated the freshwater fungal taxa wherein Sordariomycetes (823 species, 298 genera) had the largest number, followed by Dothideomycetes (677 species, 229 genera), Eurotiomycetes (276 species, 49 genera), and Leotiomycetes (260 species, 83 genera). Other phyla included in the updated classification of freshwater fungi are: Chytridiomycota (333 species, 97 genera), Rozellomycota (221 species, 105 genera), Basidiomycota (218 species, 100 genera), Blastocladiomycota (47 species, 10 genera), Monoblepharomycota (29 species, 6 genera), Mucoromycota (19 species, 10 genera), Aphelidiomycota (15 species, 3 genera), Entomophthoromycota (6 species, 4 genera), Mortierellomycota (5 species, 3 genera), Olpidiomycota (4 species, 1 genus), Zoopagomycota (3 species, 2 genera), and Sanchytriomycota (2 species, 2 genera). The freshwater fungi belong to 1,361 genera, 386 families and 145 orders. The Pleosporales and Laboulbeniaceae are the largest freshwater fungal order and family comprised of 391 and 185 species, respectively. The most speciose genera are Chitonomyces (87, Laboulbeniomycetes), Verrucaria (50, Eurotiomycetes), Rhizophydium (52, Rhizophydiomycetes), Penicillium (47, Eurotiomycetes), and Candida (42, Saccharomycetes).</t>
  </si>
  <si>
    <t>Calabon, Mark S.</t>
  </si>
  <si>
    <t>[Calabon, Mark S.; Hyde, Kevin D.; Hurdeal, Vedprakash G.; Gentekaki, Eleni; Thiyagaraja, Vinodhini; Lestari, Anis S.; Shen, Hong-Wei; Bao, Dan-Feng; Zeng, Ming] Mae Fah Luang Univ, Ctr Excellence Fungal Res, Chiang Rai 57100, Thailand; [Calabon, Mark S.; Hyde, Kevin D.; Hurdeal, Vedprakash G.; Gentekaki, Eleni; Lestari, Anis S.; Shen, Hong-Wei; Zeng, Ming] Mae Fah Luang Univ, Sch Sci, Chiang Rai 57100, Thailand; [Hyde, Kevin D.; Thiyagaraja, Vinodhini] Chiang Mai Univ, Fac Sci, Dept Biol, Chiang Mai 50200, Thailand; [Hyde, Kevin D.; Dong, Wei] Zhongkai Univ Agr &amp; Engn, Innovat Inst Plant Hlth, Guangzhou 510225, Peoples R China; [Jones, E. B. Gareth] King Saud Univ, Coll Sci, Dept Bot &amp; Microbiol, POB 2455, Riyadh 11451, Saudi Arabia; [Luo, Zong-Long; Shen, Hong-Wei; Bao, Dan-Feng] Dali Univ, Coll Agr &amp; Biol Sci, Dali 671003, Peoples R China; [Rossi, Walter; Leonardi, Marco] Univ Aquila, Dept MeSVA, Sect Environm Sci, I-67100 Coppito, AQ, Italy; [Thiyagaraja, Vinodhini] Chinese Acad Sci, Ctr Mt Futures CMF, Kunming Inst Bot, CAS Key Lab Plant Biodivers &amp; Biogeog East Asia K, Kunming 650201, Yunnan, Peoples R China; [Thiyagaraja, Vinodhini] World Agroforestry ICRAF, CIFOR ICRAF China Program, Kunming 650201, Yunnan, Peoples R China; [Thiyagaraja, Vinodhini; Bao, Dan-Feng] Chiang Mai Univ, Fac Agr, Dept Entomol &amp; Plant Pathol, Chiang Mai 50200, Thailand; [Lestari, Anis S.] Natl Res &amp; Innovat Agcy BRIN, Res Org Life Sci Ctr, Res Ctr Biomat, Cibinong 16911, Indonesia; [Boonyuen, Nattawut] Natl Ctr Genet Engn &amp; Biotechnol BIOTEC, Integrat Crop Biotechnol &amp; Management Res Grp ACB, Plant Microbe Interact Res Team APMT, Pathum Thani 12120, Thailand; [Zeng, Ming] Chinese Acad Sci, Kunming Inst Bot, Key Lab Plant Divers &amp; Biogeog East Asia, Kunming 650201, Yunnan, Peoples R China</t>
  </si>
  <si>
    <t>Mae Fah Luang University; Mae Fah Luang University; Chiang Mai University; Zhongkai University of Agriculture &amp; Engineering; King Saud University; Dali University; University of L'Aquila; Chinese Academy of Sciences; Kunming Institute of Botany, CAS; Chiang Mai University; National Science &amp; Technology Development Agency - Thailand; National Center Genetic Engineering &amp; Biotechnology (BIOTEC); Chinese Academy of Sciences; Kunming Institute of Botany, CAS</t>
  </si>
  <si>
    <t>Hyde, KD (通讯作者)，Mae Fah Luang Univ, Ctr Excellence Fungal Res, Chiang Rai 57100, Thailand.;Hyde, KD (通讯作者)，Mae Fah Luang Univ, Sch Sci, Chiang Rai 57100, Thailand.;Hyde, KD (通讯作者)，Chiang Mai Univ, Fac Sci, Dept Biol, Chiang Mai 50200, Thailand.;Hyde, KD (通讯作者)，Zhongkai Univ Agr &amp; Engn, Innovat Inst Plant Hlth, Guangzhou 510225, Peoples R China.</t>
  </si>
  <si>
    <t>kdhyde3@gmail.com</t>
  </si>
  <si>
    <t>Calabon, Mark/AAO-1901-2021; Hyde, Kevin D/F-7890-2010; Boonyuen, Nattawut/GRJ-2399-2022</t>
  </si>
  <si>
    <t>Calabon, Mark/0000-0002-6603-1876; Boonyuen, Nattawut/0000-0001-7131-6035; Leonardi, Marco/0000-0003-3502-4232; Jones, Evan/0000-0002-7286-5471; Wei, Dong/0000-0003-4991-1529; Hurdeal, Vedprakash/0000-0003-4249-1840; ROSSI, Valter/0000-0002-1282-255X; Gentekaki, Eleni/0000-0002-3306-6714</t>
  </si>
  <si>
    <t>Thailand Research Fund [DBG6080013, RDG6130001]; Chiang Mai University; Thailand Science Research and Innovation (TSRI) grant Macrofungi diversity research from the Lancang-Mekong Watershed and surrounding areas [DBG6280009]; Distinguished Scientist Fellowship (DSFP), King Saud University, Kingdom of Saudi Arabia; Integrated Technology Platform, NSTDA-Thailand [P1952580]; BIOTEC</t>
  </si>
  <si>
    <t>Thailand Research Fund(Thailand Research Fund (TRF)); Chiang Mai University; Thailand Science Research and Innovation (TSRI) grant Macrofungi diversity research from the Lancang-Mekong Watershed and surrounding areas; Distinguished Scientist Fellowship (DSFP), King Saud University, Kingdom of Saudi Arabia; Integrated Technology Platform, NSTDA-Thailand; BIOTEC</t>
  </si>
  <si>
    <t>Kevin D. Hyde acknowledges Thailand Research Fund The future of specialist fungi in a changing climate: baseline data for generalist and specialist fungi associated with ants, Rhododendron species and Dracaena species (DBG6080013) and Impact of climate change on fungal diversity and biogeography in the Greater Mekong Sub-region (RDG6130001). Kevin D. Hyde thanks Chiang Mai University for the Award of Visiting Professor. Mark S. Calabon is grateful to Mushroom Research Foundation, Department of Science and Technology-Science Education Institute (Philippines), and Thailand Science Research and Innovation (TSRI) grant Macrofungi diversity research from the Lancang-Mekong Watershed and surrounding areas (Grant No. DBG6280009). E. B. Gareth Jones acknowledges the award of a Distinguished Scientist Fellowship (DSFP), King Saud University, Kingdom of Saudi Arabia. Nattawut Boonyuen thanks BIOTEC and the Integrated Technology Platform, NSTDA-Thailand (Grant Number P1952580) for partial support in this work.</t>
  </si>
  <si>
    <t>MAY</t>
  </si>
  <si>
    <t>10.1007/s13225-022-00503-2</t>
  </si>
  <si>
    <t>MAY 2022</t>
  </si>
  <si>
    <t>2D0BK</t>
  </si>
  <si>
    <t>WOS:000790629700001</t>
  </si>
  <si>
    <t>Phukhamsakda, C; Nilsson, RH; Bhunjun, CS; de Farias, ARG; Sun, YR; Wijesinghe, SN; Raza, M; Bao, DF; Lu, L; Tibpromma, S; Dong, W; Tennakoon, DS; Tian, XG; Xiong, YR; Karunarathna, SC; Cai, L; Luo, ZL; Wang, Y; Manawasinghe, IS; Camporesi, E; Kirk, PM; Promputtha, I; Kuo, CH; Su, HY; Doilom, M; Li, Y; Fu, YP; Hyde, KD</t>
  </si>
  <si>
    <t>Phukhamsakda, Chayanard; Nilsson, Rolf Henrik; Bhunjun, Chitrabhanu S.; de Farias, Antonio Roberto Gomes; Sun, Ya-Ru; Wijesinghe, Subodini N.; Raza, Mubashar; Bao, Dan-Feng; Lu, Li; Tibpromma, Saowaluck; Dong, Wei; Tennakoon, Danushka S.; Tian, Xing-Guo; Xiong, Yin-Ru; Karunarathna, Samantha C.; Cai, Lei; Luo, Zong-Long; Wang, Yong; Manawasinghe, Ishara S.; Camporesi, Erio; Kirk, Paul M.; Promputtha, Itthayakorn; Kuo, Chang-Hsin; Su, Hong-Yan; Doilom, Mingkwan; Li, Yu; Fu, Yong-Ping; Hyde, Kevin D.</t>
  </si>
  <si>
    <t>The numbers of fungi: contributions from traditional taxonomic studies and challenges of metabarcoding</t>
  </si>
  <si>
    <t>12 new taxa; Ascomycota; Fungal diversity; Fungal numbers; High-throughput sequencing; Host-specificity</t>
  </si>
  <si>
    <t>SP. NOV. DIDYMOSPHAERIACEAE; FRESH-WATER HABITATS; ENDOPHYTIC FUNGI; ARTHRINIUM APIOSPORACEAE; EXOPHIALA DERMATITIDIS; DIVERGENCE TIMES; REFINED FAMILIES; DECAYING BAMBOO; YUNNAN PROVINCE; CONIDIAL FUNGI</t>
  </si>
  <si>
    <t>The global diversity of fungi has been estimated using several different approaches. There is somewhere between 2-11 million estimated species, but the number of formally described taxa is around 150,000, a tiny fraction of the total. In this paper, we examine 12 ascomycete genera as case studies to establish trends in fungal species descriptions, and introduce new species in each genus. To highlight the importance of traditional morpho-molecular methods in publishing new species, we introduce novel taxa in 12 genera that are considered to have low species discovery. We discuss whether the species are likely to be rare or due to a lack of extensive sampling and classification. The genera are Apiospora, Bambusicola, Beltrania, Capronia, Distoseptispora, Endocalyx, Neocatenulostroma, Neodeightonia, Paraconiothyrium, Peroneutypa, Phaeoacremonium and Vanakripa. We discuss host-specificity in selected genera and compare the number of species epithets in each genus with the number of ITS (barcode) sequences deposited in GenBank and UNITE. We furthermore discuss the relationship between the divergence times of these genera with those of their hosts. We hypothesize whether there might be more species in these genera and discuss hosts and habitats that should be investigated for novel species discovery.</t>
  </si>
  <si>
    <t>Phukhamsakda, Chayanard</t>
  </si>
  <si>
    <t>[Phukhamsakda, Chayanard; Li, Yu; Fu, Yong-Ping; Hyde, Kevin D.] Jilin Agr Univ, Engn Res Ctr, Chinese Minist Educ Edible &amp; Med Fungi, Changchun 130118, Jilin, Peoples R China; [Phukhamsakda, Chayanard; Li, Yu; Fu, Yong-Ping; Hyde, Kevin D.] Jilin Agr Univ, Coll Plant Protect, Changchun 130118, Jilin, Peoples R China; [Nilsson, Rolf Henrik] Gothenburg Global Biodivers Ctr, S-40530 Gothenburg, Sweden; [Nilsson, Rolf Henrik] Univ Gothenburg, Dept Biol &amp; Environm Sci, Box 461, S-40530 Gothenburg, Sweden; [Bhunjun, Chitrabhanu S.; de Farias, Antonio Roberto Gomes; Sun, Ya-Ru; Wijesinghe, Subodini N.; Bao, Dan-Feng; Lu, Li; Tennakoon, Danushka S.; Tian, Xing-Guo; Xiong, Yin-Ru; Hyde, Kevin D.] Mae Fah Luang Univ, Ctr Excellence Fungal Res, Chiang Rai 57100, Thailand; [Bhunjun, Chitrabhanu S.; Sun, Ya-Ru; Wijesinghe, Subodini N.; Tennakoon, Danushka S.; Tian, Xing-Guo] Mae Fah Luang Univ, Sch Sci, Chiang Rai 57100, Thailand; [Sun, Ya-Ru; Wang, Yong] Guizhou Univ, Coll Agr, Dept Plant Pathol, Guiyang 550025, Guizhou, Peoples R China; [Raza, Mubashar; Cai, Lei] Chinese Acad Sci, Inst Microbiol, State Key Lab Mycol, Beijing 100101, Peoples R China; [Bao, Dan-Feng; Luo, Zong-Long; Su, Hong-Yan] Dali Univ, Coll Agr &amp; Biol Sci, Dali 671003, Yunnan, Peoples R China; [Bao, Dan-Feng] Chiang Mai Univ, Fac Agr, Dept Entomol &amp; Plant Pathol, Chiang Mai 50200, Thailand; [Lu, Li; Tibpromma, Saowaluck; Tian, Xing-Guo; Karunarathna, Samantha C.] Kunming Inst Bot, Ctr Mt Futures, Kunming 650201, Yunnan, Peoples R China; [Lu, Li; Tibpromma, Saowaluck; Tian, Xing-Guo; Karunarathna, Samantha C.] Qujing Normal Univ, Coll Biol Resource &amp; Food Engn, Ctr Yunnan Plateau Biol Resources Protect &amp; Utili, Qujing 655011, Yunnan, Peoples R China; [Dong, Wei; Xiong, Yin-Ru; Manawasinghe, Ishara S.; Doilom, Mingkwan; Hyde, Kevin D.] Zhongkai Univ Agr &amp; Engn, Innovat Inst Plant Hlth, Guangzhou 510225, Peoples R China; [Tennakoon, Danushka S.; Kuo, Chang-Hsin] Natl Chiayi Univ, Dept Plant Med, 300 Syuefu Rd, Chiayi 60004, Taiwan; [Tian, Xing-Guo] Guizhou Inst Technol, Sch Food &amp; Pharmaceut Engn, Guiyang 550003, Peoples R China; [Tian, Xing-Guo] Chinese Acad Sci, Kunming Inst Bot, CAS Key Lab Plant Divers &amp; Biogeog East Asia, Kunming 650201, Yunnan, Peoples R China; [Camporesi, Erio] AMB Grp, Micol Forlivese Antonio Cicognani, Via Roma 18, Forli, Italy; [Camporesi, Erio] AMB, Circolo Micol Giovanni Carini, CP 314, Brescia, Italy; [Camporesi, Erio] Soc Studi Nat Romagna, CP 144, Bagnacavallo, RA, Italy; [Kirk, Paul M.] Royal Bot Garden Kew, Biodivers Informat &amp; Spatial Anal, London TW9 3AE, England; [Promputtha, Itthayakorn] Chiang Mai Univ, Fac Sci, Dept Biol, Chiang Mai, Thailand; [Promputtha, Itthayakorn] Chiang Mai Univ, Res Ctr Bioresources Agr Ind &amp; Med, Chiang Mai, Thailand; [Promputtha, Itthayakorn] Chiang Mai Univ, Fac Sci, Environm Sci Res Ctr, Chiang Mai, Thailand</t>
  </si>
  <si>
    <t>Jilin Agricultural University; Jilin Agricultural University; University of Gothenburg; University of Gothenburg; Mae Fah Luang University; Mae Fah Luang University; Guizhou University; Chinese Academy of Sciences; Institute of Microbiology, CAS; Dali University; Chiang Mai University; Chinese Academy of Sciences; Kunming Institute of Botany, CAS; Zhongkai University of Agriculture &amp; Engineering; National Chiayi University; Guizhou Institute of Technology; Chinese Academy of Sciences; Kunming Institute of Botany, CAS; Royal Botanic Gardens, Kew; Chiang Mai University; Chiang Mai University; Chiang Mai University</t>
  </si>
  <si>
    <t>Fu, YP; Hyde, KD (通讯作者)，Jilin Agr Univ, Engn Res Ctr, Chinese Minist Educ Edible &amp; Med Fungi, Changchun 130118, Jilin, Peoples R China.;Fu, YP; Hyde, KD (通讯作者)，Jilin Agr Univ, Coll Plant Protect, Changchun 130118, Jilin, Peoples R China.;Hyde, KD (通讯作者)，Mae Fah Luang Univ, Ctr Excellence Fungal Res, Chiang Rai 57100, Thailand.;Hyde, KD (通讯作者)，Zhongkai Univ Agr &amp; Engn, Innovat Inst Plant Hlth, Guangzhou 510225, Peoples R China.</t>
  </si>
  <si>
    <t>fuyongping81@126.com; kdhyde3@gmail.com</t>
  </si>
  <si>
    <t>Cai, Lei/W-4996-2017; Phukhamsakda, Chayanard/GWM-8315-2022; Tennakoon, Danushka Sandaruwan/AAY-9702-2021; Phukhamsakda, Chayanard/AAH-8593-2021; Doilom, Mingkwan/V-3017-2017; Bhunjun, Chitrabhanu/AAN-3268-2020; Raza, Mubashar/AAO-1659-2020; Manawasinghe, Ishara/AAD-7555-2019; Hyde, Kevin D/F-7890-2010</t>
  </si>
  <si>
    <t>Cai, Lei/0000-0002-8131-7274; Phukhamsakda, Chayanard/0000-0002-1033-937X; Tennakoon, Danushka Sandaruwan/0000-0003-2306-1255; Phukhamsakda, Chayanard/0000-0002-1033-937X; Bhunjun, Chitrabhanu/0000-0001-8098-3390; Raza, Mubashar/0000-0001-7665-1457; Manawasinghe, Ishara/0000-0001-5730-3596; Wijesinghe, Nuwanthika/0000-0002-5625-9578; Tian, Xingguo/0000-0002-8124-1281</t>
  </si>
  <si>
    <t>National Natural Science Foundation of China (NSFC) [32100007]; Chiang Mai University [RDG6130001]; National Science and Technology Fundamental Resources Investigation Program of China [2021FY100900]; Program of Creation and Utilization of Germplasm of Mushroom Crop of 111 Project [D17014]; Mae Fah Luang University; National Natural Science Foundation of China [31970021, 32060005]; Yunnan Fundamental Research Project [202101AU070137]; International Postdoctoral Exchange Fellowship Program [Y9180822S1]; CAS President's International Fellowship Initiative (PIFI) [2020PC0009, 2020PB0115, 2020FYC0002]; China Postdoctoral Science Foundation; Yunnan Human Resources, and Social Security Department Foundation; Chiang Mai University; National Science Foundation of China (NSFC) [32050410295, 31750110478]</t>
  </si>
  <si>
    <t>National Natural Science Foundation of China (NSFC)(National Natural Science Foundation of China (NSFC)); Chiang Mai University; National Science and Technology Fundamental Resources Investigation Program of China; Program of Creation and Utilization of Germplasm of Mushroom Crop of 111 Project; Mae Fah Luang University; National Natural Science Foundation of China(National Natural Science Foundation of China (NSFC)); Yunnan Fundamental Research Project; International Postdoctoral Exchange Fellowship Program; CAS President's International Fellowship Initiative (PIFI); China Postdoctoral Science Foundation(China Postdoctoral Science Foundation); Yunnan Human Resources, and Social Security Department Foundation; Chiang Mai University; National Science Foundation of China (NSFC)(National Natural Science Foundation of China (NSFC))</t>
  </si>
  <si>
    <t>Chayanard Phukhamsakda (Postdoctoral number 271007) would like to thank Jilin Agricultural University, National Natural Science Foundation of China (NSFC) for granting a Youth Science Fund Project (number 32100007). Chayanard Phukhamsakda would like to thank Song Wang and Qi Zhao for their valuable help with the entries and Dr. Shaun Pennycook from Manaaki Whenua, Landcare Research, New Zealand. Kevin D Hyde thanks Chiang Mai University for the award of Visiting Professor and the Thailand Research Fund, grant RDG6130001, titled Impact of climate change on fungal diversity and biogeography in the Greater Mekong Subregion. Yong-Ping Fu would like to thank the National Science and Technology Fundamental Resources Investigation Program of China (number 2021FY100900) and the Program of Creation and Utilization of Germplasm of Mushroom Crop of 111 Project (No. D17014). Li Lu would like to thank the Mae Fah Luang University for the award of a fee-less scholarship and Center for Mountain Futures, Kunming Institute of Botany, Chinese Academy of Science and Center of Excellence in Fungal Research for the facilities provided for her PhD. Dan-Feng Bao would like to thank the National Natural Science Foundation of China (Project ID: 31970021, 32060005) and Yunnan Fundamental Research Project (grant NO. 202101AU070137) for the financial and laboratory support. Saowaluck Tibpromma thanks International Postdoctoral Exchange Fellowship Program (number Y9180822S1), CAS President's International Fellowship Initiative (PIFI) (number 2020PC0009), China Postdoctoral Science Foundation and the Yunnan Human Resources, and Social Security Department Foundation for funding her postdoctoral research. This research was partially supported by Chiang Mai University. Mubashar Raza thanks CAS President's International Fellowship Initiative (PIFI) for funding his postdoctoral research (Grant No. 2020PB0115) and the National Science Foundation of China (NSFC, project code 32050410295). Samantha C. Karunarathna thanks CAS President's International Fellowship Initiative (PIFI) young staff under the grant number: 2020FYC0002 for funding his postdoctoral research and the National Science Foundation of China (NSFC) for funding this research work under project code 31750110478.</t>
  </si>
  <si>
    <t>10.1007/s13225-022-00502-3</t>
  </si>
  <si>
    <t>APR 2022</t>
  </si>
  <si>
    <t>hybrid</t>
  </si>
  <si>
    <t>WOS:000788477900001</t>
  </si>
  <si>
    <t>Senanayake, IC; Pem, D; Rathnayaka, AR; Wijesinghe, SN; Tibpromma, S; Wanasinghe, DN; Phookamsak, RT; Kularathnage, ND; Gomdola, D; Harishchandra, D; Dissanayake, LS; Xiang, MM; Ekanayaka, AH; McKenzie, EHC; Hyde, KVD; Zhang, HX; Xie, N</t>
  </si>
  <si>
    <t>Senanayake, Indunil C.; Pem, Dhandevi; Rathnayaka, Achala R.; Wijesinghe, Subodini N.; Tibpromma, Saowaluck; Wanasinghe, Dhanushka N.; Phookamsak, Rungtiwa; Kularathnage, Nuwan D.; Gomdola, Deecksha; Harishchandra, Dulanjalee; Dissanayake, Lakmali S.; Xiang, Mei-mei; Ekanayaka, Anusha H.; McKenzie, Eric H. C.; Hyde, Kevin D.; Zhang, Hao-xing; Xie, Ning</t>
  </si>
  <si>
    <t>Predicting global numbers of teleomorphic ascomycetes (Mar, 10.1007/s13225-022-00498-w, 2022)</t>
  </si>
  <si>
    <t>Correction</t>
  </si>
  <si>
    <t>Senanayake, Indunil C.</t>
  </si>
  <si>
    <t>[Senanayake, Indunil C.; Zhang, Hao-xing; Xie, Ning] Shenzhen Univ, Coll Life Sci &amp; Oceanog, Guangdong Prov Key Lab Plant Epigenet, Nanhai Ave, Shenzhen 3688, Guangdong, Peoples R China; [Senanayake, Indunil C.; Kularathnage, Nuwan D.; Xiang, Mei-mei; Hyde, Kevin D.] Zhongkai Univ Agr &amp; Engn, Innovat Inst Plant Hlth, Guangzhou 510225, Peoples R China; [Pem, Dhandevi; Rathnayaka, Achala R.; Wijesinghe, Subodini N.; Kularathnage, Nuwan D.; Gomdola, Deecksha; Harishchandra, Dulanjalee; Ekanayaka, Anusha H.; Hyde, Kevin D.] Mae Fah Luang Univ, Ctr Excellence Fungal Res, Chiang Rai 57100, Thailand; [Pem, Dhandevi; Rathnayaka, Achala R.; Wijesinghe, Subodini N.; Kularathnage, Nuwan D.; Gomdola, Deecksha; Harishchandra, Dulanjalee; Ekanayaka, Anusha H.; Hyde, Kevin D.] Mae Fah Luang Univ, Sch Sci, Chiang Rai 57100, Thailand; [Tibpromma, Saowaluck; Wanasinghe, Dhanushka N.; Phookamsak, Rungtiwa; Ekanayaka, Anusha H.; Hyde, Kevin D.] Chinese Acad Sci, Kunming Inst Bot, Honghe Ctr Mt Futures, Honghe Cty 654400, Yunnan, Peoples R China; [Wanasinghe, Dhanushka N.; Phookamsak, Rungtiwa] Kunming Inst Bot, Ctr Mt Futures CMF, Kunming 650201, Yunnan, Peoples R China; [Tibpromma, Saowaluck; Wanasinghe, Dhanushka N.; Phookamsak, Rungtiwa] World Agroforestry ICRAF, CIFOR ICRAF China Program, Kunming 650201, Yunnan, Peoples R China; [Harishchandra, Dulanjalee] Beijing Acad Agr &amp; Forestry Sci, Inst Plant &amp; Environm Protect, Beijing Key Lab Environm Friendly Management Frui, Beijing 100097, Peoples R China; [Dissanayake, Lakmali S.] Guizhou Univ, Minist Educ, Engn Res Ctr Utilizat Characterist Biopharmaceut, Guiyang 550025, Guizhou, Peoples R China; [McKenzie, Eric H. C.] Auckland Mail Ctr, Manaaki Whenua Landcare Res, Private Bag 92170, Auckland 1142, New Zealand</t>
  </si>
  <si>
    <t>Shenzhen University; Zhongkai University of Agriculture &amp; Engineering; Mae Fah Luang University; Mae Fah Luang University; Chinese Academy of Sciences; Kunming Institute of Botany, CAS; Chinese Academy of Sciences; Kunming Institute of Botany, CAS; Beijing Academy of Agriculture &amp; Forestry; Guizhou University; Landcare Research - New Zealand</t>
  </si>
  <si>
    <t>Xie, N (通讯作者)，Shenzhen Univ, Coll Life Sci &amp; Oceanog, Guangdong Prov Key Lab Plant Epigenet, Nanhai Ave, Shenzhen 3688, Guangdong, Peoples R China.</t>
  </si>
  <si>
    <t>Shainin@msn.cn</t>
  </si>
  <si>
    <t>Gomdola, Deecksha/GYQ-9426-2022; Ekanayaka, Anusha H./HKW-6186-2023; Hyde, Kevin D/F-7890-2010; Phookamsak, Rungtiwa/O-9441-2019</t>
  </si>
  <si>
    <t>Phookamsak, Rungtiwa/0000-0002-6321-8416; Zhang, Haoxing/0000-0002-0551-2916</t>
  </si>
  <si>
    <t>10.1007/s13225-022-00504-1</t>
  </si>
  <si>
    <t>MAR 2022</t>
  </si>
  <si>
    <t>WOS:000762880500001</t>
  </si>
  <si>
    <t>Senanayake, IC; Pem, D; Rathnayaka, AR; Wijesinghe, SN; Tibpromma, S; Wanasinghe, DN; Phookamsak, R; Kularathnage, ND; Gomdola, D; Harishchandra, D; Dissanayake, LS; Xiang, MM; Ekanayaka, AH; McKenzie, EHC; Hyde, KD; Zhang, HX; Xie, N</t>
  </si>
  <si>
    <t>Predicting global numbers of teleomorphic ascomycetes</t>
  </si>
  <si>
    <t>Ascomycota; Estimates; Habitat diversity; Molecular techniques; Species concepts</t>
  </si>
  <si>
    <t>FUNGAL COMMUNITY ANALYSIS; MINAS-GERAIS STATE; LEAF-LITTER FUNGI; DNA-SEQUENCE DATA; SPECIES BOUNDARIES; SP. NOV.; NATURAL CLASSIFICATION; PHENOTYPIC PLASTICITY; POPULATION-STRUCTURE; NEMATOPHAGOUS FUNGI</t>
  </si>
  <si>
    <t>Sexual reproduction is the basic way to form high genetic diversity and it is beneficial in evolution and speciation of fungi. The global diversity of teleomorphic species in Ascomycota has not been estimated. This paper estimates the species number for sexual ascomycetes based on five different estimation approaches, viz. by numbers of described fungi, by fungus:substrate ratio, by ecological distribution, by meta-DNA barcoding or culture-independent studies and by previous estimates of species in Ascomycota. The assumptions were made with the currently most accepted, 2.2-3.8 million species estimate and results of previous studies concluding that 90% of the described ascomycetes reproduce sexually. The Catalogue of Life, Species Fungorum and published research were used for data procurement. The average value of teleomorphic species in Ascomycota from all methods is 1.86 million, ranging from 1.37 to 2.56 million. However, only around 83,000 teleomorphic species have been described in Ascomycota and deposited in data repositories. The ratio between described teleomorphic ascomycetes to predicted teleomorphic ascomycetes is 1:22. Therefore, where are the undiscovered teleomorphic ascomycetes? The undescribed species are no doubt to be found in biodiversity hot spots, poorly-studied areas and species complexes. Other poorly studied niches include extremophiles, lichenicolous fungi, human pathogens, marine fungi, and fungicolous fungi. Undescribed species are present in unexamined collections in specimen repositories or incompletely described earlier species. Nomenclatural issues, such as the use of separate names for teleomorph and anamorphs, synonyms, conspecific names, illegitimate and invalid names also affect the number of described species. Interspecies introgression results in new species, while species numbers are reduced by extinctions.</t>
  </si>
  <si>
    <t>[Senanayake, Indunil C.; Zhang, Hao-xing; Xie, Ning] Shenzhen Univ, Coll Life Sci &amp; Oceanog, Guangdong Prov Key Lab Plant Epigenet, Nanhai Ave, Shenzhen 3688, Guangdong, Peoples R China; [Senanayake, Indunil C.; Kularathnage, Nuwan D.; Xiang, Mei-mei; Hyde, Kevin D.] Zhongkai Univ Agr &amp; Engn, Innovat Inst Plant Hlth, Guangzhou 510225, Peoples R China; [Pem, Dhandevi; Rathnayaka, Achala R.; Wijesinghe, Subodini N.; Kularathnage, Nuwan D.; Gomdola, Deecksha; Harishchandra, Dulanjalee; Ekanayaka, Anusha H.; Hyde, Kevin D.] Mae Fah Luang Univ, Ctr Excellence Fungal Res, Chiang Rai 57100, Thailand; [Pem, Dhandevi; Rathnayaka, Achala R.; Wijesinghe, Subodini N.; Kularathnage, Nuwan D.; Gomdola, Deecksha; Harishchandra, Dulanjalee; Ekanayaka, Anusha H.; Hyde, Kevin D.] Mae Fah Luang Univ, Sch Sci, Chiang Rai 57100, Thailand; [Tibpromma, Saowaluck; Wanasinghe, Dhanushka N.; Phookamsak, Rungtiwa; Ekanayaka, Anusha H.; Hyde, Kevin D.] Chinese Acad Sci, Honghe Ctr Mt Futures, Kunming Inst Bot, Honghe 654400, Yunnan, Peoples R China; [Wanasinghe, Dhanushka N.; Phookamsak, Rungtiwa] Kunming Inst Bot, Ctr Mt Futures CMF, Kunming 650201, Yunnan, Peoples R China; [Tibpromma, Saowaluck; Wanasinghe, Dhanushka N.; Phookamsak, Rungtiwa] World Agroforestry ICRAF, CIFOR ICRAF China Program, Kunming 650201, Yunnan, Peoples R China; [Harishchandra, Dulanjalee] Beijing Acad Agr &amp; Forestry Sci, Inst Plant &amp; Environm Protect, Beijing Key Lab Environm Friendly Management Frui, Beijing 100097, Peoples R China; [Dissanayake, Lakmali S.] Guizhou Univ, Engn Res Ctr Utilizat Characterist Biopharmaceut, Minist Educ, Guiyang 550025, Guizhou, Peoples R China; [McKenzie, Eric H. C.] Auckland Mail Ctr, Manaaki Whenua Landcare Res, Private Bag 92170, Auckland 1142, New Zealand</t>
  </si>
  <si>
    <t>Gomdola, Deecksha/GYQ-9426-2022; Harishchandra, Dulanjalee Lakmali/AFL-4623-2022; Wanasinghe, Dhanushka Nadeeshan/P-1693-2017; Hyde, Kevin D/F-7890-2010; Ekanayaka, Anusha H./HKW-6186-2023</t>
  </si>
  <si>
    <t>Harishchandra, Dulanjalee Lakmali/0000-0003-1538-4951; Wanasinghe, Dhanushka Nadeeshan/0000-0003-1759-3933; Wijesinghe, Nuwanthika/0000-0002-5625-9578; Senanayake, Indunil/0000-0002-7165-2394</t>
  </si>
  <si>
    <t>National Key R&amp;D Program of China [2021YFA0910800]; National Natural Science Foundation of China [31601014]; Basic and applied basic research fund of Guangdong Province [2121A1515012166]; Stability Support Project for Universities in Shenzhen [20200812173625001]; Project of DEGP [2019KTSCX150]; Thailand Science Research and Innovation (TSRI) from the LancangMekong Watershed and Surrounding areas [DBG6280009]; CAS President's International Fellowship Initiative (PIFI) [2021FYB0005, 2020PC0009, 2019FYC0003]; Human Resources and Social Security Bureau of Yunnan Province; National Science Foundation of China; International Postdoctoral Exchange Fellowship Program [Y9180822S1]; China Postdoctoral Science Foundation; Yunnan Human Resources; Social Security Department Foundation</t>
  </si>
  <si>
    <t>National Key R&amp;D Program of China; National Natural Science Foundation of China(National Natural Science Foundation of China (NSFC)); Basic and applied basic research fund of Guangdong Province; Stability Support Project for Universities in Shenzhen; Project of DEGP; Thailand Science Research and Innovation (TSRI) from the LancangMekong Watershed and Surrounding areas; CAS President's International Fellowship Initiative (PIFI); Human Resources and Social Security Bureau of Yunnan Province; National Science Foundation of China(National Natural Science Foundation of China (NSFC)); International Postdoctoral Exchange Fellowship Program; China Postdoctoral Science Foundation(China Postdoctoral Science Foundation); Yunnan Human Resources; Social Security Department Foundation</t>
  </si>
  <si>
    <t>Ning Xie thanks National Key R&amp;D Program of China (2021YFA0910800), National Natural Science Foundation of China (No. 31601014), Basic and applied basic research fund of Guangdong Province (2121A1515012166), Stability Support Project for Universities in Shenzhen (20200812173625001) and Project of DEGP (2019KTSCX150) for funding. Senanayake thanks to Paul Kirk, Samantha C. Karunarathna for data contribution. S.N. Wijesinghe would like to acknowledge Thailand Science Research and Innovation (TSRI) grant for Macrofungi diversity research from the LancangMekong Watershed and Surrounding areas (Grant No. DBG6280009). Dhanushka Wanasinghe thanks the CAS President's International Fellowship Initiative (PIFI) for funding his postdoctoral research (number 2021FYB0005), the Postdoctoral Fund from Human Resources and Social Security Bureau of Yunnan Province and the National Science Foundation of China. Saowaluck Tibpromma would like to thank the International Postdoctoral Exchange Fellowship Program (Number Y9180822S1), CAS President's International Fellowship Initiative (PIFI) (Number 2020PC0009), China Postdoctoral Science Foundation and the Yunnan Human Resources, and Social Security Department Foundation for funding her postdoctoral research. Rungtiwa Phookamsak thanks to CAS President's International Fellowship Initiative (PIFI) for young staff (Grant No. 2019FYC0003) and High-level Talent Support Plan Young Top Talent Special Project of Yunnan Province.</t>
  </si>
  <si>
    <t>10.1007/s13225-022-00498-w</t>
  </si>
  <si>
    <t>FEB 2022</t>
  </si>
  <si>
    <t>WOS:000757239900001</t>
  </si>
  <si>
    <t>He, MQ; Zhao, RL; Liu, DM; Denchev, TT; Begerow, D; Yurkov, A; Kemler, M; Millanes, AM; Wedin, M; McTaggart, AR; Shivas, RG; Buyck, B; Chen, J; Vizzini, A; Papp, V; Zmitrovich, IV; Davoodian, N; Hyde, KD</t>
  </si>
  <si>
    <t>He, Mao-Qiang; Zhao, Rui-Lin; Liu, Dong-Mei; Denchev, Teodor T.; Begerow, Dominik; Yurkov, Andrey; Kemler, Martin; Millanes, Ana M.; Wedin, Mats; McTaggart, A. R.; Shivas, Roger G.; Buyck, Bart; Chen, Jie; Vizzini, Alfredo; Papp, Viktor; Zmitrovich, Ivan, V; Davoodian, Naveed; Hyde, Kevin D.</t>
  </si>
  <si>
    <t>Species diversity of basidiomycota</t>
  </si>
  <si>
    <t>Biodiversity; Fungi; Species number; Taxonomy</t>
  </si>
  <si>
    <t>INTERNAL TRANSCRIBED SPACER; AGARICUS SECTION MINORES; SP-NOV MICROSTROMATALES; G. LUCIDUM COMPLEX; SMUT FUNGI; SP. NOV.; RIBOSOMAL DNA; PHYLOGENETIC-RELATIONSHIPS; RUST FUNGI; GEN. NOV.</t>
  </si>
  <si>
    <t>Fungi are eukaryotes that play essential roles in ecosystems. Among fungi, Basidiomycota is one of the major phyla with more than 40,000 described species. We review species diversity of Basidiomycota from five groups with different lifestyles or habitats: saprobic in grass/forest litter, wood-decaying, yeast-like, ectomycorrhizal, and plant parasitic. Case studies of Agaricus, Cantharellus, Ganoderma, Gyroporus, Russula, Tricholoma, and groups of lichenicolous yeast-like fungi, rust fungi, and smut fungi are used to determine trends in discovery of biodiversity. In each case study, the number of new species published during 2009-2020 is analysed to determine the rate of discovery. Publication rates differ between taxa and reflect different states of progress for species discovery in different genera. The results showed that lichenicolous yeast-like taxa had the highest publication rate for new species in the past two decades, and it is likely this trend will continue in the next decade. The species discovery rate of plant parasitic basidiomycetes was low in the past ten years, and remained constant in the past 50 years. We also found that the establishment of comprehensive and robust taxonomic systems based on a joint global initiative by mycologists could promote and standardize the recognition of taxa. We estimated that more than 54,000 species of Basidiomycota will be discovered by 2030, and estimate a total of 1.4-4.2 million species of Basidiomycota globally. These numbers illustrate a huge gap between the described and yet unknown diversity in Basidiomycota.</t>
  </si>
  <si>
    <t>He, Mao-Qiang</t>
  </si>
  <si>
    <t>[He, Mao-Qiang; Zhao, Rui-Lin] Chinese Acad Sci, Inst Microbiol, State Key Lab Mycol, Beijing 100101, Peoples R China; [Zhao, Rui-Lin] Univ Chinese Acad Sci, Coll Life Sci, Beijing 100408, Peoples R China; [Liu, Dong-Mei] Chinese Res Inst Environm Sci, Inst Ecol, Beijing 100012, Peoples R China; [Denchev, Teodor T.] Bulgarian Acad Sci, Inst Biodivers &amp; Ecosyst Res, 2 Gagarin St, Sofia 1113, Bulgaria; [Begerow, Dominik; Kemler, Martin] Ruhr Univ Bochum, Evolut Pflanzen &amp; Pilze, ND 03,Univ Str 150, D-44801 Bochum, Germany; [Yurkov, Andrey] Leibniz Inst DSMZ German Collect Microorganisms &amp;, Inhoffenstr 7B, D-38124 Braunschweig, Germany; [Millanes, Ana M.] Univ Rey Juan Carlos, Dept Biol &amp; Geol Fis &amp; Quim Inorgan, Mostoles 28933, Spain; [Wedin, Mats] Dept Bot, Swedish Museum Nat Hist, POB 50007, S-10405 Stockholm, Sweden; [McTaggart, A. R.] Univ Queensland, Queensland Alliance Agr &amp; Food Innovat, Brisbane, Qld 4001, Australia; [Shivas, Roger G.] Univ Southern Queensland, Ctr Crop Hlth, Toowoomba, Qld 4350, Australia; [Buyck, Bart] Sorbonne Univ, Inst Systemat Ecol Biodiversite ISYEB, Dept Origines &amp; Evolut, CNRS,UMR 7205,Museum Natl Hist Nat, CP 39,12 Rue Buffon, F-75005 Paris, France; [Chen, Jie] Univ Veracruzana, Fac Ciencias Biol &amp; Agr, Amatlan De Los Reyes 94945, Veracruz, Mexico; [Vizzini, Alfredo] Univ Torino, Dipartimento Sci Vita &amp; Biol Sistemi, Viale PA Mattioli 25, I-10125 Turin, Italy; [Papp, Viktor] Hungarian Univ Agr &amp; Life Sci, Dept Bot, H-1518 Budapest, Hungary; [Zmitrovich, Ivan, V] Russian Acad Sci, Komarov Bot Inst, Prof Popov St 2, St Petersburg 197376, Russia; [Davoodian, Naveed] Royal Bot Gardens Victoria, Birdwood Ave, Melbourne, Vic 3004, Australia; [Hyde, Kevin D.] Mae Fah Luang Univ, Ctr Excellence Fungal Res, Chiang Rai 57100, Thailand; [Hyde, Kevin D.] Chinese Acad Sci, Kunming Inst Bot, CAS Key Lab Plant Biodivers &amp; Biogeog East Asia K, Kunming 650201, Yunnan, Peoples R China; [Hyde, Kevin D.] Zhongkai Univ Agr &amp; Engn, Innovat Inst Plant Hlth, Guangzhou 510225, Peoples R China</t>
  </si>
  <si>
    <t>Chinese Academy of Sciences; Institute of Microbiology, CAS; Chinese Academy of Sciences; University of Chinese Academy of Sciences, CAS; Chinese Research Academy of Environmental Sciences; Bulgarian Academy of Sciences; Ruhr University Bochum; Leibniz Institut fur Deutsche Sammlung von Mikroorganismen und Zellkulturen (DSMZ); Universidad Rey Juan Carlos; Swedish Museum of Natural History; University of Queensland; University of Southern Queensland; Centre National de la Recherche Scientifique (CNRS); CNRS - Institute of Ecology &amp; Environment (INEE); Museum National d'Histoire Naturelle (MNHN); UDICE-French Research Universities; Sorbonne Universite; Universidad Veracruzana; University of Turin; Hungarian University of Agriculture &amp; Life Sciences; Russian Academy of Sciences; Komarov Botanical Institute, Russian Academy of Sciences; Mae Fah Luang University; Chinese Academy of Sciences; Kunming Institute of Botany, CAS; Zhongkai University of Agriculture &amp; Engineering</t>
  </si>
  <si>
    <t>Zhao, RL (通讯作者)，Chinese Acad Sci, Inst Microbiol, State Key Lab Mycol, Beijing 100101, Peoples R China.;Zhao, RL (通讯作者)，Univ Chinese Acad Sci, Coll Life Sci, Beijing 100408, Peoples R China.</t>
  </si>
  <si>
    <t>zhaorl@im.ac.cn</t>
  </si>
  <si>
    <t>McTaggart, Alistair R/A-8871-2014; liu, dong/GRJ-9115-2022; Hyde, Kevin D/F-7890-2010; Kemler, Martin/GSD-6740-2022; Yurkov, Andrey M./E-7854-2011; Millanes, Ana María/A-3757-2009; Zmitrovich, Ivan Viktorovich/I-1523-2013; Chen, Jie/E-6836-2019</t>
  </si>
  <si>
    <t>McTaggart, Alistair R/0000-0002-0996-1313; Kemler, Martin/0000-0002-0738-4233; Yurkov, Andrey M./0000-0002-1072-5166; Millanes, Ana María/0000-0001-5003-4186; Zmitrovich, Ivan Viktorovich/0000-0002-3927-2527; Chen, Jie/0000-0001-9298-4892; Denchev, Teodor T./0000-0002-7242-3307</t>
  </si>
  <si>
    <t>National Natural Science Foundation of China [31961143010, 31970010, 31470152, 32100011]; CAS Engineering Laboratory for Advanced Microbial Technology of Agriculture [KFJ-PTXM-016]; Beijing Innovative Consortium of Agriculture Research System [BAIC05-2021]; China Postdoctoral Science Foundation [2021M693361]; Department of the Environment and Energy under the Australian Biological Resources Study [RG18-43]; Spanish Ministry of Economy and Competitiveness [CGL2016-80371-P]; Swedish Research Council Vetenskapsradet [VR2016-03589]; Swedish Taxonomy Initiative [STI2020.4.3-231]</t>
  </si>
  <si>
    <t>National Natural Science Foundation of China(National Natural Science Foundation of China (NSFC)); CAS Engineering Laboratory for Advanced Microbial Technology of Agriculture; Beijing Innovative Consortium of Agriculture Research System; China Postdoctoral Science Foundation(China Postdoctoral Science Foundation); Department of the Environment and Energy under the Australian Biological Resources Study; Spanish Ministry of Economy and Competitiveness(Spanish Government); Swedish Research Council Vetenskapsradet(Swedish Research Council); Swedish Taxonomy Initiative</t>
  </si>
  <si>
    <t>Rui-Lin Zhao would like to thank the National Natural Science Foundation of China (Project ID: 31961143010, 31970010, 31470152), CAS Engineering Laboratory for Advanced Microbial Technology of Agriculture (Project ID: KFJ-PTXM-016) and Beijing Innovative Consortium of Agriculture Research System (Project ID: BAIC05-2021). Mao-Qiang He would like to thank the China Postdoctoral Science Foundation (Project ID: 2021M693361) and the National Natural Science Foundation of China (Project ID: 32100011). Alistair McTaggart acknowledges support from the Department of the Environment and Energy under the Australian Biological Resources Study (grant number RG18-43). Ana Millanes acknowledges support from the Spanish Ministry of Economy and Competitiveness (CGL2016-80371-P). Mats Wedin acknowledges support from the Swedish Research Council Vetenskapsradet (VR2016-03589) and the Swedish Taxonomy Initiative (STI2020.4.3-231). Andrey Yurkov, Ana M Millanes and Mats Wedin would like to thank MycoBank curator Dr. Konstanze Bensch for her help in retrieving names of new species published during the last ten years. Ming-Zhe Zhang is thanked for his help in species number estimation work.</t>
  </si>
  <si>
    <t>10.1007/s13225-021-00497-3</t>
  </si>
  <si>
    <t>JAN 2022</t>
  </si>
  <si>
    <t>Green Published</t>
  </si>
  <si>
    <t>WOS:000742621400001</t>
  </si>
  <si>
    <t>Orr, MC; Feijo, A; Chesters, D; Vogler, AP; Bossert, S; Ferrari, RR; Costello, MJ; Hughes, AC; Krogmann, L; Ascher, JS; Zhou, X; Li, DZ; Bai, M; Chen, J; Ge, DY; Luo, AR; Qiao, GX; Williams, PH; Zhang, AB; Ma, KP; Zhang, F; Zhu, CD</t>
  </si>
  <si>
    <t>Orr, Michael C.; Feijo, Anderson; Chesters, Douglas; Vogler, Alfried P.; Bossert, Silas; Ferrari, Rafael R.; Costello, Mark John; Hughes, Alice C.; Krogmann, Lars; Ascher, John S.; Zhou, Xin; Li, De-Zhu; Bai, Ming; Chen, Jun; Ge, Deyan; Luo, Arong; Qiao, Gexia; Williams, Paul H.; Zhang, Ai-bing; Ma, Keping; Zhang, Feng; Zhu, Chao-Dong</t>
  </si>
  <si>
    <t>Six steps for building a technological knowledge base for future taxonomic work</t>
  </si>
  <si>
    <t>NATIONAL SCIENCE REVIEW</t>
  </si>
  <si>
    <t>Orr, Michael C.</t>
  </si>
  <si>
    <t>[Orr, Michael C.; Feijo, Anderson; Chesters, Douglas; Ferrari, Rafael R.; Bai, Ming; Chen, Jun; Ge, Deyan; Luo, Arong; Qiao, Gexia; Zhu, Chao-Dong] Chinese Acad Sci, Inst Zool, Key Lab Zool Systemat &amp; Evolut, Beijing, Peoples R China; [Orr, Michael C.; Krogmann, Lars] Staatl Museum Nat Kunde Stuttgart, Entomol, Stuttgart, Germany; [Vogler, Alfried P.] Imperial Coll London, Dept Life Sci, Silwood Pk Campus, London, England; [Vogler, Alfried P.; Williams, Paul H.] Nat Hist Museum, London, England; [Bossert, Silas] Washington State Univ, Dept Entomol, Pullman, WA 99164 USA; [Bossert, Silas] Smithsonian Inst, Dept Entomol, Natl Museum Nat Hist, Washington, DC USA; [Costello, Mark John] Nord Univ, Fac Biosci &amp; Aquaculture, Bodo, Norway; [Hughes, Alice C.] Univ Hong Kong, Sch Biol Sci, Hong Kong, Peoples R China; [Ascher, John S.] Natl Univ Singapore, Dept Biol Sci, Singapore, Singapore; [Zhou, Xin] China Agr Univ, Dept Entomol, Beijing, Peoples R China; [Li, De-Zhu] Chinese Acad Sci, Kunming Inst Bot, Germplasm Bank Wild Species, Beijing, Peoples R China; [Zhang, Ai-bing] Capital Normal Univ, Coll Life Sci, Beijing, Peoples R China; [Ma, Keping] Chinese Acad Sci, Inst Bot, Beijing, Peoples R China; [Zhang, Feng] Nanjing Agr Univ, Coll Plant Protect, Dept Entomol, Nanjing, Peoples R China; [Zhu, Chao-Dong] Chinese Acad Sci, Inst Zool, State Key Lab Integrated Pest Management, Beijing, Peoples R China; [Zhu, Chao-Dong] Univ Chinese Acad Sci, Coll Life Sci, Beijing, Peoples R China</t>
  </si>
  <si>
    <t>Chinese Academy of Sciences; Institute of Zoology, CAS; Imperial College London; Natural History Museum London; Washington State University; Smithsonian Institution; Smithsonian National Museum of Natural History; Nord University; University of Hong Kong; National University of Singapore; China Agricultural University; Chinese Academy of Sciences; Kunming Institute of Botany, CAS; Capital Normal University; Chinese Academy of Sciences; Institute of Botany, CAS; Nanjing Agricultural University; Chinese Academy of Sciences; Institute of Zoology, CAS; Chinese Academy of Sciences; University of Chinese Academy of Sciences, CAS</t>
  </si>
  <si>
    <t>Orr, MC; Zhu, CD (通讯作者)，Chinese Acad Sci, Inst Zool, Key Lab Zool Systemat &amp; Evolut, Beijing, Peoples R China.;Orr, MC (通讯作者)，Staatl Museum Nat Kunde Stuttgart, Entomol, Stuttgart, Germany.;Zhu, CD (通讯作者)，Chinese Acad Sci, Inst Zool, State Key Lab Integrated Pest Management, Beijing, Peoples R China.;Zhu, CD (通讯作者)，Univ Chinese Acad Sci, Coll Life Sci, Beijing, Peoples R China.</t>
  </si>
  <si>
    <t>michael.christopher.orr@gmail.com; zhucd@ioz.ac.cn</t>
  </si>
  <si>
    <t>Ge, Deyan/0000-0001-8230-8647; Ferrari, Rafael/0000-0003-3570-3841; Feijo, Anderson/0000-0002-4643-2293</t>
  </si>
  <si>
    <t>OXFORD UNIV PRESS</t>
  </si>
  <si>
    <t>OXFORD</t>
  </si>
  <si>
    <t>GREAT CLARENDON ST, OXFORD OX2 6DP, ENGLAND</t>
  </si>
  <si>
    <t>2095-5138</t>
  </si>
  <si>
    <t>2053-714X</t>
  </si>
  <si>
    <t>NATL SCI REV</t>
  </si>
  <si>
    <t>Natl. Sci. Rev.</t>
  </si>
  <si>
    <t>DEC 12</t>
  </si>
  <si>
    <t>nwac284</t>
  </si>
  <si>
    <t>10.1093/nsr/nwac284</t>
  </si>
  <si>
    <t>http://dx.doi.org/10.1093/nsr/nwac284</t>
  </si>
  <si>
    <t>8I9JA</t>
  </si>
  <si>
    <t>2023-03-07</t>
  </si>
  <si>
    <t>WOS:000922041800002</t>
  </si>
  <si>
    <t>View Full Record in Web of Science</t>
  </si>
  <si>
    <t>Sun, H</t>
  </si>
  <si>
    <t>Sun, Hang</t>
  </si>
  <si>
    <t>When two biological species meet, will genetic exchange take place?</t>
  </si>
  <si>
    <t>[Sun, Hang] Chinese Acad Sci, Kunming Inst Bot, Kunming, Peoples R China</t>
  </si>
  <si>
    <t>Sun, H (通讯作者)，Chinese Acad Sci, Kunming Inst Bot, Kunming, Peoples R China.</t>
  </si>
  <si>
    <t>sunhang@mail.kib.ac.cn</t>
  </si>
  <si>
    <t>Sun, Hang/0000-0001-5127-4579</t>
  </si>
  <si>
    <t>nwac292</t>
  </si>
  <si>
    <t>10.1093/nsr/nwac292</t>
  </si>
  <si>
    <t>http://dx.doi.org/10.1093/nsr/nwac292</t>
  </si>
  <si>
    <t>Green Accepted</t>
  </si>
  <si>
    <t>WOS:000922041800001</t>
  </si>
  <si>
    <t>Wang, Q; Smith, SM; Huang, JL</t>
  </si>
  <si>
    <t>Wang, Qia; Smith, Steven M.; Huang, Jinling</t>
  </si>
  <si>
    <t>Origins of strigolactone and karrikin signaling in plants</t>
  </si>
  <si>
    <t>TRENDS IN PLANT SCIENCE</t>
  </si>
  <si>
    <t>HORIZONTAL GENE-TRANSFER; SIGMA(B) TRANSCRIPTION FACTOR; ALPHA/BETA HYDROLASE; SEEDLING DEVELOPMENT; MOLECULAR-MECHANISM; CRYSTAL-STRUCTURES; STRESS-RESPONSE; ENERGY STRESS; GERMINATION; EVOLUTION</t>
  </si>
  <si>
    <t>Strigolactones (SLs) and karrikins (KARs) are butenolides that influence multiple aspects of plant growth and development. D14 and KAI2 are members of the alpha/beta-fold hydrolase superfamily and act as receptors of SLs and KARs, as well as of unidentified endogenous KAI2-ligands (KLs). Phylogenetic analyses suggest that plant KAI2 was derived from bacterial RsbQ via horizontal gene transfer (HGT) before the emergence of streptophytes. The D14/KAI2 and RsbQ proteins share conserved tertiary structures and functional features. In this opinion article, we suggest that the acquisition of RsbQ by plant cells was fundamental to the formation of butenolide sensing systems. Recruitment of additional signal transduction components and gene duplication subsequently led to versatile butenolide signaling systems throughout land plants.</t>
  </si>
  <si>
    <t>Wang, Qia</t>
  </si>
  <si>
    <t>[Wang, Qia; Huang, Jinling] Chinese Acad Sci, Kunming Inst Bot, Key Lab Plant Divers &amp; Biogeog East Asia, Yunnan Key Lab Fungal Divers &amp; Green Dev, Kunming 650201, Yunnan, Peoples R China; [Smith, Steven M.] Univ Tasmania, ARC Ctr Excellence Plant Success Nat &amp; Agr, Sch Nat Sci, Hobart, Tas 7001, Australia; [Huang, Jinling] Henan Univ, Sch Life Sci, State Key Lab Crop Stress Adaptat &amp; Improvement, Kaifeng 475004, Peoples R China; [Huang, Jinling] East Carolina Univ, Dept Biol, Greenville, NC 27858 USA</t>
  </si>
  <si>
    <t>Chinese Academy of Sciences; Kunming Institute of Botany, CAS; University of Tasmania; Henan University; University of North Carolina; East Carolina University</t>
  </si>
  <si>
    <t>Huang, JL (通讯作者)，Chinese Acad Sci, Kunming Inst Bot, Key Lab Plant Divers &amp; Biogeog East Asia, Yunnan Key Lab Fungal Divers &amp; Green Dev, Kunming 650201, Yunnan, Peoples R China.;Smith, SM (通讯作者)，Univ Tasmania, ARC Ctr Excellence Plant Success Nat &amp; Agr, Sch Nat Sci, Hobart, Tas 7001, Australia.;Huang, JL (通讯作者)，Henan Univ, Sch Life Sci, State Key Lab Crop Stress Adaptat &amp; Improvement, Kaifeng 475004, Peoples R China.;Huang, JL (通讯作者)，East Carolina Univ, Dept Biol, Greenville, NC 27858 USA.</t>
  </si>
  <si>
    <t>steven.smith@utas.edu.au; huangj@ecu.edu</t>
  </si>
  <si>
    <t>Huang, Jinling/0000-0003-4893-4171</t>
  </si>
  <si>
    <t>National Natural Science Foundation of China (NSFC) [31970248, 32170242, 31800190]; CAS 'Light of West China' Program, Yunnan Fundamental Research Projects [202001AU070132]; Strategic Priority Research Program of Chinese Academy of Sciences [XDA20050203]; Second Tibetan Plateau Scientific Expedition and Research (STEP) Program [2019QZKK0502]; Key Projects of the Joint Fund of the National Natural Science Foundation of China [U1802232]; Australian Research Council Centre of Excellence for Plant Success in Nature and Agriculture [CE200100015]</t>
  </si>
  <si>
    <t>National Natural Science Foundation of China (NSFC)(National Natural Science Foundation of China (NSFC)); CAS 'Light of West China' Program, Yunnan Fundamental Research Projects; Strategic Priority Research Program of Chinese Academy of Sciences(Chinese Academy of Sciences); Second Tibetan Plateau Scientific Expedition and Research (STEP) Program; Key Projects of the Joint Fund of the National Natural Science Foundation of China(National Natural Science Foundation of China (NSFC)); Australian Research Council Centre of Excellence for Plant Success in Nature and Agriculture(Australian Research Council)</t>
  </si>
  <si>
    <t>We thank Yanlong Guan, Shuanghua Wang, JianchaoMa, Xiangyang Hu, andGuiling Sun for their comments and suggestions. This work is supported in part by grants fromthe National Natural Science Foundation of China (NSFC) (31970248, 32170242, and 31800190), CAS 'Light of West China' Program, Yunnan Fundamental Research Projects (202001AU070132), the Strategic Priority Research Program of Chinese Academy of Sciences (XDA20050203), the Second Tibetan Plateau Scientific Expedition and Research (STEP) Program(2019QZKK0502), the Key Projects of the Joint Fund of the National Natural Science Foundation of China (U1802232), and the Australian Research Council Centre of Excellence for Plant Success in Nature and Agriculture (CE200100015).</t>
  </si>
  <si>
    <t>ELSEVIER SCIENCE LONDON</t>
  </si>
  <si>
    <t>LONDON</t>
  </si>
  <si>
    <t>84 THEOBALDS RD, LONDON WC1X 8RR, ENGLAND</t>
  </si>
  <si>
    <t>1360-1385</t>
  </si>
  <si>
    <t>1878-4372</t>
  </si>
  <si>
    <t>TRENDS PLANT SCI</t>
  </si>
  <si>
    <t>Trends Plant Sci.</t>
  </si>
  <si>
    <t>10.1016/j.tplants.2021.11.009</t>
  </si>
  <si>
    <t>Plant Sciences</t>
  </si>
  <si>
    <t>1D3MO</t>
  </si>
  <si>
    <t>WOS:000793707900006</t>
  </si>
  <si>
    <t>Mattana, E; Ulian, T; Pritchard, HW</t>
  </si>
  <si>
    <t>Mattana, Efisio; Ulian, Tiziana; Pritchard, Hugh W.</t>
  </si>
  <si>
    <t>Seeds as natural capital</t>
  </si>
  <si>
    <t>natural capital perspective; Existence value; nomic value ' approach; distinguishing</t>
  </si>
  <si>
    <t>PLANT; UNLOCKING; DISPERSAL; DORMANCY; BIOLOGY</t>
  </si>
  <si>
    <t>Halting and reversing the current loss of biodiversity and habitats will be facilitated by a comprehensive valuation of all nature's contributions to people (NCPs), on which we rely. In this context, we explore the full natural capital value of seeds to reveal how this extends far beyond their economic value associated with mainstream agriculture and forestry. Seeds represent the main assets for nature-based solutions at species (i.e., unlocking neglected species properties and via seed banking) and ecosystem level (i.e., ecological restoration). Challenges remain to enhance their sustainable use in nature conservation and in supporting a sustainable development model. Such advances will depend on the comprehensive valuation of the natural capital value of seeds, which has so far been grossly underestimated.</t>
  </si>
  <si>
    <t>Mattana, Efisio</t>
  </si>
  <si>
    <t>[Mattana, Efisio; Ulian, Tiziana; Pritchard, Hugh W.] Haywards Heath, Royal Bot Gardens, Richmond RH17 6TN, W Sussex, England; [Pritchard, Hugh W.] Chinese Acad Sci, Kunming Inst Bot, Kunming 650201, Yunnan, Peoples R China</t>
  </si>
  <si>
    <t>Royal Botanic Gardens, Kew; Chinese Academy of Sciences; Kunming Institute of Botany, CAS</t>
  </si>
  <si>
    <t>Mattana, E; Pritchard, HW (通讯作者)，Haywards Heath, Royal Bot Gardens, Richmond RH17 6TN, W Sussex, England.;Pritchard, HW (通讯作者)，Chinese Acad Sci, Kunming Inst Bot, Kunming 650201, Yunnan, Peoples R China.</t>
  </si>
  <si>
    <t>e.mattana@kew.org; h.pritchard@kew.org</t>
  </si>
  <si>
    <t>Mattana, Efisio/H-7645-2019</t>
  </si>
  <si>
    <t>Mattana, Efisio/0000-0001-6235-4603; Pritchard, Hugh/0000-0002-2487-6475</t>
  </si>
  <si>
    <t>Kew Future Leaders Fellowship from the Royal Botanic Gardens, Kew; Defra</t>
  </si>
  <si>
    <t>Kew Future Leaders Fellowship from the Royal Botanic Gardens, Kew; Defra(Department for Environment, Food &amp; Rural Affairs (DEFRA))</t>
  </si>
  <si>
    <t>E.M. is supported by the Kew Future Leaders Fellowship from the Royal Botanic Gardens, Kew. The Royal Botanic Gardens, Kew receives grant-in-aid from Defra.</t>
  </si>
  <si>
    <t>FEB</t>
  </si>
  <si>
    <t>10.1016/j.tplants.2021.08.008</t>
  </si>
  <si>
    <t>YI6HI</t>
  </si>
  <si>
    <t>WOS:000743946800007</t>
  </si>
  <si>
    <t>Xu, YX; Zhang, JX; Ma, CR; Lei, YT; Shen, GJ; Jin, JJ; Eaton, DAR; Wu, JQ</t>
  </si>
  <si>
    <t>Xu, Yuxing; Zhang, Jingxiong; Ma, Canrong; Lei, Yunting; Shen, Guojing; Jin, Jianjun; Eaton, Deren A. R.; Wu, Jianqiang</t>
  </si>
  <si>
    <t>Comparative genomics of orobanchaceous species with different parasitic lifestyles reveals the origin and stepwise evolution of plant parasitism</t>
  </si>
  <si>
    <t>MOLECULAR PLANT</t>
  </si>
  <si>
    <t>&amp;nbsp; genomics; Orobanchaceae; parasitism; whole-genome duplication; gene loss; gene family expansion</t>
  </si>
  <si>
    <t>STRIGOLACTONE RECEPTORS; GERMINATION STIMULANTS; CONVERGENT EVOLUTION; GENE; DUPLICATIONS; EXTINCTION; TRANSITION; PHYLOGENY; IMPACT; DNA</t>
  </si>
  <si>
    <t>Orobanchaceae is the largest family of parasitic plants, containing autotrophic and parasitic plants with all degrees of parasitism. This makes it by far the best family for studying the origin and evolution of plant parasitism. Here we provide three high-quality genomes of orobanchaceous plants, the autotrophic Lindenbergia luchunensis and the holoparasitic plants Phelipanche aegyptiaca and Orobanche cumana. Phylogenomic analysis of these three genomes together with those previously published and the transcrip-tomes of other orobanchaceous species created a robust phylogenetic framework for Orobanchaceae. We found that an ancient whole-genome duplication (WGD; about 73.48 million years ago), which occurred earlier than the origin of Orobanchaceae, might have contributed to the emergence of parasitism. However, no WGD events occurred in any lineage of orobanchaceous parasites except for Striga after divergence from their autotrophic common ancestor, suggesting that, in contrast with previous speculations, WGD is not associated with the emergence of holoparasitism. We detected evident convergent gene loss in all parasites within Orobanchaceae and between Orobanchaceae and dodder Cuscuta australis. The gene families in the orobanchaceous parasites showed a clear pattern of recent gains and expansions. The expanded gene families are enriched in functions related to the development of the haustorium, sug-gesting that recent gene family expansions may have facilitated the adaptation of orobanchaceous parasites to different hosts. This study illustrates a stepwise pattern in the evolution of parasitism in the orobanchaceous parasites and will facilitate future studies on parasitism and the control of parasitic plants in agriculture.</t>
  </si>
  <si>
    <t>Xu, Yuxing</t>
  </si>
  <si>
    <t>[Xu, Yuxing; Zhang, Jingxiong; Ma, Canrong; Lei, Yunting; Shen, Guojing; Wu, Jianqiang] Chinese Acad Sci, Kunming Inst Bot, Yunnan Key Lab Wild Plant Resources, Dept Econ Plants &amp; Biotechnol, Kunming 650201, Yunnan, Peoples R China; [Ma, Canrong; Wu, Jianqiang] Univ Chinese Acad Sci, CAS Ctr Excellence Biot Interact, Beijing 100049, Peoples R China; [Jin, Jianjun; Eaton, Deren A. R.] Columbia Univ, Dept Ecol Evolut &amp; Environm Biol, New York, NY 10027 USA</t>
  </si>
  <si>
    <t>Chinese Academy of Sciences; Kunming Institute of Botany, CAS; Chinese Academy of Sciences; University of Chinese Academy of Sciences, CAS; Columbia University</t>
  </si>
  <si>
    <t>Wu, JQ (通讯作者)，Chinese Acad Sci, Kunming Inst Bot, Yunnan Key Lab Wild Plant Resources, Dept Econ Plants &amp; Biotechnol, Kunming 650201, Yunnan, Peoples R China.;Wu, JQ (通讯作者)，Univ Chinese Acad Sci, CAS Ctr Excellence Biot Interact, Beijing 100049, Peoples R China.</t>
  </si>
  <si>
    <t>wujianqiang@mail.kib.ac.cn</t>
  </si>
  <si>
    <t>; Wu, Jianqiang/A-7169-2019</t>
  </si>
  <si>
    <t>Xu, Yuxing/0000-0002-7801-8759; Lei, Yunting/0000-0003-4937-2350; Wu, Jianqiang/0000-0002-7726-6216; Zhang, Jingxiong/0000-0003-4490-6309</t>
  </si>
  <si>
    <t>CELL PRESS</t>
  </si>
  <si>
    <t>CAMBRIDGE</t>
  </si>
  <si>
    <t>50 HAMPSHIRE ST, FLOOR 5, CAMBRIDGE, MA 02139 USA</t>
  </si>
  <si>
    <t>1674-2052</t>
  </si>
  <si>
    <t>1752-9867</t>
  </si>
  <si>
    <t>MOL PLANT</t>
  </si>
  <si>
    <t>Mol. Plant.</t>
  </si>
  <si>
    <t>AUG 1</t>
  </si>
  <si>
    <t>10.1016/j.molp.2022.07.007</t>
  </si>
  <si>
    <t>AUG 2022</t>
  </si>
  <si>
    <t>Biochemistry &amp; Molecular Biology; Plant Sciences</t>
  </si>
  <si>
    <t>3Y2BE</t>
  </si>
  <si>
    <t>Green Submitted</t>
  </si>
  <si>
    <t>WOS:000843532600016</t>
  </si>
  <si>
    <t>Ma, JC; Wang, SH; Zhu, XJ; Sun, GL; Chang, GX; Li, LH; Hu, XY; Zhang, SZ; Zhou, Y; Song, CP; Huang, JL</t>
  </si>
  <si>
    <t>Ma, Jianchao; Wang, Shuanghua; Zhu, Xiaojing; Sun, Guiling; Chang, Guanxiao; Li, Linhong; Hu, Xiangyang; Zhang, Shouzhou; Zhou, Yun; Song, Chun-Peng; Huang, Jinling</t>
  </si>
  <si>
    <t>Major episodes of horizontal gene transfer drove the evolution of land plants</t>
  </si>
  <si>
    <t>plant evolution; adaptation; streptophytes; cumulative effect; stress response; growth and development</t>
  </si>
  <si>
    <t>ORIGIN; PROTEIN; ALIGNMENT; WATER; BIOSYNTHESIS; PERFORMANCE; EUKARYOTES; EXPRESSION; TOLERANCE; INSIGHTS</t>
  </si>
  <si>
    <t>How horizontal gene transfer (HGT) has contributed to the evolution of animals and plants remains a major puzzle. Despite recent progress, defining the overall scale and pattern of HGT events in land plants has been largely elusive. In this study, we performed systematic analyses for acquired genes in different plant groups and throughout land plant evolution. We found that relatively recent HGT events occurred in char-ophytes and all major land plant groups, but their frequency declined rapidly in seed plants. Two major ep -isodes of HGT events occurred in land plant evolution, corresponding to the early evolution of strepto-phytes and the origin of land plants, respectively. Importantly, a vast majority of the genes acquired in the two episodes have been retained in descendant groups, affecting numerous activities and processes of land plants. We analyzed some of the acquired genes involved in stress responses, ion and metabolite transport, growth and development, and specialized metabolism, and further assessed the cumulative ef-fects of HGT in land plants.</t>
  </si>
  <si>
    <t>Ma, Jianchao</t>
  </si>
  <si>
    <t>[Ma, Jianchao; Zhu, Xiaojing; Sun, Guiling; Chang, Guanxiao; Zhou, Yun; Song, Chun-Peng; Huang, Jinling] Henan Univ, Sch Life Sci, State Key Lab Crop Stress Adaptat &amp; Improvement, Kaifeng 475004, Peoples R China; [Wang, Shuanghua; Huang, Jinling] Chinese Acad Sci, Kunming Inst Bot, Yunnan Key Lab Fungal Div &amp; Green Dev, Key Lab Plant Div &amp; Biogeog East Asia, Kunming 650201, Yunnan, Peoples R China; [Li, Linhong] China Agr Univ, Dept Entomol, Beijing 100193, Peoples R China; [Hu, Xiangyang] Shanghai Univ, Sch Life Sci, Shanghai Key Lab Bioenergy Crops, Shanghai 200444, Peoples R China; [Zhang, Shouzhou] Shenzhen &amp; Chinese Acad Sci, Fairy Lake Bot Garden, Shenzhen 518004, Peoples R China; [Huang, Jinling] East Carolina Univ, Dept Biol, Greenville, NC 27858 USA</t>
  </si>
  <si>
    <t>Henan University; Chinese Academy of Sciences; Kunming Institute of Botany, CAS; China Agricultural University; Shanghai University; University of North Carolina; East Carolina University</t>
  </si>
  <si>
    <t>Song, CP; Huang, JL (通讯作者)，Henan Univ, Sch Life Sci, State Key Lab Crop Stress Adaptat &amp; Improvement, Kaifeng 475004, Peoples R China.;Huang, JL (通讯作者)，Chinese Acad Sci, Kunming Inst Bot, Yunnan Key Lab Fungal Div &amp; Green Dev, Key Lab Plant Div &amp; Biogeog East Asia, Kunming 650201, Yunnan, Peoples R China.;Huang, JL (通讯作者)，East Carolina Univ, Dept Biol, Greenville, NC 27858 USA.</t>
  </si>
  <si>
    <t>songcp@henu.edu.cn; huangj@ecu.edu</t>
  </si>
  <si>
    <t>Huang, Jinling/0000-0003-4893-4171; Zhang, Shouzhou/0000-0001-9070-0593</t>
  </si>
  <si>
    <t>National Natural Science Foundation of China [31970248, 32000176]</t>
  </si>
  <si>
    <t>National Natural Science Foundation of China(National Natural Science Foundation of China (NSFC))</t>
  </si>
  <si>
    <t>This work is funded in part by the National Natural Science Foundation of China (31970248 and 32000176) .</t>
  </si>
  <si>
    <t>MAY 2</t>
  </si>
  <si>
    <t>10.1016/j.molp.2022.02.001</t>
  </si>
  <si>
    <t>1H8HD</t>
  </si>
  <si>
    <t>WOS:000796780000013</t>
  </si>
  <si>
    <t>Huang, WC; Zhang, L; Columbus, JT; Hu, Y; Zhao, YY; Tang, L; Guo, ZH; Chen, WL; McKain, M; Bartlett, M; Huang, CH; Li, DZ; Ge, S; Ma, H</t>
  </si>
  <si>
    <t>Huang, Weichen; Zhang, Lin; Columbus, J. Travis; Hu, Yi; Zhao, Yiyong; Tang, Lin; Guo, Zhenhua; Chen, Wenli; McKain, Michael; Bartlett, Madelaine; Huang, Chien-Hsun; Li, De-Zhu; Ge, Song; Ma, Hong</t>
  </si>
  <si>
    <t>A well-supported nuclear phylogeny of Poaceae and implications for the evolution of C-4 photosynthesis</t>
  </si>
  <si>
    <t>Gramineae; transcriptome; nuclear phylogeny; molecular clock; C4 photosynthesis; ppc gene evolution</t>
  </si>
  <si>
    <t>GRASSES POACEAE; PHOSPHOENOLPYRUVATE CARBOXYLASE; DIVERSIFICATION; CLASSIFICATION; BAMBUSOIDEAE; ORIGINS; TREE; CHLORIDOIDEAE; DIVERGENCE; SUBFAMILY</t>
  </si>
  <si>
    <t>Poaceae (the grasses) includes rice, maize, wheat, and other crops, and is the most economically important angiosperm family. Poaceae is also one of the largest plant families, consisting of over 11 000 species with a global distribution that contributes to diverse ecosystems. Poaceae species are classified into 12 subfamilies, with generally strong phylogenetic support for their monophyly. However, many relationships within subfamilies, among tribes and/or subtribes, remain uncertain. To better resolve the Poaceae phylogeny, we generated 342 transcriptomic and seven genomic datasets; these were combined with other genomic and transcriptomic datasets to provide sequences for 357 Poaceae species in 231 genera, representing 45 tribes and all 12 subfamilies. Over 1200 low-copy nuclear genes were retrieved from these datasets, with several subsets obtained using additional criteria, and used for coalescent analyses to reconstruct a Poaceae phylogeny. Our results strongly support the monophyly of 11 subfamilies; however, the subfamily Puelioideae was separated into two non-sister clades, one for each of the two previously defined tribes, supporting a hypothesis that places each tribe in a separate subfamily. Molecular clock analyses estimated the crown age of Poaceae to be -101 million years old. Ancestral character reconstruction of C3/C4 photosynthesis supports the hypothesis of multiple independent origins of C4 photosynthesis. These origins are further supported by phylogenetic analysis of the ppc gene family that encodes the phosphoenolpyruvate carboxylase, which suggests that members of three paralogous subclades (ppc-aL1a, ppc-aL1b, and ppcB2) were recruited as functional C4 ppc genes. This study provides valuable resources and a robust phylogenetic framework for evolutionary analyses of the grass family.</t>
  </si>
  <si>
    <t>Huang, Weichen</t>
  </si>
  <si>
    <t>[Huang, Weichen; Hu, Yi; Zhao, Yiyong; Tang, Lin; Huang, Chien-Hsun; Ma, Hong] Penn State Univ, Dept Biol, Huck Inst Life Sci, 510 Mueller Lab, State Coll, PA 16802 USA; [Zhang, Lin; Zhao, Yiyong; Huang, Chien-Hsun] Fudan Univ, Minist Educ, Key Lab Biodivers Sci &amp; Ecol Engn, 2005 Songhu Rd, Shanghai 200438, Peoples R China; [Zhang, Lin; Zhao, Yiyong; Huang, Chien-Hsun] Fudan Univ, State Key Lab Genet Engn, Inst Biodivers Sci, 2005 Songhu Rd, Shanghai 200438, Peoples R China; [Zhang, Lin; Zhao, Yiyong; Huang, Chien-Hsun] Fudan Univ, Inst Plant Biol, Sch Life Sci, 2005 Songhu Rd, Shanghai 200438, Peoples R China; [Columbus, J. Travis] Rancho Santa Ana Bot Garden &amp; Claremont Grad Univ, 1500 North Coll Ave, Claremont, CA 91711 USA; [Tang, Lin] Zhejiang Univ, Coll Life Sci, Hangzhou 310058, Zhejiang, Peoples R China; [Guo, Zhenhua; Li, De-Zhu] Chinese Acad Sci, Kunming Inst Bot, Germplasm Bank Wild Species, Plant Germplasm &amp; Genom Ctr, Kunming 650201, Yunnan, Peoples R China; [Chen, Wenli; Ge, Song] Chinese Acad Sci, Inst Bot, State Key Lab Systemat &amp; Evolutionary Bot, Beijing 100093, Peoples R China; [McKain, Michael] Univ Alabama, Dept Biol Sci, 411 Mary Harmon Bryant Hall, Tuscaloosa, AL 35487 USA; [Bartlett, Madelaine] Univ Massachusetts Amherst, Dept Biol, 611 North Pleasant St, Amherst, MA 01003 USA</t>
  </si>
  <si>
    <t>Pennsylvania Commonwealth System of Higher Education (PCSHE); Pennsylvania State University; Fudan University; Fudan University; Fudan University; Claremont Colleges; Claremont Graduate School; Zhejiang University; Chinese Academy of Sciences; Kunming Institute of Botany, CAS; Chinese Academy of Sciences; Institute of Botany, CAS; University of Alabama System; University of Alabama Tuscaloosa; University of Massachusetts System; University of Massachusetts Amherst</t>
  </si>
  <si>
    <t>Ma, H (通讯作者)，Penn State Univ, Dept Biol, Huck Inst Life Sci, 510 Mueller Lab, State Coll, PA 16802 USA.</t>
  </si>
  <si>
    <t>hxm16@psu.edu</t>
  </si>
  <si>
    <t>Li, De-Zhu/G-8203-2011; Huang, Chien-Hsun/B-8900-2019</t>
  </si>
  <si>
    <t>Li, De-Zhu/0000-0002-4990-724X; Huang, Chien-Hsun/0000-0002-4331-9041; Zhang, Lin/0000-0001-6476-4526</t>
  </si>
  <si>
    <t>Eberly College of Science; Huck Institutes of the Life Sciences at the Pennsylvania State University; National Natural Science Foundation of China [31770242, 31970224]; Ministry of Education Key Laboratory of Biodiversity Science and Ecological Engineering; State Key Laboratory of Genetic Engineering at Fudan University</t>
  </si>
  <si>
    <t>Eberly College of Science; Huck Institutes of the Life Sciences at the Pennsylvania State University; National Natural Science Foundation of China(National Natural Science Foundation of China (NSFC)); Ministry of Education Key Laboratory of Biodiversity Science and Ecological Engineering; State Key Laboratory of Genetic Engineering at Fudan University</t>
  </si>
  <si>
    <t>This work was supported by funds from Eberly College of Science and the Huck Institutes of the Life Sciences at the Pennsylvania State University and from grants from the National Natural Science Foundation of China (31770242 and 31970224) and funds from the Ministry of Education Key Laboratory of Biodiversity Science and Ecological Engineering and State Key Laboratory of Genetic Engineering at Fudan University.</t>
  </si>
  <si>
    <t>APR 4</t>
  </si>
  <si>
    <t>10.1016/j.molp.2022.01.015</t>
  </si>
  <si>
    <t>0T5YE</t>
  </si>
  <si>
    <t>WOS:000787043300004</t>
  </si>
  <si>
    <t>Cao, DC</t>
  </si>
  <si>
    <t>Cao, Dechang</t>
  </si>
  <si>
    <t>Opinion Thank you for smoking: Potential of biochar in sustainable agriculture</t>
  </si>
  <si>
    <t>MATTER</t>
  </si>
  <si>
    <t>Biochar is an emerging material critical for sustainable agriculture and climate change mitigation. Here, I discuss the potential advantages of biochar and propose improvement of this material by integrating other biostimulants of combustion, providing a robust and cost-effec-tive resource for sustainable agriculture.</t>
  </si>
  <si>
    <t>[Cao, Dechang] Chinese Acad Sci, Kunming Inst Bot, Germplasm Bank Wild Species, Kunming 650201, Yunnan, Peoples R China</t>
  </si>
  <si>
    <t>Cao, DC (通讯作者)，Chinese Acad Sci, Kunming Inst Bot, Germplasm Bank Wild Species, Kunming 650201, Yunnan, Peoples R China.</t>
  </si>
  <si>
    <t>caodechang@mail.kib.ac.cn</t>
  </si>
  <si>
    <t>Cao, Dechang/0000-0002-0397-4316</t>
  </si>
  <si>
    <t>Kunming Institute of Botany (KIB) , Chinese Academy of Sciences; Germplasm Bank of Wild Species of KIB</t>
  </si>
  <si>
    <t>D.C. was supported by the Startup Funds for Recruited Young Talents from the Kunming Institute of Botany (KIB) , Chinese Academy of Sciences, and a grant from the Germplasm Bank of Wild Species of KIB.</t>
  </si>
  <si>
    <t>ELSEVIER</t>
  </si>
  <si>
    <t>AMSTERDAM</t>
  </si>
  <si>
    <t>RADARWEG 29, 1043 NX AMSTERDAM, NETHERLANDS</t>
  </si>
  <si>
    <t>2590-2393</t>
  </si>
  <si>
    <t>2590-2385</t>
  </si>
  <si>
    <t>MATTER-US</t>
  </si>
  <si>
    <t>Matter</t>
  </si>
  <si>
    <t>NOV</t>
  </si>
  <si>
    <t>10.1016/j.matt.2022.09.030</t>
  </si>
  <si>
    <t>Materials Science, Multidisciplinary</t>
  </si>
  <si>
    <t>Materials Science</t>
  </si>
  <si>
    <t>6I4HQ</t>
  </si>
  <si>
    <t>WOS:000886088400006</t>
  </si>
  <si>
    <t>Liu, Y; Ji, XL; Liu, Y; Li, D; Cun, YP; Zhang, Y; Wang, RX; Hao, YL; Wang, S; Chen, CY; Shao, YM</t>
  </si>
  <si>
    <t>Liu, Ye; Ji, Xiaolin; Liu, Ying; Li, Dan; Cun, Yupeng; Zhang, Ye; Wang, Ruixin; Hao, Yanling; Wang, Shuo; Chen, Chunying; Shao, Yiming</t>
  </si>
  <si>
    <t>A D-peptide-based HIV gelatinous combination vaccine improves therapy in ART-delayed macaques of chronic infection</t>
  </si>
  <si>
    <t>NANO TODAY</t>
  </si>
  <si>
    <t>HIV gelatinous combination vaccine; Polyfunctional T cell response; ART-delayed macaques of chronic infection; Functional cure</t>
  </si>
  <si>
    <t>T-CELL RESPONSES; VIRAL RESERVOIR; GAG; SIV; STIMULATION; INNATE; IMPACT; TRIAL</t>
  </si>
  <si>
    <t>Improving virus control in HIV-infected individuals without a timely antiretroviral therapy (ART) intervention still remains an important challenge, which is largely due to the lack of a potent means to co-deliver a complex therapeutic system consisting of diverse types of vaccines and drugs to the human body. Here, we used a one-step method to rapidly construct a new D-peptide-based gelatinous combination vaccine (GCV), which possesses a potent loading capacity for diverse types of antigens and a sustainable release profile, and exhibits efficient internalization by dendritic cells (DCs). As a novel immunization strategy, GCV can efficiently co-deliver two critical HIV antigens (Env and Gag) in combination with a potent immunostimulator, interleukin 21 (IL-21), in a controllable and balanced manner to induce a high-quality immune response against HIV chronic infection in non-human primates. In SHIV-SF162P3-challenged rhesus macaques initiating ART at week 8 of infection (a chronic infection model), GCV simultaneously activated the critical polyfunctional CD4(+) and CD8(+) T cell response which has never been reported in existing vaccination strategies. More importantly, GCV elicited a persistent suppression against viral loads (10-100 fold) and viral rebound, as well as eliminated the viral reservoir following ART discontinuation. These findings describe a new and promising therapeutic vaccine candidate for realizing a functional cure against chronic HIV infection.(c) 2021 The Authors. Published by Elsevier Ltd. CC_BY_NC_ND_4.0</t>
  </si>
  <si>
    <t>Liu, Ye</t>
  </si>
  <si>
    <t>[Liu, Ye; Zhang, Ye; Wang, Ruixin] Chinese Acad Med Sci, Inst Med Biol, Peking Union Med Coll, Kunming 650000, Yunnan, Peoples R China; [Ji, Xiaolin; Liu, Ying; Li, Dan; Hao, Yanling; Wang, Shuo; Shao, Yiming] Chinese Ctr Dis Control &amp; Prevent, Natl Ctr AIDS STD Control &amp; Prevent, Collaborat Innovat Ctr Diag &amp; Treatment Infect Di, State Key Lab Infect Dis Prevent &amp; Control, Beijing 102206, Peoples R China; [Cun, Yupeng] Chinese Acad Sci, Kunming Inst Bot, iFlora Bioinformat Ctr, Germplasm Bank Wild Species, Kunming 650000, Yunnan, Peoples R China; [Chen, Chunying] Chinese Acad Sci, Natl Ctr Nanosci &amp; Technol China, CAS Key Lab Biomed Effects Nanomat &amp; Nanosafety, Beijing 100190, Peoples R China; [Chen, Chunying] Chinese Acad Sci, CAS Ctr Excellence Nanoscience, Natl Ctr Nanoscience &amp; Technol China, Beijing 100190, Peoples R China</t>
  </si>
  <si>
    <t>Chinese Academy of Medical Sciences - Peking Union Medical College; Institute of Medical Biology - CAMS; Peking Union Medical College; Chinese Center for Disease Control &amp; Prevention; National Center for AIDS/STD Control &amp; Prevention, Chinese Center for Disease Control &amp; Prevention; Collaborative Innovation Center for Diagnosis &amp; Treatment of Infectious Diseases; Chinese Academy of Sciences; Kunming Institute of Botany, CAS; Chinese Academy of Sciences; National Center for Nanoscience &amp; Technology - China; Chinese Academy of Sciences</t>
  </si>
  <si>
    <t>Li, D; Shao, YM (通讯作者)，Chinese Ctr Dis Control &amp; Prevent, Natl Ctr AIDS STD Control &amp; Prevent, Collaborat Innovat Ctr Diag &amp; Treatment Infect Di, State Key Lab Infect Dis Prevent &amp; Control, Beijing 102206, Peoples R China.;Chen, CY (通讯作者)，Chinese Acad Sci, Natl Ctr Nanosci &amp; Technol China, CAS Key Lab Biomed Effects Nanomat &amp; Nanosafety, Beijing 100190, Peoples R China.;Chen, CY (通讯作者)，Chinese Acad Sci, CAS Ctr Excellence Nanoscience, Natl Ctr Nanoscience &amp; Technol China, Beijing 100190, Peoples R China.</t>
  </si>
  <si>
    <t>LD8186898@163.com; chenchy@nanoctr.cn; yshao@bjmu.edu.cn</t>
  </si>
  <si>
    <t>Liu, Ye/0000-0001-5581-9046</t>
  </si>
  <si>
    <t>Basic Research Program of Yunnan Provice [202101AS070051]; Leading Medical Talents Program of the Health Commission of Yunnan Province [L-2018013]; Young and Middle Aged Academic and Technical Leaders Program of Yunnan Province [202005AC160010]; SKLID outstanding youth grant [2019SKLID402]; Ministry of Science and Technology of China [2018ZX10731101-001-011]; National Natural Science Foundation of China [21874033]; Chinese Academy of Medical Sciences (CAMS) Innovation Fund for Medical Science [2019-I2M-5-018]; National Basic Research Program of China [2020YFA0710700]</t>
  </si>
  <si>
    <t>Basic Research Program of Yunnan Provice; Leading Medical Talents Program of the Health Commission of Yunnan Province; Young and Middle Aged Academic and Technical Leaders Program of Yunnan Province; SKLID outstanding youth grant; Ministry of Science and Technology of China(Ministry of Science and Technology, China); National Natural Science Foundation of China(National Natural Science Foundation of China (NSFC)); Chinese Academy of Medical Sciences (CAMS) Innovation Fund for Medical Science; National Basic Research Program of China(National Basic Research Program of China)</t>
  </si>
  <si>
    <t>&amp; nbsp;We thank Prof. Chuan Qin and Prof. Jing Xue from the Institute of Laboratory Animal Science (ILAS) , Chinese Academy of Medical Sciences (CAMS) for their kind helps in animal experiments. We appreciate the generous gift of SHIV162P3 from Center for Virology and Vaccine Research, Harvard Medical School. This work was partly supported by the Basic Research Program of Yunnan Provice (202101AS070051) , the Leading Medical Talents Program of the Health Commission of Yunnan Province (L-2018013) , the Young and Middle Aged Academic and Technical Leaders Program of Yunnan Province (202005AC160010) , the SKLID outstanding youth grant (2019SKLID402) , the Ministry of Science and Technology of China (2018ZX10731101-001-011) , the National Natural Science Foundation of China (21874033) , the Chinese Academy of Medical Sciences (CAMS) Innovation Fund for Medical Science (2019-I2M-5-018) , the National Basic Research Program of China (2020YFA0710700) .</t>
  </si>
  <si>
    <t>ELSEVIER SCI LTD</t>
  </si>
  <si>
    <t>THE BOULEVARD, LANGFORD LANE, KIDLINGTON, OXFORD OX5 1GB, OXON, ENGLAND</t>
  </si>
  <si>
    <t>1748-0132</t>
  </si>
  <si>
    <t>1878-044X</t>
  </si>
  <si>
    <t>Nano Today</t>
  </si>
  <si>
    <t>10.1016/j.nantod.2021.101353</t>
  </si>
  <si>
    <t>Chemistry, Multidisciplinary; Nanoscience &amp; Nanotechnology; Materials Science, Multidisciplinary</t>
  </si>
  <si>
    <t>Chemistry; Science &amp; Technology - Other Topics; Materials Science</t>
  </si>
  <si>
    <t>0F2YA</t>
  </si>
  <si>
    <t>WOS:000777229600005</t>
  </si>
  <si>
    <t>Zurek, M; Ingram, J; Bellamy, AS; Goold, C; Lyon, C; Alexander, P; Barnes, A; Bebber, DP; Breeze, TD; Bruce, A; Collins, LM; Davies, J; Doherty, B; Ensor, J; Franco, SC; Gatto, A; Hess, T; Lamprinopoulou, C; Liu, LX; Merkle, M; Norton, L; Oliver, T; Ollerton, J; Potts, S; Reed, MS; Sutcliffe, C; Withers, PJA</t>
  </si>
  <si>
    <t>Zurek, Monika; Ingram, John; Bellamy, Angelina Sanderson; Goold, Conor; Lyon, Christopher; Alexander, Peter; Barnes, Andrew; Bebber, Daniel P.; Breeze, Tom D.; Bruce, Ann; Collins, Lisa M.; Davies, Jessica; Doherty, Bob; Ensor, Jonathan; Franco, Sofia C.; Gatto, Andrea; Hess, Tim; Lamprinopoulou, Chrysa; Liu, Lingxuan; Merkle, Magnus; Norton, Lisa; Oliver, Tom; Ollerton, Jeff; Potts, Simon; Reed, Mark S.; Sutcliffe, Chloe; Withers, Paul J. A.</t>
  </si>
  <si>
    <t>Food System Resilience: Concepts, Issues, and Challenges</t>
  </si>
  <si>
    <t>ANNUAL REVIEW OF ENVIRONMENT AND RESOURCES</t>
  </si>
  <si>
    <t>adaptation; robustness; recovery; reorientation; social-ecological systems; transformation</t>
  </si>
  <si>
    <t>SUSTAINABILITY; TRANSFORMATION; VULNERABILITY; BIODIVERSITY; ADAPTATION; COMPLEXITY; DIVERSITY; FRAMEWORK; SECURITY; THINKING</t>
  </si>
  <si>
    <t>Food system resilience has multiple dimensions. We draw on food system and resilience concepts and review resilience framings of different communities. We present four questions to frame food system resilience (Resilience of what? Resilience to what? Resilience from whose perspective? Resilience for how long?) and three approaches to enhancing resilience (robustness, recovery, and reorientation-the three Rs). We focus on enhancing resilience of food system outcomes and argue this will require food system actors adapting their activities, noting that activities do not change spontaneously but in response to a change in drivers: an opportunity or a threat. However, operationalizing resilience enhancement involves normative choices and will result in decisions having to be negotiated about trade-offs among food system outcomes for different stakeholders. New approaches to including different food system actors' perceptions and goals are needed to build food systems that are better positioned to address challenges of the future.</t>
  </si>
  <si>
    <t>Zurek, Monika</t>
  </si>
  <si>
    <t>[Zurek, Monika; Ingram, John] Univ Oxford, Environm Change Inst, Oxford, England; [Bellamy, Angelina Sanderson] Univ West England, Dept Appl Sci, Bristol, Avon, England; [Goold, Conor; Collins, Lisa M.] Univ Leeds, Sch Biol, Leeds, W Yorkshire, England; [Lyon, Christopher] Univ Leeds, Sch Earth &amp; Environm, Leeds, W Yorkshire, England; [Lyon, Christopher] McGill Univ, Dept Nat Resource Sci, Ste Anne De Bellevue, PQ, Canada; [Alexander, Peter; Merkle, Magnus] Univ Edinburgh, Sch Geosci, Edinburgh, Midlothian, Scotland; [Barnes, Andrew; Reed, Mark S.] Scotlands Rural Coll, Environm &amp; Soc Dept, Rural Econ, Edinburgh, Midlothian, Scotland; [Bebber, Daniel P.] Univ Exeter, Dept Biosci, Exeter, Devon, England; [Breeze, Tom D.; Potts, Simon] Univ Reading, Ctr Agrienvironm Res, Sch Agr Policy &amp; Dev, Reading, Berks, England; [Bruce, Ann] Univ Edinburgh, Sch Social &amp; Polit Sci, Edinburgh, Midlothian, Scotland; [Davies, Jessica; Withers, Paul J. A.] Univ Lancaster, Lancaster Environm Ctr, Lancaster, England; [Doherty, Bob] Univ York, York Management Sch, York, N Yorkshire, England; [Ensor, Jonathan] Univ York, Stockholm Environm Inst, Dept Environm &amp; Geog, York, N Yorkshire, England; [Franco, Sofia C.] Scottish Marine Inst, Scottish Assoc Marine Sci, Oban, Argyll, Scotland; [Gatto, Andrea] Wenzhou Kean Univ, Wenzhou, Zhejiang, Peoples R China; [Gatto, Andrea] Univ Greenwich, Nat Resources Inst, Chatham, England; [Gatto, Andrea] Azerbaijan State Univ Econ, Ctr Studies Europe, Baku, Azerbaijan; [Hess, Tim; Sutcliffe, Chloe] Cranfield Univ, Sch Water Energy &amp; Environm, Cranfield, Beds, England; [Lamprinopoulou, Chrysa] Univ Edinburgh, Dept Sci Technol &amp; Innovat Studies, Edinburgh, Midlothian, Scotland; [Liu, Lingxuan] Univ Lancaster, Lancaster Univ Management Sch, Dept Management Sci, Lancaster, England; [Norton, Lisa] UK Ctr Ecol &amp; Hydrol, Lancaster, England; [Oliver, Tom] Univ Reading, Sch Biol Sci, Reading, Berks, England; [Ollerton, Jeff] Univ Northampton, Dept Environm &amp; Geog Sci, Northampton, England; [Ollerton, Jeff] Chinese Acad Sci, Kunming Inst Bot, Kunming, Yunnan, Peoples R China; [Reed, Mark S.] Scotlands Rural Coll, Rural Policy Ctr, Edinburgh, Midlothian, Scotland</t>
  </si>
  <si>
    <t>University of Oxford; University of West England; University of Leeds; University of Leeds; McGill University; University of Edinburgh; Scotland's Rural College; University of Exeter; University of Reading; University of Edinburgh; Lancaster University; University of York - UK; University of York - UK; UHI Millennium Institute; Wenzhou-Kean University; University of Greenwich; Ministry of Education of Azerbaijan Republic; Azerbaijan State University of Economics (UNEC); Cranfield University; University of Edinburgh; Lancaster University; UK Centre for Ecology &amp; Hydrology (UKCEH); University of Reading; University of Northampton; Chinese Academy of Sciences; Kunming Institute of Botany, CAS; Scotland's Rural College</t>
  </si>
  <si>
    <t>Zurek, M (通讯作者)，Univ Oxford, Environm Change Inst, Oxford, England.</t>
  </si>
  <si>
    <t>monika.zurek@eci.ox.ac.uk; a.gatto@greenwich.ac.uk</t>
  </si>
  <si>
    <t>Sutcliffe, Chloe/GWC-6886-2022; Hess, Tim/B-4482-2010</t>
  </si>
  <si>
    <t>Sutcliffe, Chloe/0000-0002-8035-1964; Hess, Tim/0000-0001-5834-4269</t>
  </si>
  <si>
    <t>Global Food Security's Resilience of the UK Food System in a Global Context program; UK's Biotechnology and Biological Sciences Research Council; UK's Economic and Social Research Council; UK's Natural Environment Research Council; Scottish Government</t>
  </si>
  <si>
    <t>Global Food Security's Resilience of the UK Food System in a Global Context program; UK's Biotechnology and Biological Sciences Research Council(UK Research &amp; Innovation (UKRI)Biotechnology and Biological Sciences Research Council (BBSRC)); UK's Economic and Social Research Council(UK Research &amp; Innovation (UKRI)Economic &amp; Social Research Council (ESRC)); UK's Natural Environment Research Council(UK Research &amp; Innovation (UKRI)Natural Environment Research Council (NERC)); Scottish Government</t>
  </si>
  <si>
    <t>This research was funded through the Global Food Security's Resilience of the UK Food System in a Global Context program, with support from the UK's Biotechnology and Biological Sciences Research Council, the UK's Economic and Social Research Council, the UK's Natural Environment Research Council, and the Scottish Government.</t>
  </si>
  <si>
    <t>ANNUAL REVIEWS</t>
  </si>
  <si>
    <t>PALO ALTO</t>
  </si>
  <si>
    <t>4139 EL CAMINO WAY, PO BOX 10139, PALO ALTO, CA 94303-0139 USA</t>
  </si>
  <si>
    <t>1543-5938</t>
  </si>
  <si>
    <t>1545-2050</t>
  </si>
  <si>
    <t>ANNU REV ENV RESOUR</t>
  </si>
  <si>
    <t>Annu. Rev. Environ. Resour.</t>
  </si>
  <si>
    <t>10.1146/annurev-environ-112320-050744</t>
  </si>
  <si>
    <t>Environmental Sciences; Environmental Studies</t>
  </si>
  <si>
    <t>Science Citation Index Expanded (SCI-EXPANDED); Social Science Citation Index (SSCI)</t>
  </si>
  <si>
    <t>Environmental Sciences &amp; Ecology</t>
  </si>
  <si>
    <t>5K4XX</t>
  </si>
  <si>
    <t>WOS:000869731800020</t>
  </si>
  <si>
    <t>Ding, YM; Cao, Y; Zhang, WP; Chen, J; Liu, J; Li, P; Renner, SS; Zhang, DY; Bai, WN</t>
  </si>
  <si>
    <t>Ding, Ya-Mei; Cao, Yu; Zhang, Wei-Ping; Chen, Jun; Liu, Jie; Li, Pan; Renner, Susanne S.; Zhang, Da-Yong; Bai, Wei-Ning</t>
  </si>
  <si>
    <t>Population-genomic analyses reveal bottlenecks and asymmetric introgression from Persian into iron walnut during domestication</t>
  </si>
  <si>
    <t>GENOME BIOLOGY</t>
  </si>
  <si>
    <t>Domestication bottleneck; Introgression; Iron walnut; Persian walnut; Shell-thickness gene</t>
  </si>
  <si>
    <t>JUGLANS-REGIA L; HAPLOTYPE RECONSTRUCTION; POSITIVE SELECTION; STATISTICAL-METHOD; HISTORY; INFERENCE; GENOTYPE; MUTATION; PERSPECTIVES; PERFORMANCE</t>
  </si>
  <si>
    <t>Background Persian walnut, Juglans regia, occurs naturally from Greece to western China, while its closest relative, the iron walnut, Juglans sigillata, is endemic in southwest China; both species are cultivated for their nuts and wood. Here, we infer their demographic histories and the time and direction of possible hybridization and introgression between them. Results We use whole-genome resequencing data, different population-genetic approaches (PSMC and GONE), and isolation-with-migration models (IMa3) on individuals from Europe, Iran, Kazakhstan, Pakistan, and China. IMa3 analyses indicate that the two species diverged from each other by 0.85 million years ago, with unidirectional gene flow from eastern J. regia and its ancestor into J. sigillata, including the shell-thickness gene. Within J. regia, a western group, located from Europe to Iran, and an eastern group with individuals from northern China, experienced dramatically declining population sizes about 80 generations ago (roughly 2400 to 4000 years), followed by an expansion at about 40 generations, while J. sigillata had a constant population size from about 100 to 20 generations ago, followed by a rapid decline. Conclusions Both J. regia and J. sigillata appear to have suffered sudden population declines during their domestication, suggesting that the bottleneck scenario of plant domestication may well apply in at least some perennial crop species. Introgression from introduced J. regia appears to have played a role in the domestication of J. sigillata.</t>
  </si>
  <si>
    <t>Ding, Ya-Mei</t>
  </si>
  <si>
    <t>[Ding, Ya-Mei; Cao, Yu; Zhang, Wei-Ping; Chen, Jun; Zhang, Da-Yong; Bai, Wei-Ning] Beijing Normal Univ, Coll Life Sci, State Key Lab Earth Surface Proc &amp; Resource Ecol, Beijing 100875, Peoples R China; [Ding, Ya-Mei; Cao, Yu; Zhang, Wei-Ping; Chen, Jun; Zhang, Da-Yong; Bai, Wei-Ning] Beijing Normal Univ, Coll Life Sci, Minist Educ, Key Lab Biodivers Sci &amp; Ecol Engn, Beijing 100875, Peoples R China; [Chen, Jun] China Natl Bot Garden, Beijing 100093, Peoples R China; [Liu, Jie] Chinese Acad Sci, Kunming Inst Bot, CAS Key Lab Plant Divers &amp; Biogeog East Asia, Kunming 650201, Yunnan, Peoples R China; [Li, Pan] Zhejiang Univ, Coll Life Sci, Key Lab Conservat Biol Endangered Wildlife, Minist Educ, Hangzhou 310058, Peoples R China; [Renner, Susanne S.] Washington Univ, Dept Biol, St Louis, MO 63130 USA</t>
  </si>
  <si>
    <t>Beijing Normal University; Beijing Normal University; Chinese Academy of Sciences; Kunming Institute of Botany, CAS; Zhejiang University; Washington University (WUSTL)</t>
  </si>
  <si>
    <t>Zhang, DY; Bai, WN (通讯作者)，Beijing Normal Univ, Coll Life Sci, State Key Lab Earth Surface Proc &amp; Resource Ecol, Beijing 100875, Peoples R China.;Zhang, DY; Bai, WN (通讯作者)，Beijing Normal Univ, Coll Life Sci, Minist Educ, Key Lab Biodivers Sci &amp; Ecol Engn, Beijing 100875, Peoples R China.;Renner, SS (通讯作者)，Washington Univ, Dept Biol, St Louis, MO 63130 USA.</t>
  </si>
  <si>
    <t>srenner@wustl.edu; zhangdy@bnu.edu.cn; baiwn@bnu.edu.cn</t>
  </si>
  <si>
    <t>National Key R&amp;D Program of China [2017YFA0605104]; National Natural Science Foundation of China [32170223, 31421063]; 111 Program of Introducing Talents of Discipline to Universities [B13008]; Beijing Advanced Innovation Program for Land Surface Processes</t>
  </si>
  <si>
    <t>National Key R&amp;D Program of China; National Natural Science Foundation of China(National Natural Science Foundation of China (NSFC)); 111 Program of Introducing Talents of Discipline to Universities; Beijing Advanced Innovation Program for Land Surface Processes</t>
  </si>
  <si>
    <t>This work was supported by the National Key R&amp;D Program of China (2017YFA0605104), the National Natural Science Foundation of China (32170223 and 31421063), the 111 Program of Introducing Talents of Discipline to Universities (B13008), and Beijing Advanced Innovation Program for Land Surface Processes.</t>
  </si>
  <si>
    <t>BMC</t>
  </si>
  <si>
    <t>CAMPUS, 4 CRINAN ST, LONDON N1 9XW, ENGLAND</t>
  </si>
  <si>
    <t>1474-760X</t>
  </si>
  <si>
    <t>GENOME BIOL</t>
  </si>
  <si>
    <t>Genome Biol.</t>
  </si>
  <si>
    <t>JUL 4</t>
  </si>
  <si>
    <t>10.1186/s13059-022-02720-z</t>
  </si>
  <si>
    <t>Biotechnology &amp; Applied Microbiology; Genetics &amp; Heredity</t>
  </si>
  <si>
    <t>2Q8DV</t>
  </si>
  <si>
    <t>WOS:000820649400003</t>
  </si>
  <si>
    <t>Zhou, YL; Zhang, CJ; Zhang, L; Ye, QN; Liu, NYW; Wang, MH; Long, GQ; Fan, W; Lon, MY; Wing, R</t>
  </si>
  <si>
    <t>Zhou, Yanli; Zhang, Chengjun; Zhang, Li; Ye, Qiannan; Liu, Ningyawen; Wang, Muhua; Long, Guangqiang; Fan, Wei; Lon, Manyuan; Wing, Rod A.</t>
  </si>
  <si>
    <t>Gene fusion as an important mechanism to generate new genes in the genus Oryza</t>
  </si>
  <si>
    <t>Fusion gene; Oryza; Evolutionary patterns; Phenotype</t>
  </si>
  <si>
    <t>TRANSPOSABLE ELEMENTS; RAPID EVOLUTION; CHIMERIC GENES; RICE GENOME; DUPLICATION; EXPRESSION; RETROPOSITION; ORIGINATION; COMPLEXITY; GLABERRIMA</t>
  </si>
  <si>
    <t>Background Events of gene fusion have been reported in several organisms. However, the general role of gene fusion as part of new gene origination remains unknown. Results We conduct genome-wide interrogations of four Oryza genomes by designing and implementing novel pipelines to detect fusion genes. Based on the phylogeny of ten plant species, we detect 310 fusion genes across four Oryza species. The estimated rate of origination of fusion genes in the Oryza genus is as high as 63 fusion genes per species per million years, which is fixed at 16 fusion genes per species per million years and much higher than that in flies. By RNA sequencing analysis, we find more than 44% of the fusion genes are expressed and 90% of gene pairs show strong signals of purifying selection. Further analysis of CRISPR/Cas9 knockout lines indicates that newly formed fusion genes regulate phenotype traits including seed germination, shoot length and root length, suggesting the functional significance of these genes. Conclusions We detect new fusion genes that may drive phenotype evolution in Oryza. This study provides novel insights into the genome evolution of Oryza.</t>
  </si>
  <si>
    <t>Zhou, Yanli</t>
  </si>
  <si>
    <t>[Zhou, Yanli; Zhang, Chengjun; Ye, Qiannan; Liu, Ningyawen] Chinese Acad Sci, Kunming Inst Bot, Germplasm Bank Wild Species, Kunming 650201, Yunnan, Peoples R China; [Zhang, Chengjun; Zhang, Li; Lon, Manyuan] Univ Chicago, Dept Ecol &amp; Evolut, 1101 E 57th St, Chicago, IL 60637 USA; [Zhang, Li] Chinese Inst Brain Res, Beijing 102206, Peoples R China; [Wang, Muhua; Wing, Rod A.] Univ Arizona, Sch Plant Sci, Arizona Genom Inst, Tucson, AZ 85721 USA; [Wang, Muhua] Sun Yat Sen Univ, Sch Marine Sci, State Key Lab Biocontrol, Zhuhai 519000, Peoples R China; [Long, Guangqiang; Fan, Wei] Yunnan Agr Univ, Key Lab Med Plant Biol Yunnan Prov, Kunming 650201, Yunnan, Peoples R China; [Wing, Rod A.] King Abdullah Univ Sci &amp; Technol, Ctr Desert Agr, Thuwal 239556900, Saudi Arabia</t>
  </si>
  <si>
    <t>Chinese Academy of Sciences; Kunming Institute of Botany, CAS; University of Chicago; University of Arizona; Sun Yat Sen University; Yunnan Agricultural University; King Abdullah University of Science &amp; Technology</t>
  </si>
  <si>
    <t>Zhang, CJ (通讯作者)，Chinese Acad Sci, Kunming Inst Bot, Germplasm Bank Wild Species, Kunming 650201, Yunnan, Peoples R China.;Zhang, CJ; Lon, MY (通讯作者)，Univ Chicago, Dept Ecol &amp; Evolut, 1101 E 57th St, Chicago, IL 60637 USA.;Wing, R (通讯作者)，Univ Arizona, Sch Plant Sci, Arizona Genom Inst, Tucson, AZ 85721 USA.;Wing, R (通讯作者)，King Abdullah Univ Sci &amp; Technol, Ctr Desert Agr, Thuwal 239556900, Saudi Arabia.</t>
  </si>
  <si>
    <t>zhangchengjun@mail.kib.ac.cn; mlong@uchicago.edu; rod.wing@kaust.edu.sa</t>
  </si>
  <si>
    <t>Zhang, Cheng/GRS-8698-2022</t>
  </si>
  <si>
    <t>Wing, Rod/0000-0001-6633-6226</t>
  </si>
  <si>
    <t>National Natural Science Foundation of China [31571311, 32000180]; Youth Innovation Promotion Association CAS [2021394]; Yunnan Fundamental Research Projects [202001AU070075]; Yunnan Young &amp; Elite Talents Project [YNWR-QNBJ-2019-268]; CAS Scholarship; NSF [1026200, 1051826]</t>
  </si>
  <si>
    <t>National Natural Science Foundation of China(National Natural Science Foundation of China (NSFC)); Youth Innovation Promotion Association CAS; Yunnan Fundamental Research Projects; Yunnan Young &amp; Elite Talents Project; CAS Scholarship; NSF(National Science Foundation (NSF))</t>
  </si>
  <si>
    <t>This research was financially funded by National Natural Science Foundation of China (31571311, 32000180), Youth Innovation Promotion Association CAS (2021394), Yunnan Fundamental Research Projects (202001AU070075), Yunnan Young &amp; Elite Talents Project (YNWR-QNBJ-2019-268), and CAS Scholarship. ML was supported by NSF 1026200 and NSF 1051826; RW by NSF 1026200.</t>
  </si>
  <si>
    <t>JUN 15</t>
  </si>
  <si>
    <t>10.1186/s13059-022-02696-w</t>
  </si>
  <si>
    <t>2D7ZA</t>
  </si>
  <si>
    <t>Green Published, gold</t>
  </si>
  <si>
    <t>WOS:000811758800002</t>
  </si>
  <si>
    <t>Tian, T; Wang, YJ; Huang, JP; Li, J; Xu, BY; Chen, Y; Wang, L; Yang, J; Yan, YJ; Huang, SX</t>
  </si>
  <si>
    <t>Tian, Tian; Wang, Yong-Jiang; Huang, Jian-Ping; Li, Jie; Xu, Bingyan; Chen, Yin; Wang, Li; Yang, Jing; Yan, Yijun; Huang, Sheng-Xiong</t>
  </si>
  <si>
    <t>Catalytic innovation underlies independent recruitment of polyketide synthases in cocaine and hyoscyamine biosynthesis</t>
  </si>
  <si>
    <t>NATURE COMMUNICATIONS</t>
  </si>
  <si>
    <t>TROPANE ALKALOID BIOSYNTHESIS; CHAIN-LENGTH CONTROL</t>
  </si>
  <si>
    <t>Cocaine is a tropane alkaloid produced by Erythroxylum novogranatense. Here the authors identify two polyketide synthases involved in cocaine biosynthesis and provide insight into the parallel evolution of these enzymes in tropane alkaloids-producing plants. Tropane alkaloids such as hyoscyamine and cocaine are of importance in medicinal uses. Only recently has the hyoscyamine biosynthetic machinery become complete. However, the cocaine biosynthesis pathway remains only partially elucidated. Here we characterize polyketide synthases required for generating 3-oxo-glutaric acid from malonyl-CoA in cocaine biosynthetic route. Structural analysis shows that these two polyketide synthases adopt distinctly different active site architecture to catalyze the same reaction as pyrrolidine ketide synthase in hyoscyamine biosynthesis, revealing an unusual parallel/convergent evolution of biochemical function in homologous enzymes. Further phylogenetic analysis suggests lineage-specific acquisition of polyketide synthases required for tropane alkaloid biosynthesis in Erythroxylaceae and Solanaceae species, respectively. Overall, our work elucidates not only a key unknown step in cocaine biosynthesis pathway but also, more importantly, structural and biochemical basis for independent recruitment of polyketide synthases in tropane alkaloid biosynthesis, thus broadening the understanding of conservation and innovation of biosynthetic catalysts.</t>
  </si>
  <si>
    <t>Tian, Tian</t>
  </si>
  <si>
    <t>[Tian, Tian; Wang, Yong-Jiang; Huang, Jian-Ping; Li, Jie; Xu, Bingyan; Chen, Yin; Yang, Jing; Yan, Yijun; Huang, Sheng-Xiong] Chinese Acad Sci, Kunming Inst Bot, State Key Lab Phytochem &amp; Plant Resources West Ch, Kunming 650201, Yunnan, Peoples R China; [Tian, Tian; Wang, Yong-Jiang; Huang, Jian-Ping; Li, Jie; Xu, Bingyan; Chen, Yin; Yang, Jing; Yan, Yijun; Huang, Sheng-Xiong] Chinese Acad Sci, Kunming Inst Bot, CAS Ctr Excellence Mol Plant Sci, Kunming 650201, Yunnan, Peoples R China; [Tian, Tian] Shaanxi Normal Univ, Sch Chem &amp; Chem Engn, Xian 710119, Peoples R China; [Tian, Tian; Wang, Yong-Jiang; Li, Jie; Xu, Bingyan; Chen, Yin] Univ Chinese Acad Sci, Beijing 100049, Peoples R China; [Huang, Jian-Ping; Wang, Li] Chengdu Univ Tradit Chinese Med, Innovat Inst Chinese Med &amp; Pharm, State Key Lab Southwestern Chinese Med Resources, Chengdu 611137, Peoples R China</t>
  </si>
  <si>
    <t>Chinese Academy of Sciences; Kunming Institute of Botany, CAS; Chinese Academy of Sciences; Kunming Institute of Botany, CAS; Shaanxi Normal University; Chinese Academy of Sciences; University of Chinese Academy of Sciences, CAS; Chengdu University of Traditional Chinese Medicine</t>
  </si>
  <si>
    <t>Huang, SX (通讯作者)，Chinese Acad Sci, Kunming Inst Bot, State Key Lab Phytochem &amp; Plant Resources West Ch, Kunming 650201, Yunnan, Peoples R China.;Huang, SX (通讯作者)，Chinese Acad Sci, Kunming Inst Bot, CAS Ctr Excellence Mol Plant Sci, Kunming 650201, Yunnan, Peoples R China.</t>
  </si>
  <si>
    <t>sxhuang@mail.kib.ac.cn</t>
  </si>
  <si>
    <t>WANG, Li/AAD-1190-2020</t>
  </si>
  <si>
    <t>WANG, Li/0000-0002-7004-4725</t>
  </si>
  <si>
    <t>National Key R&amp;D Program of China [2018YFA0900600]; Strategic Priority Research Program of the CAS [XDB27020205]; National Natural Science Foundation of China [82225043, U1902212, 32000239]; Key Research Program of Frontier Sciences of the CAS [QYZDB-SSW-SMC051]; Yunnan Provincial Science and Technology Department [2019FJ007, 2019ZF011-2]; Youth Innovation Promotion Association of CAS [2018424]</t>
  </si>
  <si>
    <t>National Key R&amp;D Program of China; Strategic Priority Research Program of the CAS; National Natural Science Foundation of China(National Natural Science Foundation of China (NSFC)); Key Research Program of Frontier Sciences of the CAS; Yunnan Provincial Science and Technology Department; Youth Innovation Promotion Association of CAS</t>
  </si>
  <si>
    <t>We thank Profs. Zhenhua Liu (Shanghai Jiao Tong University) and Jianghua Chen (Xishuangbanna Tropical Botanical Garden, CAS) for informative discussions and careful reading of the manuscript. This research was supported by the National Key R&amp;D Program of China (2018YFA0900600 to S.-X.H.), the Strategic Priority Research Program of the CAS (XDB27020205 to S.-X.H.), the National Natural Science Foundation of China (82225043 to S.-X.H., U1902212 and 32000239 to J.-P.H.), the Key Research Program of Frontier Sciences of the CAS (QYZDB-SSW-SMC051 to S.-X.H.), Yunnan Provincial Science and Technology Department (2019FJ007 and 2019ZF011-2 to S.-X.H.), and Youth Innovation Promotion Association of CAS (2018424 to Y.Y).</t>
  </si>
  <si>
    <t>2041-1723</t>
  </si>
  <si>
    <t>NAT COMMUN</t>
  </si>
  <si>
    <t>Nat. Commun.</t>
  </si>
  <si>
    <t>AUG 25</t>
  </si>
  <si>
    <t>10.1038/s41467-022-32776-1</t>
  </si>
  <si>
    <t>4B2GR</t>
  </si>
  <si>
    <t>WOS:000845603400016</t>
  </si>
  <si>
    <t>Breidenbach, A; Schleuss, PM; Liu, SB; Schneider, D; Dippold, MA; de la Haye, T; Miehe, G; Heitkamp, F; Seeber, E; Mason-Jones, K; Xu, XL; Huanming, Y; Xu, JC; Dorji, T; Gube, M; Norf, H; Meier, J; Guggenberger, G; Kuzyakov, Y; Spielvogel, S</t>
  </si>
  <si>
    <t>Breidenbach, Andreas; Schleuss, Per-Marten; Liu, Shibin; Schneider, Dominik; Dippold, Michaela A.; de la Haye, Tilman; Miehe, Georg; Heitkamp, Felix; Seeber, Elke; Mason-Jones, Kyle; Xu, Xingliang; Huanming, Yang; Xu, Jianchu; Dorji, Tsechoe; Gube, Matthias; Norf, Helge; Meier, Jutta; Guggenberger, Georg; Kuzyakov, Yakov; Spielvogel, Sandra</t>
  </si>
  <si>
    <t>Microbial functional changes mark irreversible course of Tibetan grassland degradation</t>
  </si>
  <si>
    <t>ARBUSCULAR MYCORRHIZAL STATUS; LIGNOCELLULOSE DEGRADATION; ALPINE MEADOWS; CARBON; PLATEAU; PASTURE; PLANTS; FUNGI; INTENSITY; ECOSYSTEM</t>
  </si>
  <si>
    <t>The Tibetan Plateau's Kobresia pastures store 2.5% of the world's soil organic carbon (SOC). Climate change and overgrazing render their topsoils vulnerable to degradation, with SOC stocks declining by 42% and nitrogen (N) by 33% at severely degraded sites. We resolved these losses into erosion accounting for two-thirds, and decreased carbon (C) input and increased SOC mineralization accounting for the other third, and confirmed these results by comparison with a meta-analysis of 594 observations. The microbial community responded to the degradation through altered taxonomic composition and enzymatic activities. Hydrolytic enzyme activities were reduced, while degradation of the remaining recalcitrant soil organic matter by oxidative enzymes was accelerated, demonstrating a severe shift in microbial functioning. This may irreversibly alter the world ' s largest alpine pastoral ecosystem by diminishing its C sink function and nutrient cycling dynamics, negatively impacting local food security, regional water quality and climate. The Tibetan Kobresia pastures store 2.5% of the world's soil organic carbon. Here the authors show that soil degradation and microbial shifts may irreversibly diminish the carbon sink function and accelerate nutrient losses.</t>
  </si>
  <si>
    <t>Breidenbach, Andreas</t>
  </si>
  <si>
    <t>[Breidenbach, Andreas; Dippold, Michaela A.] Univ Goettingen, Dept Crop Sci, Biogeochem Agroecosyst, Buesgenweg 2, D-37077 Gottingen, Germany; [Breidenbach, Andreas; Dippold, Michaela A.] Univ Tubingen, Dept Geosci, Geobiosphere Interact, Schnarrenbergstr 94-96, D-72076 Tubingen, Germany; [Schleuss, Per-Marten] Univ Bayreuth, Dept Soil Ecol, Dr Hans Frisch Str 1-3, D-95448 Bayreuth, Germany; [Liu, Shibin] Chengdu Univ Technol, Inst Ecol Environm, Chengdu 610059, Peoples R China; [Schneider, Dominik] Univ Goettingen, Inst Microbiol &amp; Genet, Grisebachstr 8, D-37077 Gottingen, Germany; [Schneider, Dominik] Univ Goettingen, Goettingen Genom Lab, Grisebachstr 8, D-37077 Gottingen, Germany; [de la Haye, Tilman; Spielvogel, Sandra] Univ Kiel, Dept Soil Sci, Hermann Rodewald Str 2, D-24118 Kiel, Germany; [Miehe, Georg] Univ Marburg, Fac Geog, Deutschhausstr 10, D-35032 Marburg, Germany; [Heitkamp, Felix] Northwest German Forest Res Inst, Environm Control, Graetzelstr 2, D-37079 Gottingen, Germany; [Seeber, Elke] Senckenberg Museum Nat Hist Goerlitz, Dept Bot, D-02806 Goerlitz, Germany; [Mason-Jones, Kyle] Netherlands Inst Ecol, Dept Terr Ecol, Postbus 50, NL-6700 AB Wageningen, Netherlands; [Xu, Xingliang] Chinese Acad Sci, Key Lab Ecosyst Network Observat &amp; Modeling, Inst Geog Sci &amp; Nat Resources Res, 11A Datun Rd, Beijing 100101, Peoples R China; [Xu, Xingliang; Dorji, Tsechoe] Chinese Acad Sci, CAS Ctr Excellence Tibetan Plateau Earth Sci, Beijing 100101, Peoples R China; [Huanming, Yang] Beijing Genom Inst, BGI Pk 21 Hongan 3rd St, Shenzhen 518083, Peoples R China; [Xu, Jianchu] Chinese Acad Sci, Kunming Inst Bot, Ctr Mt Futures, Kunming 650201, Yunnan, Peoples R China; [Dorji, Tsechoe] Chinese Acad Sci, Inst Tibetan Plateau Res, 16 Lincui Rd, Beijing 100101, Peoples R China; [Gube, Matthias] Univ Goettingen, Soil Sci Temperate Ecosyst, Buesgenweg 2, D-37077 Gottingen, Germany; [Norf, Helge] Helmholtz Ctr Environm Res GmbH UFZ, Dept River Ecol, Dept Aquat Ecosyst Anal &amp; Management, Brueckstr 3a, D-39114 Magdeburg, Germany; [Meier, Jutta] Univ Koblenz Landau, Inst Integrated Nat Sci, Univ Str 1, D-56070 Koblenz, Germany; [Guggenberger, Georg] Leibniz Univ Hannover, Inst Soil Sci, Herrenhauser Str 2, D-30419 Hannover, Germany; [Kuzyakov, Yakov] Univ Goettingen, Agr Soil Sci, Buesgenweg 2, D-37077 Gottingen, Germany</t>
  </si>
  <si>
    <t>University of Gottingen; Eberhard Karls University of Tubingen; University of Bayreuth; Chengdu University of Technology; University of Gottingen; University of Gottingen; University of Kiel; Philipps University Marburg; Senckenberg Gesellschaft fur Naturforschung (SGN); Royal Netherlands Academy of Arts &amp; Sciences; Netherlands Institute of Ecology (NIOO-KNAW); Chinese Academy of Sciences; Institute of Geographic Sciences &amp; Natural Resources Research, CAS; Chinese Academy of Sciences; Beijing Genomics Institute (BGI); Chinese Academy of Sciences; Kunming Institute of Botany, CAS; Chinese Academy of Sciences; Institute of Tibetan Plateau Research, CAS; University of Gottingen; Helmholtz Association; Helmholtz Center for Environmental Research (UFZ); University of Koblenz &amp; Landau; Leibniz University Hannover; University of Gottingen</t>
  </si>
  <si>
    <t>Spielvogel, S (通讯作者)，Univ Kiel, Dept Soil Sci, Hermann Rodewald Str 2, D-24118 Kiel, Germany.</t>
  </si>
  <si>
    <t>s.spielvogel@soils.uni-kiel.de</t>
  </si>
  <si>
    <t>Liu, Shibin/F-3703-2017; Heitkamp, Felix/ABE-3167-2021; Dippold, Michaela A/C-1548-2017; Xu, Xingliang/P-9916-2015</t>
  </si>
  <si>
    <t>Liu, Shibin/0000-0002-5689-7924; Heitkamp, Felix/0000-0002-0037-5553; Xu, Xingliang/0000-0003-2869-4932; Dippold, Michaela/0000-0002-3657-4693; Gube, Matthias/0000-0001-5101-3096</t>
  </si>
  <si>
    <t>German Research Council (Priority Program 1372); Centre for Stable Isotope Research and Analysis (KOSI) of Gottingen; German Research Foundation (DFG) [KU 1184/14-2, GU 406/22-2]; DFG</t>
  </si>
  <si>
    <t>German Research Council (Priority Program 1372); Centre for Stable Isotope Research and Analysis (KOSI) of Gottingen; German Research Foundation (DFG)(German Research Foundation (DFG)); DFG(German Research Foundation (DFG))</t>
  </si>
  <si>
    <t>We thank our colleagues T. Biermann, W. Babel, U. Bange, L. Becker, C. Blaser, H. Coners, I. Hoeft, P. Jannack, K. Kruger, K. Schutzenmeister, L. Steingraber, Y. Sun, and S. Willinghofer for helping in the field and the laboratory. The German Research Council (Priority Program 1372) and the Centre for Stable Isotope Research and Analysis (KOSI) of Gottingen supported this project. This research was funded by the German Research Foundation (DFG) in the frame of the Priority Program SPP 1372 Tibetan Plateau: Formation-Climate-Ecosystems, DFG. 2009-2015; KU 1184/14-2, GU 406/22-2. We acknowledge financial support by DFG within the funding programme Open Access-Publikationskosten.</t>
  </si>
  <si>
    <t>MAY 13</t>
  </si>
  <si>
    <t>10.1038/s41467-022-30047-7</t>
  </si>
  <si>
    <t>1F5JA</t>
  </si>
  <si>
    <t>gold, Green Published</t>
  </si>
  <si>
    <t>WOS:000795204200008</t>
  </si>
  <si>
    <t>Liu, Y; Wang, SB; Li, LZ; Yang, T; Dong, SS; Wei, T; Wu, SD; Liu, YB; Gong, YQ; Feng, XY; Ma, JC; Chang, GX; Huang, JL; Yang, Y; Wang, HL; Liu, M; Xu, Y; Liang, HP; Yu, J; Cai, YQ; Zhang, ZW; Fan, YN; Mu, WX; Sahu, SK; Liu, SC; Lang, XA; Yang, LL; Li, N; Habib, S; Yang, YQ; Lindstrom, AJ; Liang, P; Goffinet, B; Zaman, S; Wegrzyn, JL; Li, DX; Liu, J; Cui, J; Sonnenschein, EC; Wang, XB; Ruan, J; Xue, JY; Shao, ZQ; Song, C; Fan, GY; Li, Z; Zhang, LS; Liu, JQ; Liu, ZJ; Jiao, YN; Wang, XQ; Wu, H; Wang, ET; Lisby, M; Yang, HM; Wang, J; Liu, X; Xu, X; Li, N; Soltis, PS; Van de Peer, Y; Soltis, DE; Gong, X; Liu, H; Zhang, SZ</t>
  </si>
  <si>
    <t>Liu, Yang; Wang, Sibo; Li, Linzhou; Yang, Ting; Dong, Shanshan; Wei, Tong; Wu, Shengdan; Liu, Yongbo; Gong, Yiqing; Feng, Xiuyan; Ma, Jianchao; Chang, Guanxiao; Huang, Jinling; Yang, Yong; Wang, Hongli; Liu, Min; Xu, Yan; Liang, Hongping; Yu, Jin; Cai, Yuqing; Zhang, Zhaowu; Fan, Yannan; Mu, Weixue; Sahu, Sunil Kumar; Liu, Shuchun; Lang, Xiaoan; Yang, Leilei; Li, Na; Habib, Sadaf; Yang, Yongqiong; Lindstrom, Anders J.; Liang, Pei; Goffinet, Bernard; Zaman, Sumaira; Wegrzyn, Jill L.; Li, Dexiang; Liu, Jian; Cui, Jie; Sonnenschein, Eva C.; Wang, Xiaobo; Ruan, Jue; Xue, Jia-Yu; Shao, Zhu-Qing; Song, Chi; Fan, Guangyi; Li, Zhen; Zhang, Liangsheng; Liu, Jianquan; Liu, Zhong-Jian; Jiao, Yuannian; Wang, Xiao-Quan; Wu, Hong; Wang, Ertao; Lisby, Michael; Yang, Huanming; Wang, Jian; Liu, Xin; Xu, Xun; Li, Nan; Soltis, Pamela S.; Van de Peer, Yves; Soltis, Douglas E.; Gong, Xun; Liu, Huan; Zhang, Shouzhou</t>
  </si>
  <si>
    <t>The Cycas genome and the early evolution of seed plants</t>
  </si>
  <si>
    <t>NATURE PLANTS</t>
  </si>
  <si>
    <t>PHYLOGENETIC ANALYSIS; SEX-CHROMOSOMES; SEQUENCE; RECONSTRUCTION; PROGRAM; GENE; TOOL; IDENTIFICATION; POLYPLOIDY; METABOLISM</t>
  </si>
  <si>
    <t>Cycads represent one of the most ancient lineages of living seed plants. Identifying genomic features uniquely shared by cycads and other extant seed plants, but not non-seed-producing plants, may shed light on the origin of key innovations, as well as the early diversification of seed plants. Here, we report the 10.5-Gb reference genome of Cycas panzhihuaensis, complemented by the transcriptomes of 339 cycad species. Nuclear and plastid phylogenomic analyses strongly suggest that cycads and Ginkgo form a clade sister to all other living gymnosperms, in contrast to mitochondrial data, which place cycads alone in this position. We found evidence for an ancient whole-genome duplication in the common ancestor of extant gymnosperms. The Cycas genome contains four homologues of the fitD gene family that were likely acquired via horizontal gene transfer from fungi, and these genes confer herbivore resistance in cycads. The male-specific region of the Y chromosome of C. panzhihuaensis contains a MADS-box transcription factor expressed exclusively in male cones that is similar to a system reported in Ginkgo, suggesting that a sex determination mechanism controlled by MADS-box genes may have originated in the common ancestor of cycads and Ginkgo. The C. panzhihuaensis genome provides an important new resource of broad utility for biologists. The study assembled a chromosome-level genome of Cycas panzhihuaensis, the last major lineage of seed plants for which a high-quality genome assembly was lacking. The study closes an important gap in our understanding of genome structure and evolution in seed plants.</t>
  </si>
  <si>
    <t>Liu, Yang</t>
  </si>
  <si>
    <t>[Liu, Yang; Wang, Sibo; Li, Linzhou; Yang, Ting; Wei, Tong; Wang, Hongli; Liu, Min; Xu, Yan; Liang, Hongping; Yu, Jin; Cai, Yuqing; Zhang, Zhaowu; Fan, Yannan; Mu, Weixue; Sahu, Sunil Kumar; Fan, Guangyi; Yang, Huanming; Wang, Jian; Liu, Xin; Xu, Xun; Liu, Huan] BGI Shenzhen, State Key Lab Agr Genom, Shenzhen, Peoples R China; [Liu, Yang; Dong, Shanshan; Gong, Yiqing; Liu, Shuchun; Lang, Xiaoan; Yang, Leilei; Li, Na; Habib, Sadaf; Li, Nan; Zhang, Shouzhou] Shenzhen &amp; Chinese Acad Sci, Key Lab Southern Subtrop Plant Divers, Fairy Lake Bot Garden, Shenzhen, Peoples R China; [Wu, Shengdan] Lanzhou Univ, Coll Ecol, State Key Lab Grassland Agroecosyst, Lanzhou, Peoples R China; [Liu, Yongbo] Chinese Res Inst Environm Sci, State Environm Protect Key Lab Reg Ecoproc &amp; Func, Beijing, Peoples R China; [Feng, Xiuyan; Huang, Jinling; Liu, Jian; Gong, Xun] Chinese Acad Sci, Kunming Inst Bot, Key Lab Plant Divers &amp; Biogeog East Asia, Kunming, Yunnan, Peoples R China; [Ma, Jianchao; Chang, Guanxiao; Huang, Jinling] Henan Univ, Key Lab Plant Stress Biol, State Key Lab Crop Stress Adaptat &amp; Improvement, Kaifeng, Peoples R China; [Huang, Jinling] East Carolina Univ, Dept Biol, Greenville, NC USA; [Yang, Yong] Nanjing Forestry Univ, Coll Biol &amp; Environm, Nanjing, Peoples R China; [Wang, Hongli; Xu, Yan; Liang, Hongping; Yu, Jin; Cai, Yuqing; Zhang, Zhaowu] Univ Chinese Acad Sci, Coll Life Sci, Beijing, Peoples R China; [Lang, Xiaoan; Li, Dexiang] Nanning Bot Garden, Nanning, Peoples R China; [Habib, Sadaf] Sun Yat Sen Univ, Sch Life Sci, Guangzhou, Peoples R China; [Yang, Yongqiong] Sichuan Cycas Panzhihuaensis Natl Nat Reserve, Panzhihua, Peoples R China; [Lindstrom, Anders J.] Global Biodivers Conservancy, Chon Buri, Thailand; [Liang, Pei] China Agr Univ, Dept Entomol, Beijing, Peoples R China; [Goffinet, Bernard; Zaman, Sumaira; Wegrzyn, Jill L.] Univ Connecticut, Dept Ecol &amp; Evolutionary Biol, Storrs, CT USA; [Cui, Jie] Shenzhen Univ, Coll Life Sci &amp; Oceanog, Longhua Inst Innovat Biotechnol, Guangdong Prov Key Lab Plant Epigenet, Shenzhen, Peoples R China; [Sonnenschein, Eva C.] Tech Univ Denmark, Dept Biotechnol &amp; Biomed, Lyngby, Denmark; [Wang, Xiaobo; Ruan, Jue] Chinese Acad Agr Sci, Shenzhen Agr Genome Res Inst, Shenzhen, Peoples R China; [Xue, Jia-Yu; Van de Peer, Yves] Nanjing Agr Univ, Acad Adv Interdisciplinary Studies, Coll Hort, Nanjing, Peoples R China; [Shao, Zhu-Qing] Nanjing Univ, Sch Life Sci, State Key Lab Pharmaceut Biotechnol, Nanjing, Peoples R China; [Song, Chi] Chengdu Univ Tradit Chinese Med, Chengdu, Peoples R China; [Li, Zhen; Van de Peer, Yves] Univ Ghent, VIB UGent Ctr Plant Syst Biol, Dept Plant Biotechnol &amp; Bioinformat, Ghent, Belgium; [Zhang, Liangsheng] Zhejiang Univ, Coll Agr &amp; Biotechnol, Hangzhou, Peoples R China; [Zhang, Liangsheng] Zhejiang Univ, Hainan Inst, Sanya, Peoples R China; [Liu, Jianquan] Sichuan Univ, Coll Life Sci, Chengdu, Peoples R China; [Liu, Zhong-Jian] Fujian Agr &amp; Forestry Univ, Coll Landscape Architecture, Key Lab Orchid Conservat &amp; Utilizat, Natl Forestry &amp; Grassland Adm, Fuzhou, Peoples R China; [Jiao, Yuannian; Wang, Xiao-Quan] Chinese Acad Sci, Inst Bot, State Key Lab Systemat &amp; Evolutionary Bot, Beijing, Peoples R China; [Wu, Hong] South China Agr Univ, Coll Life Sci, Guangzhou, Peoples R China; [Wang, Ertao] Chinese Acad Sci, Natl Key Lab Plant Mol Genet, Ctr Excellence Mol Plant Sci, Inst Plant Physiol &amp; Ecol, Shanghai, Peoples R China; [Lisby, Michael] Univ Copenhagen, Dept Biol, Copenhagen, Denmark; [Soltis, Pamela S.; Soltis, Douglas E.] Univ Florida, Florida Museum Nat Hist, Gainesville, FL 32611 USA; [Van de Peer, Yves] Univ Pretoria, Dept Biochem Genet &amp; Microbiol, Pretoria, South Africa; [Soltis, Douglas E.] Univ Florida, Dept Biol, Gainesville, FL 32611 USA</t>
  </si>
  <si>
    <t>Beijing Genomics Institute (BGI); Lanzhou University; Chinese Research Academy of Environmental Sciences; Chinese Academy of Sciences; Kunming Institute of Botany, CAS; Henan University; University of North Carolina; East Carolina University; Nanjing Forestry University; Chinese Academy of Sciences; University of Chinese Academy of Sciences, CAS; Sun Yat Sen University; China Agricultural University; University of Connecticut; Shenzhen University; Technical University of Denmark; Chinese Academy of Agricultural Sciences; Nanjing Agricultural University; Nanjing University; Chengdu University of Traditional Chinese Medicine; Flanders Institute for Biotechnology (VIB); Ghent University; Zhejiang University; Zhejiang University; Sichuan University; Fujian Agriculture &amp; Forestry University; Chinese Academy of Sciences; Institute of Botany, CAS; South China Agricultural University; Chinese Academy of Sciences; University of Copenhagen; State University System of Florida; University of Florida; University of Pretoria; State University System of Florida; University of Florida</t>
  </si>
  <si>
    <t>Liu, Y; Liu, H (通讯作者)，BGI Shenzhen, State Key Lab Agr Genom, Shenzhen, Peoples R China.;Liu, Y; Zhang, SZ (通讯作者)，Shenzhen &amp; Chinese Acad Sci, Key Lab Southern Subtrop Plant Divers, Fairy Lake Bot Garden, Shenzhen, Peoples R China.;Gong, X (通讯作者)，Chinese Acad Sci, Kunming Inst Bot, Key Lab Plant Divers &amp; Biogeog East Asia, Kunming, Yunnan, Peoples R China.;Van de Peer, Y (通讯作者)，Nanjing Agr Univ, Acad Adv Interdisciplinary Studies, Coll Hort, Nanjing, Peoples R China.;Van de Peer, Y (通讯作者)，Univ Ghent, VIB UGent Ctr Plant Syst Biol, Dept Plant Biotechnol &amp; Bioinformat, Ghent, Belgium.;Soltis, DE (通讯作者)，Univ Florida, Florida Museum Nat Hist, Gainesville, FL 32611 USA.;Van de Peer, Y (通讯作者)，Univ Pretoria, Dept Biochem Genet &amp; Microbiol, Pretoria, South Africa.;Soltis, DE (通讯作者)，Univ Florida, Dept Biol, Gainesville, FL 32611 USA.</t>
  </si>
  <si>
    <t>yang.liu0508@gmail.com; yvpee@psb.vib-ugent.be; dsoltis@ufl.edu; gongxun@mail.kib.ac.cn; liuhuan@genomics.cn; shouzhouz@szbg.ac.cn</t>
  </si>
  <si>
    <t>YANG, LEI/GQH-4271-2022; Sahu, Sunil Kumar/I-5261-2019; Wang, Ertao/GYU-4506-2022; Sonnenschein, Eva/P-4539-2016; WANG, TAO ER/GYV-0174-2022; Lisby, Michael/K-9814-2014; Liu, Yongbo/H-3984-2015</t>
  </si>
  <si>
    <t>Sahu, Sunil Kumar/0000-0002-4742-9870; Wang, Ertao/0000-0002-5178-3530; Sonnenschein, Eva/0000-0001-6959-5100; Ruan, Jue/0000-0003-3713-3192; Liu, Yang/0000-0002-5942-839X; Wu, Shengdan/0000-0003-1481-4825; Lisby, Michael/0000-0002-4830-5247; Zhang, Shouzhou/0000-0001-9070-0593; Li, Linzhou/0000-0003-0799-0900; Yu, Jin/0000-0002-1662-2862; Zhang, Liangsheng/0000-0003-1919-3677; Fan, Yannan/0000-0003-3308-6878; Liu, Yongbo/0000-0003-1618-8813; Shao, Zhu-Qing/0000-0002-0431-0669; Huang, Jinling/0000-0003-4893-4171</t>
  </si>
  <si>
    <t>Scientific Foundation of Urban Management Bureau of Shenzhen [201916, 202019, 202105]; National Key R&amp;D Program of China [2019YFC1711000]; Biodiversity Survey and Assessment Project of the Ministry of Ecology and Environment, China [2019HJ2096001006]; Major Science and Technology Projects of Yunnan Province (Digitalization, development and application of biotic resource) [860 202002AA100007]; Shenzhen Municipal Government of China [JCYJ20151015162041454]; European Research Council (ERC) under the European Union's Horizon 2020 research and innovation program [833522]; Ghent University (Methusalem) [BOF.MET.2021.0005.01]; National Cycad Conservation Center at Fairy Lake Botanical Garden; China National GeneBank (CNGB)</t>
  </si>
  <si>
    <t>Scientific Foundation of Urban Management Bureau of Shenzhen; National Key R&amp;D Program of China; Biodiversity Survey and Assessment Project of the Ministry of Ecology and Environment, China; Major Science and Technology Projects of Yunnan Province (Digitalization, development and application of biotic resource); Shenzhen Municipal Government of China; European Research Council (ERC) under the European Union's Horizon 2020 research and innovation program(European Research Council (ERC)); Ghent University (Methusalem); National Cycad Conservation Center at Fairy Lake Botanical Garden; China National GeneBank (CNGB)</t>
  </si>
  <si>
    <t>This study was supported by the Scientific Foundation of Urban Management Bureau of Shenzhen (No. 201916 to Yang Liu, No. 202019 to Shouzhou Zhang and No. 202105 to Y.G.), the National Key R&amp;D Program of China (No. 2019YFC1711000 to Huan Liu), the Biodiversity Survey and Assessment Project of the Ministry of Ecology and Environment, China (No. 2019HJ2096001006 to Shouzhou Zhang and Yongbo Liu), the Major Science and Technology Projects of Yunnan Province (Digitalization, development and application of biotic resource, No. 860 202002AA100007 to Huan Liu) and Shenzhen Municipal Government of China (No. JCYJ20151015162041454 to Huan Liu). Y.V.d.P. acknowledges funding from the European Research Council (ERC) under the European Union's Horizon 2020 research and innovation program (No. 833522) and from Ghent University (Methusalem funding, BOF.MET.2021.0005.01). Plant illustrations were drawn by S. Li, Z. Li, D. Cui and X. Zeng. We are grateful to the Orchid Conservation and Research Centre of Shenzhen for allowing us to access their computing resources. We also acknowledge T. Wan (Fairy Lake Botanical Garden) and D. Stevenson (New York Botanical Garden), who kindly commented on an earlier draft of the manuscript, and T. Takaso (University of the Ryukyus), who provided the video for swimming sperm of Cycas. The study was supported by the National Cycad Conservation Center at Fairy Lake Botanical Garden. This work is part of the 10KP project (https://db.cngb.org/10kp/) and was also supported by China National GeneBank (CNGB; https://www.cngb.org/).</t>
  </si>
  <si>
    <t>2055-026X</t>
  </si>
  <si>
    <t>2055-0278</t>
  </si>
  <si>
    <t>NAT PLANTS</t>
  </si>
  <si>
    <t>Nat. Plants</t>
  </si>
  <si>
    <t>APR</t>
  </si>
  <si>
    <t>10.1038/s41477-022-01129-7</t>
  </si>
  <si>
    <t>0Q2RA</t>
  </si>
  <si>
    <t>WOS:000784028800003</t>
  </si>
  <si>
    <t>Shi, C; Wang, S; Cai, HH; Zhang, HR; Long, XX; Tihelka, E; Song, WC; Feng, Q; Jiang, RX; Cai, CY; Lombard, N; Li, X; Yuan, J; Zhu, JP; Yang, HY; Liu, XF; Xiang, QP; Zhao, ZT; Long, CL; Schneider, H; Zhang, XC; Peng, H; Li, DZ; Fan, Y; Engel, MS; Wang, YD; Spicer, RA</t>
  </si>
  <si>
    <t>Shi, Chao; Wang, Shuo; Cai, Hao-Hong; Zhang, Hong-Rui; Long, Xiao-Xuan; Tihelka, Erik; Song, Wei-cai; Feng, Qi; Jiang, Ri-xin; Cai, Chen-Yang; Lombard, Natasha; Li, Xiong; Yuan, Ji; Zhu, Jian-ping; Yang, Hui-yu; Liu, Xiao-fan; Xiang, Qiao-ping; Zhao, Zun-tian; Long, Chun-lin; Schneider, Harald; Zhang, Xian-chun; Peng, Hua; Li, De-Zhu; Fan, Yong; Engel, Michael S.; Wang, Yong-Dong; Spicer, Robert A.</t>
  </si>
  <si>
    <t>Fire-prone Rhamnaceae with South African affinities in Cretaceous Myanmar amber</t>
  </si>
  <si>
    <t>BURMESE AMBER; CAPE FLORA; EVOLUTION; CLIMATE; HISTORY; BIODIVERSITY; OXYGEN; ORIGIN; FLAMMABILITY; PALYNOMORPHS</t>
  </si>
  <si>
    <t>The rapid Cretaceous diversification of flowering plants remains Darwin's 'abominable mystery' despite numerous fossil flowers discovered in recent years. Wildfires were frequent in the Cretaceous and many such early flower fossils are represented by charcoalified fragments, lacking complete delicate structures and surface textures, making their similarity to living forms difficult to discern. Furthermore, scarcity of information about the ecology of early angiosperms makes it difficult to test hypotheses about the drivers of their diversification, including the role of fire in shaping flowering plant evolution. We report the discovery of two exquisitely preserved fossil flower species, one identical to the inflorescences of the extant crown-eudicot genus Phylica and the other recovered as a sister group to Phylica, both preserved as inclusions together with burned plant remains in Cretaceous amber from northern Myanmar (similar to 99 million years ago). These specialized flower species, named Phylica piloburmensis sp. nov. and Eophylica priscastellata gen. et sp. nov., exhibit traits identical to those of modern taxa in fire-prone ecosystems such as the fynbos of South Africa, and provide evidence of fire adaptation in angiosperms.</t>
  </si>
  <si>
    <t>Shi, Chao</t>
  </si>
  <si>
    <t>[Shi, Chao; Wang, Shuo; Cai, Hao-Hong; Zhang, Hong-Rui; Long, Xiao-Xuan; Song, Wei-cai; Feng, Qi; Jiang, Ri-xin; Yang, Hui-yu; Liu, Xiao-fan] Qingdao Univ Sci &amp; Technol, Coll Marine Sci &amp; Biol Engn, Qingdao, Peoples R China; [Shi, Chao; Peng, Hua] Chinese Acad Sci, Kunming Inst Bot, Key Lab Plant Divers &amp; Biogeog East Asia, Kunming, Yunnan, Peoples R China; [Wang, Shuo; Fan, Yong] Fushun Amber Inst, Fushun, Peoples R China; [Tihelka, Erik] Univ Bristol, Sch Earth Sci, Life Sci Bldg, Bristol, Avon, England; [Cai, Chen-Yang; Wang, Yong-Dong] Chinese Acad Sci, Nanjing Inst Geol &amp; Palaeontol, State Key Lab Palaeobiol &amp; Stratig, Nanjing, Peoples R China; [Cai, Chen-Yang; Wang, Yong-Dong] Chinese Acad Sci, Ctr Excellence Life &amp; Palaeoenvironm, Nanjing, Peoples R China; [Lombard, Natasha] South African Natl Biodivers Inst, Biosystemat &amp; Biodivers Collect Div, Natl Herbarium, Pretoria, South Africa; [Li, Xiong; Li, De-Zhu] Chinese Acad Sci, Kunming Inst Bot, Germplasm Bank Wild Species, Kunming, Yunnan, Peoples R China; [Yuan, Ji] Shanghai World Expo Museum, Shanghai, Peoples R China; [Zhu, Jian-ping; Zhao, Zun-tian] Shandong Normal Univ, Coll Life Sci, Jinan, Peoples R China; [Xiang, Qiao-ping; Zhang, Xian-chun] Chinese Acad Sci, Inst Bot, State Key Lab Systemat &amp; Evolutionary Bot, Beijing, Peoples R China; [Long, Chun-lin] Minzu Univ China, Coll Life &amp; Environm Sci, Beijing, Peoples R China; [Schneider, Harald] Nat Hist Museum, Dept Life Sci, London, England; [Schneider, Harald] Sun Yatsen Univ, Sch Life Sci, Guangzhou, Guangdong, Peoples R China; [Engel, Michael S.] Univ Kansas, Nat Hist Museum, Lawrence, KS 66045 USA; [Engel, Michael S.] Univ Kansas, Dept Ecol &amp; Evolutionary Biol, Lawrence, KS 66045 USA; [Spicer, Robert A.] Chinese Acad Sci, CAS Key Lab Trop Forest Ecol, Xishuangbanna Trop Bot Garden, Mengla, Peoples R China; [Spicer, Robert A.] Open Univ, Sch Environm Earth &amp; Ecosyst Sci, Milton Keynes, Bucks, England</t>
  </si>
  <si>
    <t>Qingdao University of Science &amp; Technology; Chinese Academy of Sciences; Kunming Institute of Botany, CAS; University of Bristol; Chinese Academy of Sciences; Chinese Academy of Sciences; South African National Biodiversity Institute; Chinese Academy of Sciences; Kunming Institute of Botany, CAS; Shandong Normal University; Chinese Academy of Sciences; Institute of Botany, CAS; Minzu University of China; Natural History Museum London; Sun Yat Sen University; University of Kansas; University of Kansas; Chinese Academy of Sciences; Xishuangbanna Tropical Botanical Garden, CAS; Open University - UK</t>
  </si>
  <si>
    <t>Wang, S (通讯作者)，Qingdao Univ Sci &amp; Technol, Coll Marine Sci &amp; Biol Engn, Qingdao, Peoples R China.;Wang, S (通讯作者)，Fushun Amber Inst, Fushun, Peoples R China.</t>
  </si>
  <si>
    <t>shuowang@qust.edu.cn</t>
  </si>
  <si>
    <t>Engel, Michael S/C-5461-2012; Li, De-Zhu/G-8203-2011</t>
  </si>
  <si>
    <t>Engel, Michael S/0000-0003-3067-077X; Li, De-Zhu/0000-0002-4990-724X; Cai, Haohong/0000-0002-7402-9426; Song, Weicai/0000-0003-2665-8874; Wang, Shuo/0000-0003-0412-3799</t>
  </si>
  <si>
    <t>National Natural Science Foundation of China [31801022, 31701090, 41790454, 41688103]; Strategic Priority Research Program (B) of the Chinese Academy of Sciences [XDB18000000, XDB26000000]; State Key Laboratory of Palaeobiology and Stratigraphy [20191103, 213119]; Natural Science Foundation of Shandong Province [ZR2019BC094]</t>
  </si>
  <si>
    <t>National Natural Science Foundation of China(National Natural Science Foundation of China (NSFC)); Strategic Priority Research Program (B) of the Chinese Academy of Sciences(Chinese Academy of Sciences); State Key Laboratory of Palaeobiology and Stratigraphy; Natural Science Foundation of Shandong Province(Natural Science Foundation of Shandong Province)</t>
  </si>
  <si>
    <t>We thank Profs. Z.-k. Zhou, P. Herendeen, S. R. Manchester, Y.-w. Xing, G.-l. Shi, H.-l. You, C. Hoorn, G. Li, Z. Feng, D. Ren, B. Wang and Z.-j. Liu for their valuable advice on earlier versions of this manuscript; J.-a. Xia for his help with drawing the palaeoenvironment reconstruction; and F.-c. Zheng for help with micro-CT data analyses. This study was supported by the National Natural Science Foundation of China (No. 31801022 for S.W. and No. 31701090 for C.S.), and co-sponsored by the National Natural Science Foundation of China (No. 41790454 and No. 41688103 for Y.D.W.), Strategic Priority Research Program (B) of the Chinese Academy of Sciences (No. XDB18000000 and No. XDB26000000 for Y.D.W.), the State Key Laboratory of Palaeobiology and Stratigraphy (No. 20191103 for Y.D.W. and No. 213119 for S.W.), the Natural Science Foundation of Shandong Province (Grant No. ZR2019BC094 for S.W.). This work is a contribution to UNESCO-IUGS IGCP Project 679.</t>
  </si>
  <si>
    <t>10.1038/s41477-021-01091-w</t>
  </si>
  <si>
    <t>ZF6QR</t>
  </si>
  <si>
    <t>WOS:000750285700001</t>
  </si>
  <si>
    <t>Hou, XD; Xu, HB; Deng, ZW; Yan, YJ; Yuan, ZB; Liu, XZ; Su, ZP; Yang, S; Zhang, Y; Rao, YJ</t>
  </si>
  <si>
    <t>Hou, Xiaodong; Xu, Huibin; Deng, Zhiwei; Yan, Yijun; Yuan, Zhenbo; Liu, Xuanzhong; Su, Zengping; Yang, Sai; Zhang, Yan; Rao, Yijian</t>
  </si>
  <si>
    <t>Discovery of the Biosynthetic Pathway of Beticolin 1 Reveals a Novel Non-Heme Iron-Dependent Oxygenase for Anthraquinone Ring Cleavage</t>
  </si>
  <si>
    <t>ANGEWANDTE CHEMIE-INTERNATIONAL EDITION</t>
  </si>
  <si>
    <t>Anthraquinone Ring Cleavage; Beticolin 1; Biosynthetic Gene Cluster; Carboxylated-Lysine; Non-Heme Iron Oxygenase</t>
  </si>
  <si>
    <t>BETA-LACTAMASE; CYTOCHROME-P450 MONOOXYGENASE; CERCOSPORIN; MECHANISM; INSIGHTS; ENZYME; DIMERS; LYSINE; FUNGUS</t>
  </si>
  <si>
    <t>This study used light-mediated comparative transcriptomics to identify the biosynthetic gene cluster of beticolin 1 in Cercospora. It contains an anthraquinone moiety and an unusual halogenated xanthone moiety connected by a bicyclo[3.2.2]nonane. During elucidation of the biosynthetic pathway of beticolin 1, a novel non-heme iron oxygenase BTG13 responsible for anthraquinone ring cleavage was discovered. More importantly, the discovery of non-heme iron oxygenase BTG13 is well supported by experimental evidence: (i) crystal structure and the inductively coupled plasma mass spectrometry revealed that its reactive site is built by an atypical iron ion coordination, where the iron ion is uncommonly coordinated by four histidine residues, an unusual carboxylated-lysine (Kcx377) and water; (ii) Kcx377 is mediated by His58 and Thr299 to modulate the catalytic activity of BTG13. Therefore, we believed this study updates our knowledge of metalloenzymes.</t>
  </si>
  <si>
    <t>Hou, Xiaodong</t>
  </si>
  <si>
    <t>[Hou, Xiaodong; Xu, Huibin; Deng, Zhiwei; Yuan, Zhenbo; Liu, Xuanzhong; Su, Zengping; Yang, Sai; Rao, Yijian] Jiangnan Univ, Sch Biotechnol, Key Lab Carbohydrate Chem &amp; Biotechnol, Minist Educ, Wuxi 214122, Jiangsu, Peoples R China; [Yan, Yijun] Chinese Acad Sci, State Key Lab Phytochem &amp; Plant Resources West Ch, Kunming Inst Bot, Kunming 650201, Yunnan, Peoples R China; [Zhang, Yan] Jiangnan Univ, Sch Life Sci &amp; Hlth Engn, Wuxi 214122, Jiangsu, Peoples R China</t>
  </si>
  <si>
    <t>Jiangnan University; Chinese Academy of Sciences; Kunming Institute of Botany, CAS; Jiangnan University</t>
  </si>
  <si>
    <t>Rao, YJ (通讯作者)，Jiangnan Univ, Sch Biotechnol, Key Lab Carbohydrate Chem &amp; Biotechnol, Minist Educ, Wuxi 214122, Jiangsu, Peoples R China.</t>
  </si>
  <si>
    <t>raoyijian@jiangnan.edu.cn</t>
  </si>
  <si>
    <t>Deng, Zhiwei/0000-0003-2479-6050</t>
  </si>
  <si>
    <t>National Key R&amp;D Program of China [2018YFA0901700]; Natural Science Foundation of Jiangsu Province [BK20202002]; Postgraduate Research &amp; Practice Innovation Program of Jiangsu Province [KYCX20_1812, KYCX20_1816]</t>
  </si>
  <si>
    <t>National Key R&amp;D Program of China; Natural Science Foundation of Jiangsu Province(Natural Science Foundation of Jiangsu Province); Postgraduate Research &amp; Practice Innovation Program of Jiangsu Province</t>
  </si>
  <si>
    <t>This work was supported by the National Key R&amp;D Program of China (2018YFA0901700), the Natural Science Foundation of Jiangsu Province (BK20202002) and Postgraduate Research &amp; Practice Innovation Program of Jiangsu Province (KYCX20_1812 and KYCX20_1816). We thank the staffs of beamline BL18U1 and BL19U1 of Shanghai Synchrotron Radiation Facility for assistance during X-ray data collection.</t>
  </si>
  <si>
    <t>WILEY-V C H VERLAG GMBH</t>
  </si>
  <si>
    <t>WEINHEIM</t>
  </si>
  <si>
    <t>POSTFACH 101161, 69451 WEINHEIM, GERMANY</t>
  </si>
  <si>
    <t>1433-7851</t>
  </si>
  <si>
    <t>1521-3773</t>
  </si>
  <si>
    <t>ANGEW CHEM INT EDIT</t>
  </si>
  <si>
    <t>Angew. Chem.-Int. Edit.</t>
  </si>
  <si>
    <t>SEP 12</t>
  </si>
  <si>
    <t>e202208772</t>
  </si>
  <si>
    <t>10.1002/anie.202208772</t>
  </si>
  <si>
    <t>Chemistry, Multidisciplinary</t>
  </si>
  <si>
    <t>Chemistry</t>
  </si>
  <si>
    <t>4H4QF</t>
  </si>
  <si>
    <t>WOS:000835799600001</t>
  </si>
  <si>
    <t>Zhou, YF; Yan, BC; Yang, Q; Long, XY; Zhang, DQ; Luo, RH; Wang, HY; Sun, HD; Xue, XS; Zheng, YT; Puno, PT</t>
  </si>
  <si>
    <t>Zhou, Yuan-Fei; Yan, Bing-Chao; Yang, Qian; Long, Xin-Yan; Zhang, Dan-Qi; Luo, Rong-Hua; Wang, Han-Yu; Sun, Han-Dong; Xue, Xiao-Song; Zheng, Yong-Tang; Puno, Pema-Tenzin</t>
  </si>
  <si>
    <t>Harnessing Natural Products by a Pharmacophore-Oriented Semisynthesis Approach for the Discovery of Potential Anti-SARS-CoV-2 Agents</t>
  </si>
  <si>
    <t>Anti-SARS-CoV-2 Agents; Domino Reactions; Natural Products; Semisynthesis; Wolff Rearrangement</t>
  </si>
  <si>
    <t>ORIDONIN; STRATEGY; ANALOGS</t>
  </si>
  <si>
    <t>Natural products possessing unique scaffolds may have antiviral activity but their complex structures hinder facile synthesis. A pharmacophore-oriented semisynthesis approach was applied to (-)-maoelactone A (1) and oridonin (2) for the discovery of anti-SARS-CoV-2 agents. The Wolff rearrangement/lactonization cascade (WRLC) reaction was developed to construct the unprecedented maoelactone-type scaffold during semisynthesis of 1. Further mechanistic study suggested a concerted mechanism for Wolff rearrangement and a water-assisted stepwise process for lactonization. The WRLC reaction then enabled the creation of a novel family by assembly of the maoelactone-type scaffold and the pharmacophore of 2, whereby one derivative inhibited SARS-CoV-2 replication in HPA EpiC cells with a low EC50 value (19 +/- 1 nM) and a high TI value (&gt;1000), both values better than those of remdesivir.</t>
  </si>
  <si>
    <t>Zhou, Yuan-Fei</t>
  </si>
  <si>
    <t>[Zhou, Yuan-Fei; Yan, Bing-Chao; Yang, Qian; Wang, Han-Yu; Sun, Han-Dong; Puno, Pema-Tenzin] Chinese Acad Sci, Univ Chinese Acad Sci, Kunming Inst Bot, State Key Lab Phytochem &amp; Plant Resources West Ch, Kunming 650201, Yunnan, Peoples R China; [Zhou, Yuan-Fei; Yan, Bing-Chao; Yang, Qian; Wang, Han-Yu; Sun, Han-Dong; Puno, Pema-Tenzin] Chinese Acad Sci, Univ Chinese Acad Sci, Kunming Inst Bot, Yunnan Key Lab Nat Med Chem, Kunming 650201, Yunnan, Peoples R China; [Long, Xin-Yan; Luo, Rong-Hua; Zheng, Yong-Tang] Chinese Acad Sci, Key Lab Anim Models &amp; Human Dis Mech, Kunming Inst Zool, Kunming 650223, Yunnan, Peoples R China; [Zhang, Dan-Qi; Xue, Xiao-Song] Nankai Univ, Coll Chem, State Key Lab Elementoorgan Chem, Tianjin 300071, Peoples R China; [Zhang, Dan-Qi; Xue, Xiao-Song] Chinese Acad Sci, Univ Chinese Acad Sci, Shanghai Inst Organ Chem, Key Lab Organofluorine Chem, 345 Lingling Rd, Shanghai 200032, Peoples R China</t>
  </si>
  <si>
    <t>Chinese Academy of Sciences; Kunming Institute of Botany, CAS; University of Chinese Academy of Sciences, CAS; Chinese Academy of Sciences; Kunming Institute of Botany, CAS; University of Chinese Academy of Sciences, CAS; Chinese Academy of Sciences; Kunming Institute of Zoology; Nankai University; Chinese Academy of Sciences; Shanghai Institute of Organic Chemistry, CAS; University of Chinese Academy of Sciences, CAS</t>
  </si>
  <si>
    <t>Puno, PT (通讯作者)，Chinese Acad Sci, Univ Chinese Acad Sci, Kunming Inst Bot, State Key Lab Phytochem &amp; Plant Resources West Ch, Kunming 650201, Yunnan, Peoples R China.;Puno, PT (通讯作者)，Chinese Acad Sci, Univ Chinese Acad Sci, Kunming Inst Bot, Yunnan Key Lab Nat Med Chem, Kunming 650201, Yunnan, Peoples R China.;Zheng, YT (通讯作者)，Chinese Acad Sci, Key Lab Anim Models &amp; Human Dis Mech, Kunming Inst Zool, Kunming 650223, Yunnan, Peoples R China.;Xue, XS (通讯作者)，Nankai Univ, Coll Chem, State Key Lab Elementoorgan Chem, Tianjin 300071, Peoples R China.;Xue, XS (通讯作者)，Chinese Acad Sci, Univ Chinese Acad Sci, Shanghai Inst Organ Chem, Key Lab Organofluorine Chem, 345 Lingling Rd, Shanghai 200032, Peoples R China.</t>
  </si>
  <si>
    <t>xuexs@sioc.ac.cn; zhengyt@mail.kiz.ac.cn; punopematenzin@mail.kib.ac.cn</t>
  </si>
  <si>
    <t>Xue, Xiao-Song/G-5596-2016</t>
  </si>
  <si>
    <t>Xue, Xiao-Song/0000-0003-4541-8702; Yan, Bing-Chao/0000-0002-9739-5234</t>
  </si>
  <si>
    <t>NSFC-Joint Foundation of Yunnan Province [U2002221]; Second Tibetan Plateau Scientific Expedition and Research (STEP) program [2019QZKK0502]; National Natural Science Foundation of China [81673329, 81874298, 22122104, 21933004, 82151214]; CAS Light of West China Program, CAS Interdisciplinary Innovation Team; Yunnan Science Fund for Distinguished Young Scholars [2019FJ002]; China Postdoctoral Science Foundation [2021M693237]; Yunnan Key Research and Development Program [202103AC100005]</t>
  </si>
  <si>
    <t>NSFC-Joint Foundation of Yunnan Province; Second Tibetan Plateau Scientific Expedition and Research (STEP) program; National Natural Science Foundation of China(National Natural Science Foundation of China (NSFC)); CAS Light of West China Program, CAS Interdisciplinary Innovation Team; Yunnan Science Fund for Distinguished Young Scholars; China Postdoctoral Science Foundation(China Postdoctoral Science Foundation); Yunnan Key Research and Development Program</t>
  </si>
  <si>
    <t>We thank two anonymous reviewers for helpful suggestions, Prof. Zhi-Li Zuo for help with docking experiments, and Dr. Xiang Zhang for discussion. This project was supported financially by the NSFC-Joint Foundation of Yunnan Province (U2002221), the Second Tibetan Plateau Scientific Expedition and Research (STEP) program (2019QZKK0502), the National Natural Science Foundation of China (No. 81673329, 81874298, 22122104, 21933004 and 82151214), the CAS Light of West China Program, CAS Interdisciplinary Innovation Team (Pema-Tenzin Puno), the Yunnan Science Fund for Distinguished Young Scholars (2019FJ002), China Postdoctoral Science Foundation (2021M693237) and Yunnan Key Research and Development Program (202103AC100005).</t>
  </si>
  <si>
    <t>JUL 11</t>
  </si>
  <si>
    <t>e202201684</t>
  </si>
  <si>
    <t>10.1002/anie.202201684</t>
  </si>
  <si>
    <t>Science Citation Index Expanded (SCI-EXPANDED); Index Chemicus (IC); Current Chemical Reactions (CCR-EXPANDED)</t>
  </si>
  <si>
    <t>4V0LK</t>
  </si>
  <si>
    <t>WOS:000794054100001</t>
  </si>
  <si>
    <t>Yan, YJ; Yu, ZY; Zhong, W; Hou, XD; Tao, QQ; Cao, MH; Wang, L; Cai, XF; Rao, YJ; Huang, SX</t>
  </si>
  <si>
    <t>Yan, Yijun; Yu, Zhiyin; Zhong, Wei; Hou, Xiaodong; Tao, Qiaoqiao; Cao, Minhang; Wang, Li; Cai, Xiaofeng; Rao, Yijian; Huang, Sheng-Xiong</t>
  </si>
  <si>
    <t>Characterization of Multifunctional and Non-stereoselective Oxidoreductase RubE7/IstO, Expanding the Functional Diversity of the Flavoenzyme Superfamily</t>
  </si>
  <si>
    <t>Biosynthesis; Dehydrogenation; Ene-Reductases; Enzyme Catalysis; Flavoenzymes</t>
  </si>
  <si>
    <t>ESCHERICHIA-COLI NITROREDUCTASE; ACYL-COA DEHYDROGENASES; CRYSTAL-STRUCTURES; STRUCTURAL BASIS; BIOSYNTHESIS; REGIOSELECTIVITY; DISCOVERY; OXIDASES</t>
  </si>
  <si>
    <t>Flavin-dependent enzymes enable a broad range of redox transformations and generally act as monofunctional and stereoselective catalysts. Herein, we report the investigation of a multifunctional and non-stereoselective FMN-dependent oxidoreductase RubE7 from the rubrolone biosynthetic pathway. Our study outlines a single RubE7-catalysed sequential reduction of three spatially distinct bonds in a tropolone ring and a reversible double-bond reduction and dehydrogenation. The crystal structure of IstO (a RubE7 homologue) with 2.0 angstrom resolution reveals the location of the active site at the interface of two monomers, and the size of active site is large enough to permit both flipping and free rotation of the substrate, resulting in multiple nonselective reduction reactions. Molecular docking and site mutation studies demonstrate that His106 is oriented towards the substrate and is important for the reverse dehydrogenation reaction.</t>
  </si>
  <si>
    <t>Yan, Yijun</t>
  </si>
  <si>
    <t>[Yan, Yijun; Yu, Zhiyin; Zhong, Wei; Cao, Minhang; Wang, Li; Huang, Sheng-Xiong] Chinese Acad Sci, Kunming Inst Bot, State Key Lab Phytochem &amp; Plant Resources West Ch, Kunming 650201, Yunnan, Peoples R China; [Yan, Yijun; Yu, Zhiyin; Zhong, Wei; Cao, Minhang; Wang, Li; Huang, Sheng-Xiong] Chinese Acad Sci, Kunming Inst Bot, CAS Ctr Excellence Mol Plant Sci, Kunming 650201, Yunnan, Peoples R China; [Hou, Xiaodong; Rao, Yijian] Jiangnan Univ, Key Lab Carbohydrate Chem &amp; Biotechnol, Minist Educ, Sch Biotechnol, Wuxi 214122, Jiangsu, Peoples R China; [Tao, Qiaoqiao; Cai, Xiaofeng] Huazhong Univ Sci &amp; Technol, Tongji Med Coll, Sch Pharm, Hubei Key Lab Nat Med Chem &amp; Resource Evaluat, Wuhan 430030, Peoples R China; [Zhong, Wei] Univ Chinese Acad Sci, Beijing 100049, Peoples R China</t>
  </si>
  <si>
    <t>Chinese Academy of Sciences; Kunming Institute of Botany, CAS; Chinese Academy of Sciences; Kunming Institute of Botany, CAS; Jiangnan University; Huazhong University of Science &amp; Technology; Chinese Academy of Sciences; University of Chinese Academy of Sciences, CAS</t>
  </si>
  <si>
    <t>National Natural Science Foundation of China [82073738, 31972852, U1702285]; Yunnan Provincial Science and Technology Department [2019FJ007, 2019FA034]; Biological Resources Program, Chinese Academy of Sciences [KFJ-BRP-009]; Research Program of Frontier Sciences, Chinese Academy of Sciences [QYZDB-SSW-SMC051]; Youth Innovation Promotion Association, Chinese Academy of Sciences [2018424]</t>
  </si>
  <si>
    <t>National Natural Science Foundation of China(National Natural Science Foundation of China (NSFC)); Yunnan Provincial Science and Technology Department; Biological Resources Program, Chinese Academy of Sciences; Research Program of Frontier Sciences, Chinese Academy of Sciences; Youth Innovation Promotion Association, Chinese Academy of Sciences</t>
  </si>
  <si>
    <t>This research was financially supported by the National Natural Science Foundation of China (82073738, 31972852 and U1702285), the Yunnan Provincial Science and Technology Department (2019FJ007 and 2019FA034), Biological Resources Program (KFJ-BRP-009) and Research Program of Frontier Sciences (QYZDB-SSW-SMC051), and Youth Innovation Promotion Association (2018424), Chinese Academy of Sciences.</t>
  </si>
  <si>
    <t>e202200189</t>
  </si>
  <si>
    <t>10.1002/anie.202200189</t>
  </si>
  <si>
    <t>Science Citation Index Expanded (SCI-EXPANDED); Index Chemicus (IC)</t>
  </si>
  <si>
    <t>2T5DN</t>
  </si>
  <si>
    <t>WOS:000762125400001</t>
  </si>
  <si>
    <t>Zeng, M; Gentekaki, E; Zeng, XY; Tian, Q; Zhao, Q; Hyde, K</t>
  </si>
  <si>
    <t>Zeng, M.; Gentekaki, E.; Zeng, X. Y.; Tian, Q.; Zhao, Q.; Hyde, K. D.</t>
  </si>
  <si>
    <t>Evolutionary relationships and allied species of Pyronemataceae, with segregation of the novel family Pyropyxidaceae</t>
  </si>
  <si>
    <t>MYCOSPHERE</t>
  </si>
  <si>
    <t>TRUE MORELS MORCHELLA; DIVERGENCE TIMES; SP. NOV.; TAXONOMIC REVISION; GENUS KOTLABAEA; ASCOMYCOTA TREE; GENERIC LIMITS; LIFE-HISTORY; PEZIZALES; FUNGI</t>
  </si>
  <si>
    <t>Pyronemataceae is the largest family within Pezizomycetes, members of which are distinguished by the shape and color of apothecia, the shape and ornamentation of ascospores, and the presence of carotenoids. Within Pyronemataceae, the Otidea lineage was previously elevated to the family level based on multiple gene analyses. However, this was controversial as the family was embedded in Pyronemataceae sensu stricto redefined by Hansen et al. Herein, we re-elevate the Otidea lineage to Otideaceae at the family rank level. Meanwhile, using a combination of morphology, phylogeny and divergence times estimates, we propose the new family Pyropyxidaceae to accommodate the Pyropyxis lineage containing Jafnea, Micronematobotrys, Pyropyxis, and Smardaea. The Pyropyxis lineage is phylogenetically distinct and branches off Otideaceae and the rest of Pyronemataceae sensu stricto. The monophyly of Otideaceae and Pyropyxidaceae has maximum statistical support. These two families have specific morphological features that set them apart from the rest of Pyronemataceae sensu stricto. Pyropyxidaceae has short hyphoid or moniliform hairs, while Otideaceae has abundant tomentum on the basal of apothecia. Both families lack true ascomatal hairs and carotenoids. Divergence times estimates place the crown of Pyropyxidaceae split at 141 Mya in the Early Cretaceous. The ancestral character state of ascomata in Pyronemataceae, Pyropyxidaceae and Otideaceae was the apothecium represented by epigeous taxa. Within Pyronemataceae, the hypogeous ascomata independently arose at least twice in distantly related lineages at 99 and 31 Mya. Moreover, cleistothecia and gymnothecia independently arose only once at approximately 38 Mya. Besides, we collected 37 allied collections of Pyronemataceae sensu stricto, including six new species, viz., Melastiza verruculosa, Otidea guttulata, O. macrospora, O. ovalispora, O. subleporina and Scutellinia verruculosa. All new species are introduced based on morphological characters and phylogeny.</t>
  </si>
  <si>
    <t>Zeng, M.</t>
  </si>
  <si>
    <t>[Zeng, M.; Zhao, Q.; Hyde, K. D.] Chinese Acad Sci, Kunming Inst Bot, Yunnan Key Lab Fungal Divers &amp; Green Dev, Key Lab Plant Divers &amp; Biogeog East Asia, Kunming 650201, Yunnan, Peoples R China; [Zeng, M.; Gentekaki, E.; Hyde, K. D.] Mae Fah Luang Univ, Sch Sci, Chiang Rai 57100, Thailand; [Zeng, M.; Gentekaki, E.; Hyde, K. D.] Mae Fah Luang Univ, Ctr Excellence Fungal Res, Chiang Rai 57100, Thailand; [Zeng, X. Y.] Guizhou Univ, Coll Agr, Dept Plant Pathol, Guiyang 550025, Peoples R China; [Tian, Q.] Univ Elect Sci &amp; Technol China, Ctr Informat Biol, Sch Life Sci &amp; Technol, Chengdu 611731, Peoples R China; [Zhao, Q.] Southwest Forestry Univ, Inst Appl Fungi, Kunming 650224, Peoples R China; [Hyde, K. D.] Zhongkai Univ Agr &amp; Engn, Innovat Inst Plant Hlth, Guangzhou 510225, Peoples R China</t>
  </si>
  <si>
    <t>Chinese Academy of Sciences; Kunming Institute of Botany, CAS; Mae Fah Luang University; Mae Fah Luang University; Guizhou University; University of Electronic Science &amp; Technology of China; Southwest Forestry University - China; Zhongkai University of Agriculture &amp; Engineering</t>
  </si>
  <si>
    <t>Zhao, Q; Hyde, K (通讯作者)，Chinese Acad Sci, Kunming Inst Bot, Yunnan Key Lab Fungal Divers &amp; Green Dev, Key Lab Plant Divers &amp; Biogeog East Asia, Kunming 650201, Yunnan, Peoples R China.;Gentekaki, E; Hyde, K (通讯作者)，Mae Fah Luang Univ, Sch Sci, Chiang Rai 57100, Thailand.;Gentekaki, E; Hyde, K (通讯作者)，Mae Fah Luang Univ, Ctr Excellence Fungal Res, Chiang Rai 57100, Thailand.;Zhao, Q (通讯作者)，Southwest Forestry Univ, Inst Appl Fungi, Kunming 650224, Peoples R China.;Hyde, K (通讯作者)，Zhongkai Univ Agr &amp; Engn, Innovat Inst Plant Hlth, Guangzhou 510225, Peoples R China.</t>
  </si>
  <si>
    <t>gentekaki.ele@mfu.ac.th; zhaoqi@mail.kib.ac.cn; kdhyde3@gmail.com</t>
  </si>
  <si>
    <t>MFLU [5971105508]; Second Tibetan Plateau Scientific Expedition and Research (STEP) Program [2019QZKK0503]; open research project of Cross-Cooperative Team of the Germplasm Bank of Wild Species, Kunming Institute of Botany, Chinese Academy of Sciences [292019312511043]; Science and Technology Service Network Initiative, Chinese Academy of Sciences [KFJ-STS-QYZD-171]; Greater Mekong Subregion [RDG6130001]; National Research Council of Thailand (NRCT) [N42A650547]</t>
  </si>
  <si>
    <t>MFLU; Second Tibetan Plateau Scientific Expedition and Research (STEP) Program; open research project of Cross-Cooperative Team of the Germplasm Bank of Wild Species, Kunming Institute of Botany, Chinese Academy of Sciences; Science and Technology Service Network Initiative, Chinese Academy of Sciences; Greater Mekong Subregion; National Research Council of Thailand (NRCT)(National Research Council of Thailand (NRCT))</t>
  </si>
  <si>
    <t>We deeply appreciate the suggestions on our manuscript from Prof. Zhuliang Yang. We are grateful to Hongli Su, Shucheng He, Song Wang, and Yuanpin Xiao for collecting samples. The authors would like to thank the Herbarium of Cryptogams, Kunming Institute of Botany Academia Sinica (KUN-HKAS) for allowing us to examine and sequence the herbarium specimens. Dr. Shaun Pennycook (Manaaki Whenua-Landcare Research, New Zealand) is thanked to help to check the Latin name of the new taxa. Chuangen Lin is greatly appreciated for helping to check the description of hyphomycetes. Danfeng Bao is thanked to guide for evolution. Ming Zeng is grateful for MFLU grant number 5971105508 and the dissertation writing grant to support Pezizomycetes studies. This study is financed by the Second Tibetan Plateau Scientific Expedition and Research (STEP) Program (Grant No. 2019QZKK0503), the open research project of Cross-Cooperative Team of the Germplasm Bank of Wild Species, Kunming Institute of Botany, Chinese Academy of Sciences (Grant No. 292019312511043), Science and Technology Service Network Initiative, Chinese Academy of Sciences (KFJ-STS-QYZD-171). We are thankful for grant entitled Impact of climate change on fungal diversity and biogeography in the Greater Mekong Subregion (Grant No. RDG6130001), the National Research Council of Thailand (NRCT) grant Total fungal diversity in a given forest area with implications towards species numbers, chemical diversity and biotechnology(Grant No. N42A650547).</t>
  </si>
  <si>
    <t>MYCOSPHERE PRESS</t>
  </si>
  <si>
    <t>GUIYANG</t>
  </si>
  <si>
    <t>GUIZHOU KEY LAB AGRIC BIOTECH, GUIZHOU ACAD AGRIC SCI, GUIYANG, 00000, PEOPLES R CHINA</t>
  </si>
  <si>
    <t>2077-7000</t>
  </si>
  <si>
    <t>2077-7019</t>
  </si>
  <si>
    <t>Mycosphere</t>
  </si>
  <si>
    <t>10.5943/mycosphere/si/1f/7</t>
  </si>
  <si>
    <t>http://dx.doi.org/10.5943/mycosphere/si/1f/7</t>
  </si>
  <si>
    <t>7Z3YH</t>
  </si>
  <si>
    <t>2023-02-20</t>
  </si>
  <si>
    <t>WOS:000915498000001</t>
  </si>
  <si>
    <t>Wei, DP; Gentekaki, E; Wanasinghe, DN; Tang, SM; Hyde, KD</t>
  </si>
  <si>
    <t>Wei, D. P.; Gentekaki, E.; Wanasinghe, D. N.; Tang, S. M.; Hyde, K. D.</t>
  </si>
  <si>
    <t>Diversity, molecular dating and ancestral characters state reconstruction of entomopathogenic fungi in Hypocreales</t>
  </si>
  <si>
    <t>1 new species; China; - Evolution; Phylogeny; Taxonomy; Thailand</t>
  </si>
  <si>
    <t>SP NOV.; PHYLOGENETIC ANALYSIS; MULTIGENE PHYLOGENY; TAXONOMIC REVISION; MORPHOLOGY REVEAL; GEN. NOV; SP. NOV.; ASCOMYCOTA; OPHIOCORDYCIPITACEAE; METARHIZIUM</t>
  </si>
  <si>
    <t>Hypocreales (Sordariomycetes, Ascomycota) is a highly diversified order, with more than 1000 entomopathogenic species being reported in Clavicipitaceae, Cordycipitaceae, Ophiocordycipitaceae and Polycephalomycetaceae. Taxa in these families form intimate associations with members of up to 13 orders of Insecta and other arthropods. Their variable morphological characteristics along with the host affiliations have played important roles in the classification of entomopathogenic species. However, it is still unclear whether these morphological characteristics are informative at the family, genus or species level in a phylogenetic context. This study focuses on entomopathogenic taxa collected from Thailand and Southwest China. Thirty-six species belonging to the above four families were identified using morphology and phylogeny inferred from combined data of LSU-SSU-5.8S-tef1-rpb1-rpb2 sequences. Among them, Pleurocordyceps ophiocordycipiticola is a new species. Divergence time estimates indicated the crown age of Hypocreales at 200 Mya, while that of Clavicipitaceae was at 107 Mya, Cordycipitaceae at 129 Mya, Ophiocordycipitacae at 121 Mya and Polycephalomycetaceae at 74 Mya. Based on ancestral character state reconstruction, the ancestral ecologies of Clavicipitaceae, Ophiocordycipitaceae and Polycephalomycetaceae were animal-based, while that of Cordycipitacae was fungi-based. Multiple interkingdom jumps occurred in all entomopathogenic families. Mapping of morphological characters on the phylogeny identified cases of association of perithecial arrangement and stromal texture. Ascospore and secondary ascospores morphologies were not informative at genus and family level classifications. Expanding collections to additional hosts and environments will assist towards further understanding the diversity and ecology of hypocrealean entomopathogens.</t>
  </si>
  <si>
    <t>Wei, D. P.</t>
  </si>
  <si>
    <t>[Wei, D. P.; Hyde, K. D.] Chinese Acad Sci, Kunming Inst Bot, CAS Key Lab Plant Divers &amp; Biogeog East Asia, Kunming 650201, Yunnan, Peoples R China; [Wei, D. P.; Gentekaki, E.; Tang, S. M.; Hyde, K. D.] Mae Fah Luang Univ, Ctr Excellence Fungal Res, Chiang Rai 57100, Thailand; [Wei, D. P.; Hyde, K. D.] Chiang Mai Univ, Fac Agr, Dept Entomol &amp; Plant Pathol, Chiang Mai 50200, Thailand; [Gentekaki, E.; Tang, S. M.] Mae Fah Luang Univ, Sch Sci, Chiang Rai 57100, Thailand; [Wanasinghe, D. N.] Chinese Acad Sci, Kunming Inst Bot, Honghe Ctr Mt Futures, Honghe Cty 654400, Yunnan, Peoples R China; [Hyde, K. D.] Zhongkai Univ Agr &amp; Engn, Innovat Inst Plant Hlth, Guangzhou 510225, Peoples R China</t>
  </si>
  <si>
    <t>Chinese Academy of Sciences; Kunming Institute of Botany, CAS; Mae Fah Luang University; Chiang Mai University; Mae Fah Luang University; Chinese Academy of Sciences; Kunming Institute of Botany, CAS; Zhongkai University of Agriculture &amp; Engineering</t>
  </si>
  <si>
    <t>Hyde, K (通讯作者)，Chinese Acad Sci, Kunming Inst Bot, CAS Key Lab Plant Divers &amp; Biogeog East Asia, Kunming 650201, Yunnan, Peoples R China.;Hyde, K (通讯作者)，Mae Fah Luang Univ, Ctr Excellence Fungal Res, Chiang Rai 57100, Thailand.;Hyde, K (通讯作者)，Chiang Mai Univ, Fac Agr, Dept Entomol &amp; Plant Pathol, Chiang Mai 50200, Thailand.;Hyde, K (通讯作者)，Zhongkai Univ Agr &amp; Engn, Innovat Inst Plant Hlth, Guangzhou 510225, Peoples R China.</t>
  </si>
  <si>
    <t>Second Tibetan Plateau Scientific Expedition and Research (STEP) Program [2019QZKK0503]; Chinese Research Fund (CRF) [N42A650547]; CAS President's International Fellowship Initiative (PIFI); National Science Foundation of China (NSFC); Yunnan Intelligence Union Program for Young Scientists; Postdoctoral Fund from Human Resources and Social Security Bureau of Yunnan Province; National Research Council of Thailand (NRCT);  [E1644111K1];  [2021FYB0005];  [32150410362];  [WGXZ2022086L]</t>
  </si>
  <si>
    <t xml:space="preserve">Second Tibetan Plateau Scientific Expedition and Research (STEP) Program; Chinese Research Fund (CRF); CAS President's International Fellowship Initiative (PIFI); National Science Foundation of China (NSFC)(National Natural Science Foundation of China (NSFC)); Yunnan Intelligence Union Program for Young Scientists; Postdoctoral Fund from Human Resources and Social Security Bureau of Yunnan Province; National Research Council of Thailand (NRCT)(National Research Council of Thailand (NRCT)); ; ; ; </t>
  </si>
  <si>
    <t>We thank Key Laboratory for Plant Diversity and Biogeography of East Asia, Chinese Academy of Sciences for providing the laboratories and instruments for molecular and morphological work. The authors acknowledge The Second Tibetan Plateau Scientific Expedition and Research (STEP) Program (Grant No. 2019QZKK0503) and the Chinese Research Fund (CRF) grant no. E1644111K1 entitled Flexible introduction of expert (Kevin David Hyde) to Kunming Institute of Botany, Chinese Academy of Sciences (CAS) for financial support. Dhanushka Wanasinghe thanks CAS President's International Fellowship Initiative (PIFI) for funding his postdoctoral research (number 2021FYB0005), the National Science Foundation of China (NSFC) under the project code 32150410362, Yunnan Intelligence Union Program for Young Scientists (number WGXZ2022086L) and the Postdoctoral Fund from Human Resources and Social Security Bureau of Yunnan Province. K.D. Hyde thanks the National Research Council of Thailand (NRCT) grant Total fungal diversity in a given forest area with implications towards species numbers, chemical diversity and biotechnology (grant no. N42A650547). Dr. Samantha C. Karunarathna and Lei Lei were thanked for contributing fungal specimens. Dr. Shaun Pennycook was thanked for checking the latin diagnosis of the new species. Feng-Ming Yu was thanked for helping to sequence the specimens. Ming Zeng and Dan-Feng Bao were appreciated for guidance on the analysis of evolution.</t>
  </si>
  <si>
    <t>10.5943/mycosphere/si/1f/8</t>
  </si>
  <si>
    <t>http://dx.doi.org/10.5943/mycosphere/si/1f/8</t>
  </si>
  <si>
    <t>7X8GG</t>
  </si>
  <si>
    <t>WOS:000914433200001</t>
  </si>
  <si>
    <t>Yasanthika, W; Wanasinghe, D; Mortimer, P; Monkai, J; Farias, A</t>
  </si>
  <si>
    <t>Yasanthika, Wae; Wanasinghe, Dn; Mortimer, Pe; Monkai, J.; Farias, Arg</t>
  </si>
  <si>
    <t>The importance of culture-based techniques in the genomic era for assessing the taxonomy and diversity of soil fungi</t>
  </si>
  <si>
    <t>Culturing methods; fungal taxonomy; fungi; high throughput sequencing; soil</t>
  </si>
  <si>
    <t>MICROBIAL COMMUNITY; DORMANT ASCOSPORES; SELECTIVE MEDIUM; MOLECULAR TOOLS; FOREST SOIL; LAND-USE; OMICS; BIODIVERSITY; PHYTOPHTHORA; GROWTH</t>
  </si>
  <si>
    <t>Fungi are a diverse and highly abundant group of organisms found in soils worldwide. Understanding fungi is essential as they are key drivers of below-ground ecosystem functions. Taxonomy is a fundamental discipline, acting as the initial step toward biodiversity, ecology, and biotechnology studies. Both culture-dependent and-independent methods are employed in the taxonomic investigations of soil-dwelling taxa. High-throughput sequencing (HTS) is a genomic-based method widely applied in global studies that has revealed numerous unculturable soil taxa. However, this method is limited by its inability to link physical specimens to species identification. Culturing methods result in specimens that can be used to obtain genetic sequences and morphological data in applied studies. Thus, combining both methods is an important trend in taxonomic studies. This review discusses how culturing is important for soil fungal discovery and describes the main culturing methods. It also briefly addresses the role of HTS in taxonomy and its drawbacks, and the potential to combine both culture-dependent and-independent methods to gain better insights into soil fungi.</t>
  </si>
  <si>
    <t>Yasanthika, Wae</t>
  </si>
  <si>
    <t>[Yasanthika, Wae; Farias, Arg] Mae Fah Luang Univ, Ctr Excellence Fungal Res, Chiang Rai 57100, Thailand; [Yasanthika, Wae] Mae Fah Luang Univ, Sch Sci, Chiang Rai 57100, Thailand; [Yasanthika, Wae] Zhongkai Univ Agr &amp; Engn, Innovat Inst Plant Hlth, Guangzhou, Guangdong, Peoples R China; [Wanasinghe, Dn; Mortimer, Pe] Chinese Acad Sci, Inst Bot, Ctr Mt Futures, Kunming 654400, Yunnan, Peoples R China; [Monkai, J.] Chiang Mai Univ, Res Ctr Microbial Divers &amp; Sustainable Utilizat, Chiang Mai 50200, Thailand; [Monkai, J.] Chiang Mai Univ, Fac Sci, Dept Biol, Chiang Mai 50200, Thailand</t>
  </si>
  <si>
    <t>Mae Fah Luang University; Mae Fah Luang University; Zhongkai University of Agriculture &amp; Engineering; Chinese Academy of Sciences; Kunming Institute of Botany, CAS; Chiang Mai University; Chiang Mai University</t>
  </si>
  <si>
    <t>Farias, A (通讯作者)，Mae Fah Luang Univ, Ctr Excellence Fungal Res, Chiang Rai 57100, Thailand.</t>
  </si>
  <si>
    <t>rfariasagro@gmail.com</t>
  </si>
  <si>
    <t>Wanasinghe, Dhanushka Nadeeshan/P-1693-2017</t>
  </si>
  <si>
    <t>Wanasinghe, Dhanushka Nadeeshan/0000-0003-1759-3933</t>
  </si>
  <si>
    <t>Thailand Research Fund [RDG6130001]; Mushroom Research Foundation; CAS President?s International Fellowship Initiative (PIFI) [2021FYB0005]; National Science Foundation of China (NSFC) [32150410362]; Human Resources and Social Security Bureau of Yunnan Province</t>
  </si>
  <si>
    <t>Thailand Research Fund(Thailand Research Fund (TRF)); Mushroom Research Foundation; CAS President?s International Fellowship Initiative (PIFI); National Science Foundation of China (NSFC)(National Natural Science Foundation of China (NSFC)); Human Resources and Social Security Bureau of Yunnan Province</t>
  </si>
  <si>
    <t>The author thanks the Thailand Research Fund for the grant RDG6130001 entitled Impact of climate change on fungal diversity and biogeography in the Greater Mekong Subregion and Mushroom Research Foundation. Austin G. Smith at World Agroforestry (ICRAF), Kunming Institute of Botany, China, is thanked for English editing. Peter Mortimer thanks the High-End Foreign Experts in the High-Level Talent Recruitment Plan of Yunnan Province, 2021. Dhanushka Wanasinghe thanks the CAS President's International Fellowship Initiative (PIFI) for funding his postdoctoral research (number 2021FYB0005), the National Science Foundation of China (NSFC) under the project code 32150410362, the Postdoctoral Fund from Human Resources and Social Security Bureau of Yunnan Province</t>
  </si>
  <si>
    <t>10.5943/mycosphere/13/1/8</t>
  </si>
  <si>
    <t>5S2KY</t>
  </si>
  <si>
    <t>gold</t>
  </si>
  <si>
    <t>WOS:000875026800001</t>
  </si>
  <si>
    <t>Wijayawardene, NN; Hyde, KD; Dai, DQ; Sanchez-Garcia, M; Goto, BT; Saxena, RK; Erdogdu, M; Selcuk, F; Rajeshkumar, KC; Aptroot, A; Blaszkowski, J; Boonyuen, N; da Silva, GA; de Souza, FA; Dong, W; Ertz, D; Haelewaters, D; Jones, EBG; Karunarathna, SC; Kirk, PM; Kukwa, M; Kumla, J; Leontyev, DV; Lumbsch, HT; Maharachchikumbura, SSN; Marguno, F; Martinez-Rodriguez, P; Mesic, A; Monteiro, JS; Oehl, F; Pawlowska, J; Pem, D; Pfliegler, WP; Phillips, AJL; Posta, A; He, MQ; Li, JX; Raza, M; Sruthi, OP; Suetrong, S; Suwannarach, N; Tedersoo, L; Thiyagaraja, V; Tibpromma, S; Tkalcec, Z; Tokarev, YS; Wanasinghe, DN; Wijesundara, DSA; Wimalaseana, SDMK; Madrid, H; Zhang, GQ; Gao, Y; Sanchez-Castro, I; Tang, LZ; Stadler, M; Yurkov, A; Thines, M</t>
  </si>
  <si>
    <t>Wijayawardene, N. N.; Hyde, K. D.; Dai, D. Q.; Sanchez-Garcia, M.; Goto, B. T.; Saxena, R. K.; Erdogdu, M.; Selcuk, F.; Rajeshkumar, K. C.; Aptroot, A.; Blaszkowski, J.; Boonyuen, N.; da Silva, G. A.; de Souza, F. A.; Dong, W.; Ertz, D.; Haelewaters, D.; Jones, E. B. G.; Karunarathna, S. C.; Kirk, P. M.; Kukwa, M.; Kumla, J.; Leontyev, D., V; Lumbsch, H. T.; Maharachchikumbura, S. S. N.; Marguno, F.; Martinez-Rodriguez, P.; Mesic, A.; Monteiro, J. S.; Oehl, F.; Pawlowska, J.; Pem, D.; Pfliegler, W. P.; Phillips, A. J. L.; Posta, A.; He, M. Q.; Li, J. X.; Raza, M.; Sruthi, O. P.; Suetrong, S.; Suwannarach, N.; Tedersoo, L.; Thiyagaraja, V; Tibpromma, S.; Tkalcec, Z.; Tokarev, Y. S.; Wanasinghe, D. N.; Wijesundara, D. S. A.; Wimalaseana, S. D. M. K.; Madrid, H.; Zhang, G. Q.; Gao, Y.; Sanchez-Castro, I; Tang, L. Z.; Stadler, M.; Yurkov, A.; Thines, M.</t>
  </si>
  <si>
    <t>Outline of Fungi and fungus-like taxa-2021</t>
  </si>
  <si>
    <t>Ascomycota; basal fungi; Basidiomycota; Classification; Fossil fungi; Rozellomycota</t>
  </si>
  <si>
    <t>INCORPORATING ANAMORPHIC FUNGI; FRESH-WATER ASCOMYCETE; SP.-NOV.; GEN. NOV.; NATURAL CLASSIFICATION; PHYLOGENETIC ANALYSIS; MULTIGENE PHYLOGENY; TAXONOMIC REVISION; MOLECULAR PHYLOGENY; LICHENIZED FUNGI</t>
  </si>
  <si>
    <t>This paper provides an updated classification of the Kingdom Fungi (including fossil fungi) and fungus-like taxa. Five-hundred and twenty-three (535) notes are provided for newly introduced taxa and for changes that have been made since the previous outline. In the discussion, the latest taxonomic changes in Basidiomycota are provided and the classification of Mycosphaerellales are broadly discussed. Genera listed in Mycosphaerellaceae have been confirmed by DNA sequence analyses, while doubtful genera (DNA sequences being unavailable but traditionally accommodated in Mycosphaerellaceae) are listed in the discussion. Problematic genera in Glomeromycota are also discussed based on phylogenetic results.</t>
  </si>
  <si>
    <t>Wijayawardene, N. N.</t>
  </si>
  <si>
    <t>[Wijayawardene, N. N.; Dai, D. Q.; Zhang, G. Q.; Gao, Y.] Qujing Normal Univ, Coll Biol Resource &amp; Food Engn, Ctr Yunnan Plateau Biol Resources Protect &amp; Utili, Qujing 655011, Yunnan, Peoples R China; [Wijayawardene, N. N.] Inst Res &amp; Dev Hlth &amp; Social Care, Sect Genet, 393-3 Lily Ave, Battaramulla 10120, Sri Lanka; [Hyde, K. D.; Pem, D.; Thiyagaraja, V] Mae Fah Luang Univ, Ctr Excellence Fungal Res, Chiang Rai 57100, Thailand; [Hyde, K. D.; Dong, W.] Zhongkai Univ Agr &amp; Engn, Innovat Inst Plant Hlth, Guangzhou 510225, Peoples R China; [Sanchez-Garcia, M.] Swedish Univ Agr Sci, Dept Forest Mycol &amp; Plant Pathol, S-75007 Uppsala, Sweden; [Goto, B. T.] Univ Fed Rio Grande do Norte, Dept Bot &amp; Zool, Campus Univ, BR-59072970 Natal, RN, Brazil; [Saxena, R. K.] Birbal Sahni Inst Palaeosci, 53 Univ Rd, Lucknow 226007, Uttar Pradesh, India; [Erdogdu, M.] Kirsehir Ahi Evran Univ, Fac Agr, Dept Landscape Architects, TR-40200 Kirsehir, Turkey; [Selcuk, F.] Kirsehir Ahi Evran Univ, Sci &amp; Arts Fac, Dept Mol Biol &amp; Genet, TR-40169 Kirsehir, Turkey; [Rajeshkumar, K. C.; Sruthi, O. P.] MACS Agharkar Res Inst, Biodivers &amp; Palaeobiol Grp, Natl Fungal Culture Collect India NFCCI, GG Agarkar Rd, Pune 411004, Maharashtra, India; [Aptroot, A.] Univ Fed Mato Grosso do Sul, Inst Biociencias, Lab Bot Liquenol, Ave Costa &amp; Silva S-N, BR-79070900 Campo Grande, MS, Brazil; [Blaszkowski, J.] West Pomeranian Univ Technol, Dept Ecol Protect &amp; Shaping Environm, Slowackiego 17, PL-71434 Szczecin, Poland; [Boonyuen, N.] Natl Sci &amp; Technol Dev Agcy NSTDA, Natl Ctr Genet Engn &amp; Biotechnol BIOTEC, Integrat Crop Biotechnol &amp; Management Res Grp ACB, Plant Microbe Interact Res Team APMT,Biosci &amp; Bio, 113 Thailand Sci Pk,Phahonyothin Rd, Khlong Luang 12120, Pathum Thani, Thailand; [da Silva, G. A.] Univ Fed Pernambuco, Programa Posgrad Biol Fungos, Av Engn S-N,Cidade Univ, BR-50740600 Recife, PE, Brazil; [de Souza, F. A.] Embrapa Milho &amp; Sorgo, BR-35702098 Sete Lagoas, MG, Brazil; [Ertz, D.] Bot Garden Meise, Dept Res, Nieuwelaan 38, BE-1860 Meise, Belgium; [Ertz, D.] Federat Wallonie Bruxelles, Direct Gen Enseignement Non Obligatoire &amp; Rech Sc, Rue A Lavallee 1, BE-1080 Brussels, Belgium; [Haelewaters, D.] Univ South Bohemia, Fac Sci, Branisovska 31, Ceske Budejovice 37005, Czech Republic; [Haelewaters, D.] Univ Autonoma Chiriqui, Herbario UCH, Apartado Postal 0427, David, Panama; [Haelewaters, D.] Univ Ghent, Res Grp Mycol, Dept Biol, KL Ledeganckstr 35, B-9000 Ghent, Belgium; [Jones, E. B. G.] King Saud Univ, Coll Sci, Dept Bot &amp; Microbiol, POB 2455, Riyadh 11451, Saudi Arabia; [Karunarathna, S. C.; Tibpromma, S.; Wanasinghe, D. N.] Chinese Acad Sci, Kunming Inst Bot, Honghe Ctr Mt Futures, Kunming 654400, Yunnan, Peoples R China; [Kirk, P. M.] Royal Bot Gardens, Jodrell Lab, Biodivers Informat &amp; Spatial Anal, Richmond TW9 3DS, Surrey, England; [Kukwa, M.] Univ Gdansk, Fac Biol, Dept Plant Taxon &amp; Nat Conservat, Wita Stwosza 59, PL-80308 Gdansk, Poland; [Kumla, J.; Suwannarach, N.] Chiang Mai Univ, Fac Sci, Res Ctr Microbial Divers &amp; Sustainable Utilizat, Chiang Mai 50200, Thailand; [Leontyev, D., V] HS Skovoroda Kharkiv Natl Pedag Univ, Dept Bot, Valentynivska 2, UA-61168 Kharkiv, Ukraine; [Lumbsch, H. T.] Field Museum, Sci &amp; Educ, 1400 S Lake Shore Dr, Chicago, IL 60605 USA; [Maharachchikumbura, S. S. N.] Univ Elect Sci &amp; Technol China, Sch Life Sci &amp; Technol, Chengdu 611731, Peoples R China; [Marguno, F.] Univ Silesia Katowice, Fac Nat Sci, Inst Biol Biotechnol &amp; Environm Protect, Katowice, Poland; [Martinez-Rodriguez, P.] Univ Granada, Dept Microbiol, Campus Fuentenueva, Granada 18071, Spain; [Mesic, A.; Posta, A.; Tkalcec, Z.] Rudjer Boskovic Inst, Bijenicka 54, HR-10000 Zagreb, Croatia; [Monteiro, J. S.] Museu Paraense Emilio Goeldi, Coordenacao Bot, Av Perimetral 1901, BR-66077830 Belem, Para, Brazil; [Monteiro, J. S.] Inst Tecnol Vale, Rua Boaventura da Silva 955, BR-66055090 Belem, Para, Brazil; [Oehl, F.] Agroscope, Competence Div Plants &amp; Plant Prod, Plant Protect Prod Impact &amp; Assessment, Team Appl Ecotoxicol, CH-8820 Wadenswil, Switzerland; [Pawlowska, J.] Univ Warsaw, Fac Biol, Biol &amp; Chem Res Ctr, Inst Evolutionary Biol, Ul Zwirki &amp; Wigury 101, PL-02089 Warsaw, Poland; [Pfliegler, W. P.] Univ Debrecen, Dept Mol Biotechnol &amp; Microbiol, Egyet Ter 1, H-4032 Debrecen, Hungary; [Phillips, A. J. L.] Univ Lisbon, Fac Ciencias, Biosyst &amp; Integrat Sci Inst BioISI, P-1749016 Lisbon, Portugal; [He, M. Q.; Li, J. X.; Raza, M.] Chinese Acad Sci, Inst Microbiol, State Key Lab Mycol, Beijing 100101, Peoples R China; [Suetrong, S.] Natl Sci &amp; Technol Dev Agcy NSTDA, Natl Biobank Thailand NBT, 111 Thailand Sci Pk, Amphoe Khlong Luang 12120, Pathum Thani, Thailand; [Tedersoo, L.] Univ Tartu, Mycol &amp; Microbiol Ctr, 14a Ravila, EE-50411 Tartu, Estonia; [Tedersoo, L.] King Saud Univ, Coll Sci, Riyadh 11451, Saudi Arabia; [Thiyagaraja, V] Chiang Mai Univ, Fac Agr, Dept Entomol &amp; Plant Pathol, Chiang Mai 50200, Thailand; [Tokarev, Y. S.] All Russian Inst Plant Protect, Lab Mol Plant Protect, Shosse Podbelskogo 3, St Petersburg 196608, Russia; [Wijesundara, D. S. A.] Natl Inst Fundamental Studies, Hantane Rd, Kandy, Sri Lanka; [Wimalaseana, S. D. M. K.] Univ Ruhuna, Fac Agr, Mapalana 81100, Sri Lanka; [Madrid, H.] Univ Tarapaca, Sede Iquique, Fac Ciencias Salud, Dept Tecnol Med, Av Luis Emilio Recabarren 2477, Iquique, Chile; [Sanchez-Castro, I] CSIC, Estn Expt Zaidin, Calle Prof Albareda 1, Granada 18008, Spain; [Tang, L. Z.] Jiangxi Normal Univ, Coll Life Sci, Nanchang 330022, Jiangxi, Peoples R China; [Stadler, M.] Helmholtz Ctr Infect Res HZI, Dept Microbial Drugs, Inhoffenstr 7, D-38124 Braunschweig, Germany; [Stadler, M.] Tech Univ Carolo Wilhelmina Braunschweig, Inst Microbiol, Spielmannstr 7, D-38106 Braunschweig, Germany; [Yurkov, A.] Leibniz Inst DSMZ German Collect Microorganisms &amp;, Inhoffenstr 7B, D-38124 Braunschweig, Germany; [Thines, M.] Goethe Univ, Dept Biol Sci, Inst Ecol Evolut &amp; Divers, Max vonLaue Str 13, D-60486 Frankfurt, Germany; [Thines, M.] Senckenberg Biodivers &amp; Climate Res Ctr, Senckenberganlage 25, D-60325 Frankfurt, Germany</t>
  </si>
  <si>
    <t>Mae Fah Luang University; Zhongkai University of Agriculture &amp; Engineering; Swedish University of Agricultural Sciences; Universidade Federal do Rio Grande do Norte; Department of Science &amp; Technology (India); Birbal Sahni Institute of Palaeobotany (BSIP); Ahi Evran University; Ahi Evran University; Department of Science &amp; Technology (India); Agharkar Research Institute (ARI); Universidade Federal de Mato Grosso do Sul; West Pomeranian University of Technology; National Science &amp; Technology Development Agency - Thailand; National Center Genetic Engineering &amp; Biotechnology (BIOTEC); Universidade Federal de Pernambuco; Empresa Brasileira de Pesquisa Agropecuaria (EMBRAPA); University of South Bohemia Ceske Budejovice; Universidad Autonoma de Chiriqui; Ghent University; King Saud University; Chinese Academy of Sciences; Kunming Institute of Botany, CAS; Royal Botanic Gardens, Kew; Fahrenheit Universities; University of Gdansk; Chiang Mai University; Ministry of Education &amp; Science of Ukraine; H.S. Skovoroda Kharkiv National Pedagogical University; Field Museum of Natural History (Chicago); University of Electronic Science &amp; Technology of China; University of Silesia in Katowice; University of Granada; Rudjer Boskovic Institute; Museu Paraense Emilio Goeldi; Instituto Tecnologico Vale Desenvolvimento Sustentavel; Swiss Federal Research Station Agroscope; University of Warsaw; University of Debrecen; BIOISI; Universidade de Lisboa; Chinese Academy of Sciences; Institute of Microbiology, CAS; National Science &amp; Technology Development Agency - Thailand; University of Tartu; King Saud University; Chiang Mai University; All-Russian Institute of Plant Protection; National Institute of Fundamental Studies (NIFS); University Ruhuna; Universidad de Tarapaca; Consejo Superior de Investigaciones Cientificas (CSIC); CSIC - Estacion Experimental del Zaidin (EEZ); Jiangxi Normal University; Helmholtz Association; Helmholtz-Center for Infection Research; Braunschweig University of Technology; Leibniz Institut fur Deutsche Sammlung von Mikroorganismen und Zellkulturen (DSMZ); Goethe University Frankfurt; Senckenberg Biodiversitat &amp; Klima- Forschungszentrum (BiK-F); Senckenberg Gesellschaft fur Naturforschung (SGN)</t>
  </si>
  <si>
    <t>Dai, DQ; Gao, Y (通讯作者)，Qujing Normal Univ, Coll Biol Resource &amp; Food Engn, Ctr Yunnan Plateau Biol Resources Protect &amp; Utili, Qujing 655011, Yunnan, Peoples R China.;Hyde, KD (通讯作者)，Mae Fah Luang Univ, Ctr Excellence Fungal Res, Chiang Rai 57100, Thailand.;Hyde, KD (通讯作者)，Zhongkai Univ Agr &amp; Engn, Innovat Inst Plant Hlth, Guangzhou 510225, Peoples R China.</t>
  </si>
  <si>
    <t>kdhyde3@gmail.com; cicidaidongqin@gmail.com; 562698574@qq.com</t>
  </si>
  <si>
    <t>de Souza, Francisco A./I-1961-2013; Mešić, Armin/AAJ-1858-2020; Wanasinghe, Dhanushka Nadeeshan/P-1693-2017; Hyde, Kevin D/F-7890-2010; Boonyuen, Nattawut/GRJ-2399-2022; Raza, Mubashar/AAO-1659-2020; Maharachchikumbura, Sajeewa/C-9403-2013; Yurkov, Andrey M./E-7854-2011; Magurno, Franco/AAD-5394-2019; Stadler, Marc/P-8882-2014</t>
  </si>
  <si>
    <t>de Souza, Francisco A./0000-0001-7083-3444; Mešić, Armin/0000-0002-4479-600X; Wanasinghe, Dhanushka Nadeeshan/0000-0003-1759-3933; Boonyuen, Nattawut/0000-0001-7131-6035; Raza, Mubashar/0000-0001-7665-1457; Maharachchikumbura, Sajeewa/0000-0001-9127-0783; Yurkov, Andrey M./0000-0002-1072-5166; Magurno, Franco/0000-0002-3117-8149; Stadler, Marc/0000-0002-7284-8671; Monteiro, Josiane/0000-0002-1717-9532; Aptroot, Andre/0000-0001-7949-2594; Martinez Rodriguez, Pablo/0000-0002-2214-4756</t>
  </si>
  <si>
    <t>National Natural Science Foundation of China [NSFC 31950410558, NSFC 31760013, 32100011]; Department of Science and Technology of Yunnan Province [2018FB050]; State Key Laboratory of Functions and Applications of Medicinal Plants, Guizhou Medical University [FAMP201906K]; Science and Technology Department of Guizhou Province [QKHRCPT[2017] 5101]; High-Level Talent Recruitment Plan of Yunnan Province (Young Talents Program); Chiang Mai University; Croatian Science Foundation [HRZZ-IP-2018-01-1736, HRZZ-2018-09-7081]; LOEWE initiative of the government of Hessen; Distinguished Scientist Fellowship (DSFP), King Saud University, Kingdom of Saudi Arabia; CAS President's International Fellowship Initiative (PIFI) [2020PB0115, 2020PC0009, 2018PC0006]; National Science Centre, Poland [2017/25/B/NZ8/00473]; International Postdoctoral Exchange Fellowship Program [Y9180822S1]; China Postdoctoral Science Foundation; Yunnan Human Resources, and Social Security Department Foundation; National Science Foundation of China (NSFC) [31750110478]; China Postdoctoral Science Foundation [2021M693361]; FCT, Portugal [UIDB/04046/2020, UIDP/04046/2020]; High-Level Talent Recruitment Plan of Yunnan Province (High-End Foreign Experts Program)</t>
  </si>
  <si>
    <t>National Natural Science Foundation of China(National Natural Science Foundation of China (NSFC)); Department of Science and Technology of Yunnan Province; State Key Laboratory of Functions and Applications of Medicinal Plants, Guizhou Medical University; Science and Technology Department of Guizhou Province; High-Level Talent Recruitment Plan of Yunnan Province (Young Talents Program); Chiang Mai University; Croatian Science Foundation; LOEWE initiative of the government of Hessen; Distinguished Scientist Fellowship (DSFP), King Saud University, Kingdom of Saudi Arabia; CAS President's International Fellowship Initiative (PIFI); National Science Centre, Poland(National Science Centre, Poland); International Postdoctoral Exchange Fellowship Program; China Postdoctoral Science Foundation(China Postdoctoral Science Foundation); Yunnan Human Resources, and Social Security Department Foundation; National Science Foundation of China (NSFC)(National Natural Science Foundation of China (NSFC)); China Postdoctoral Science Foundation(China Postdoctoral Science Foundation); FCT, Portugal(Portuguese Foundation for Science and TechnologyEuropean Commission); High-Level Talent Recruitment Plan of Yunnan Province (High-End Foreign Experts Program)</t>
  </si>
  <si>
    <t>This work was supported by the National Natural Science Foundation of China (No. NSFC 31950410558, NSFC 31760013), Department of Science and Technology of Yunnan Province (No. 2018FB050), the State Key Laboratory of Functions and Applications of Medicinal Plants, Guizhou Medical University (No. FAMP201906K); Science and Technology Department of Guizhou Province (QKHRCPT[2017] 5101) and High-Level Talent Recruitment Plan of Yunnan Provinces (Young Talents Program and High-End Foreign Experts Program). K.D. Hyde thanks Chiang Mai University for the award of Visiting Professor. Armin Mesic, and Zdenko Tkalcec are grateful to Croatian Science Foundation for their financial support under the project grant HRZZ-IP-2018-01-1736 (ForFungiDNA. Ana Posta is thankful to Croatian Science Foundation for PhD grant support HRZZ-2018-09-7081. Marco Thines is supported by the LOEWE initiative of the government of Hessen, in the framework of the Centre for Translational Biodiversity Genomics. Gareth Jones acknowledges the award of a Distinguished Scientist Fellowship (DSFP), King Saud University, Kingdom of Saudi Arabia. Mubashar Raza thanks CAS President's International Fellowship Initiative (PIFI) for funding his postdoctoral research (Grant No. 2020PB0115). The work of Julia Pawlowska was supported by the National Science Centre, Poland, under grant no 2017/25/B/NZ8/00473. Armin Mesic, Zdenko Tkalcec, and Ana Posta are grateful to Croatian Science Foundation for their financial support under the project grant HRZZ-IP-2018-01-1736 (ForFungiDNA) and PhD grant HRZZ-2018-09-7081. Saowaluck Tibpromma thanks the International Postdoctoral Exchange Fellowship Program (number Y9180822S1), CAS President's International Fellowship Initiative (PIFI) (number 2020PC0009), China Postdoctoral Science Foundation and the Yunnan Human Resources, and Social Security Department Foundation for funding her postdoctoral research. Samantha C. Karunarathna thanks CAS President's International Fellowship Initiative (PIFI) for funding his postdoctoral research (number 2018PC0006) and the National Science Foundation of China (NSFC) for funding this research work under project code 31750110478. Mao-Qiang He would like to thank the China Postdoctoral Science Foundation (Project ID: 2021M693361) and the National Natural Science Foundation of China (Project ID: 32100011). Alan J.L. Phillips acknowledges the support from UIDB/04046/2020 and UIDP/04046/2020 Centre grants from FCT, Portugal (to BioISI).</t>
  </si>
  <si>
    <t>10.5943/mycosphere/13/1/2</t>
  </si>
  <si>
    <t>2O0TU</t>
  </si>
  <si>
    <t>Green Published, Green Submitted, Green Accepted, gold</t>
  </si>
  <si>
    <t>WOS:000818782100001</t>
  </si>
  <si>
    <t>Manawasinghe, IS; Calabon, MS; Jones, EBG; Zhang, YX; Liao, CF; Xiong, YR; Chaiwan, N; Kularathnage, ND; Liu, NG; Tang, SM; Sysouphanthong, P; Du, TY; Luo, M; Pasouvang, P; Pem, D; Phonemany, M; Ishaq, M; Chen, JW; Karunarathna, SC; Mai, ZL; Rathnayaka, AR; Samarakoon, MC; Tennakoon, DS; Wijesinghe, SN; Yang, YH; Zhao, HJ; Fiaz, M; Doilom, M; Dutta, AK; Khalid, AN; Liu, JW; Thongklang, N; Senanayake, IC; Tibpromma, S; You, LQ; Camporesi, E; Gafforov, YS; Hyde, KD</t>
  </si>
  <si>
    <t>Manawasinghe, I. S.; Calabon, M. S.; Jones, E. B. G.; Zhang, Y. X.; Liao, C. F.; Xiong, Y. R.; Chaiwan, N.; Kularathnage, N. D.; Liu, N. G.; Tang, S. M.; Sysouphanthong, P.; Du, T. Y.; Luo, M.; Pasouvang, P.; Pem, D.; Phonemany, M.; Ishaq, M.; Chen, J. W.; Karunarathna, S. C.; Mai, Z. L.; Rathnayaka, A. R.; Samarakoon, M. C.; Tennakoon, D. S.; Wijesinghe, S. N.; Yang, Y. H.; Zhao, H. J.; Fiaz, M.; Doilom, M.; Dutta, A. K.; Khalid, A. N.; Liu, J. W.; Thongklang, N.; Senanayake, I. C.; Tibpromma, S.; You, L. Q.; Camporesi, E.; Gafforov, Y. S.; Hyde, K. D.</t>
  </si>
  <si>
    <t>Mycosphere notes 345-386</t>
  </si>
  <si>
    <t>9 new taxa; 27 new records; 5 new combinations; Agaricomycetes; Ascomycota; Basidiomycota; Dothideomycetes; Molecular phylogeny; New hosts; New species; Sordariomycetes; Taxonomy</t>
  </si>
  <si>
    <t>FRESH-WATER FUNGI; SP. NOV.; PHYLOGENETIC-RELATIONSHIPS; LEPIOTACEOUS FUNGI; BACKBONE TREE; NATURAL CLASSIFICATION; MOLECULAR SYSTEMATICS; TAXONOMIC NOVELTIES; GEN. NOV; GENERA</t>
  </si>
  <si>
    <t>This is the seventh in a series of Mycosphere notes in which we provide notes on the collection of fungi isolated from various hosts. In this set of notes, we introduce Pseudophialocephala as a new genus, nine new species, 27 new host or country records and five new combinations. The new species are Ceratosphaeria yunnanensis, Cytospora salicis-albae, Gymnopus bunerensis, Kalmusia cordylines, Leucoagaricus croceus, Leucoagaricus laosensis, Neopyrenochaeta shaoguanica, Pseudophialocephala cuneata and Robillarda aquatica. Pseudophialocephala humicola, Pseudophialocephala aquatica, Pseudophialocephala salinicola, Pseudophialocephala terricola and Pseudophialocephala xalapensis are introduced as new combinations. We provide new molecular data for 43 species belonging to two phyla, three classes and 15 orders. Updated phylogenetic trees for 22 families (Agaricaceae, Botryosphaeriaceae, Chaetosphaeriaceae, Coniochaetaceae, Didymosphaeriaceae, Gloeophyllaceae, Glomerellaceae, Hysteriaceae, Lophiostomataceae, Magnaporthaceae, Neopyrenochaetaceae, Omphalotacea, Phaeosphaeriaceae, Phyllostictaceae, Pleosporaceae, Saccotheciaceae, Savoryellaceae, Sporocadaceae, Stachybotryaceae, Torulaceae, Valsaceae, Physalacriaceae) and 32 genera (Alfaria, Aureobasidium, Ceratosphaeria, Collybiopsis, Colletotrichum, Comoclathris, Coniochaeta, Cytospora, Dothiorella, Gymnopus, Gymnopus, Heliocybe, Hysterium, Hysterobrevium, Kalmusia, Leptospora, Letendraea, Leucoagaricus, Mucidula, Neoleptosporella, Neopyrenochaeta, Paraleptospora, Phyllosticta, Pseudophialocephala, Rhytidhysteron, Robillarda, Savoryella, Sporocadus, Thozetella, Torula and Vaginatispora) are given.</t>
  </si>
  <si>
    <t>Manawasinghe, I. S.</t>
  </si>
  <si>
    <t>[Manawasinghe, I. S.; Zhang, Y. X.; Liao, C. F.; Xiong, Y. R.; Kularathnage, N. D.; Luo, M.; Chen, J. W.; Mai, Z. L.; Yang, Y. H.; Zhao, H. J.; Doilom, M.; Liu, J. W.; Senanayake, I. C.; You, L. Q.; Hyde, K. D.] Zhongkai Univ Agr &amp; Engn, Innovat Inst Plant Hlth, Guangzhou 510225, Peoples R China; [Calabon, M. S.; Liao, C. F.; Xiong, Y. R.; Chaiwan, N.; Kularathnage, N. D.; Liu, N. G.; Tang, S. M.; Sysouphanthong, P.; Du, T. Y.; Pasouvang, P.; Pem, D.; Phonemany, M.; Rathnayaka, A. R.; Tennakoon, D. S.; Wijesinghe, S. N.; Yang, Y. H.; Zhao, H. J.; Thongklang, N.; Hyde, K. D.] Mae Fah Luang Univ, Ctr Excellence Fungal Res, Chiang Rai 57100, Thailand; [Calabon, M. S.; Liao, C. F.; Xiong, Y. R.; Kularathnage, N. D.; Liu, N. G.; Tang, S. M.; Sysouphanthong, P.; Du, T. Y.; Pasouvang, P.; Pem, D.; Phonemany, M.; Rathnayaka, A. R.; Wijesinghe, S. N.; Yang, Y. H.; Zhao, H. J.; Thongklang, N.; Senanayake, I. C.] Mae Fah Luang Univ, Sch Sci, Chiang Rai 57100, Thailand; [Jones, E. B. G.] King Saud Univ, Coll Sci, Dept Bot &amp; Microbiol, POB 2455, Riyadh 11451, Saudi Arabia; [Tang, S. M.] Yunnan Acad Agr Sci, Biotechnol &amp; Germplasm Resources Inst, Kunming 650205, Yunnan, Peoples R China; [Sysouphanthong, P.] Minist Sci &amp; Technol, Ecol Div, Biotechnol &amp; Ecol Inst, POB 2279, Vientiane Capital, Laos; [Du, T. Y.; Karunarathna, S. C.; Tibpromma, S.] Qujing Normal Univ, Coll Biol Resource &amp; Food Engn, Ctr Yunnan Plateau Biol Resources Protect &amp; Utili, Qujing 655011, Yunnan, Peoples R China; [Du, T. Y.] World Agroforestry ICRAF, CIFOR ICRAF China Program, Kunming 650201, Yunnan, Peoples R China; [Pasouvang, P.] Natl Univ Laos NUOL, Fac Agr, Dept Agron, Plant Protect Unit, POB 7322, Dongdok, Vientiane, Laos; [Ishaq, M.; Fiaz, M.] Hazara Univ, Dept Bot, Mansehra, Khyber Pakhtunk, Pakistan; [Rathnayaka, A. R.] Natl Chiayi Univ, Dept Plant Med, 300 Syuefu Rd, Chiayi 60004, Taiwan; [Samarakoon, M. C.] Chiang Mai Univ, Fac Agr, Dept Entomol &amp; Plant Pathol, Chiang Mai 50200, Thailand; [Samarakoon, M. C.] Chiang Mai Univ, Fac Agr, Innovat Agr Res Ctr, Chiang Mai 50200, Thailand; [Dutta, A. K.] Gauhati Univ, Dept Bot, Gauhati 781014, Assam, India; [Khalid, A. N.] Univ Punjab, Dept Bot, Quaid E Azam Campus 54590, Lahore, Pakistan; [Camporesi, E.] Micol Forlivese Antonio Cicognani, AMB Grp, Via Roma 18, Forli, Italy; [Gafforov, Y. S.] Acad Sci Uzbek, Inst Bot, Lab Mycol, 32 Durmon Yuli St, Tashkent 100125, Uzbekistan; [Tennakoon, D. S.; Hyde, K. D.] Chiang Mai Univ, Fac Sci, Res Ctr Microbial Divers &amp; Sustainable Utilizat, Chiang Mai 50200, Thailand; [Tennakoon, D. S.; Hyde, K. D.] Chiang Mai Univ, Fac Sci, Dept Biol, Chiang Mai 50200, Thailand</t>
  </si>
  <si>
    <t>Zhongkai University of Agriculture &amp; Engineering; Mae Fah Luang University; Mae Fah Luang University; King Saud University; Yunnan Academy of Agricultural Sciences; Hazara University; National Chiayi University; Chiang Mai University; Chiang Mai University; Gauhati University; University of Punjab; Academy of Sciences of Uzbekistan; Institute of Botany, Uzbekistan; Chiang Mai University; Chiang Mai University</t>
  </si>
  <si>
    <t>Hyde, KD (通讯作者)，Zhongkai Univ Agr &amp; Engn, Innovat Inst Plant Hlth, Guangzhou 510225, Peoples R China.</t>
  </si>
  <si>
    <t>Bulgakov, Timur/AAC-3761-2020; Calabon, Mark/AAO-1901-2021; Manawasinghe, Ishara/AAD-7555-2019; Hyde, Kevin D/F-7890-2010; Gafforov, Yusufjon/C-5507-2015</t>
  </si>
  <si>
    <t>Bulgakov, Timur/0000-0002-4874-6851; Calabon, Mark/0000-0002-6603-1876; Manawasinghe, Ishara/0000-0001-5730-3596; Gafforov, Yusufjon/0000-0003-3076-4709; Tennakoon, Danushka/0000-0003-2306-1255</t>
  </si>
  <si>
    <t>Thailand Science Research and Innovation (TSRI) grant Macrofungi diversity research from the Lancang-Mekong Watershed and Surrounding areas [DBG6280009]; Chiang Mai University; High-level Talents in Zhongkai University of Agriculture and Engineering [J2201080102]; Thailand Research Fund [PHD60K0147]; International Postdoctoral Exchange Fellowship Program [Y9180822S1]; CAS President's International Fellowship Initiative (PIFI) [2020PC0009, 2018PC0006]; China Postdoctoral Science Foundation; Yunnan Human Resources, and Social Security Department Foundation; National Science Foundation of China (NSFC) [31851110759]; Ministry of Innovative Development of the Republic of Uzbekistan [P.-20170921183, A-FA-2021-144]; State scientific and technical program of Uzbekistan</t>
  </si>
  <si>
    <t>Thailand Science Research and Innovation (TSRI) grant Macrofungi diversity research from the Lancang-Mekong Watershed and Surrounding areas; Chiang Mai University; High-level Talents in Zhongkai University of Agriculture and Engineering; Thailand Research Fund(Thailand Research Fund (TRF)); International Postdoctoral Exchange Fellowship Program; CAS President's International Fellowship Initiative (PIFI); China Postdoctoral Science Foundation(China Postdoctoral Science Foundation); Yunnan Human Resources, and Social Security Department Foundation; National Science Foundation of China (NSFC)(National Natural Science Foundation of China (NSFC)); Ministry of Innovative Development of the Republic of Uzbekistan; State scientific and technical program of Uzbekistan</t>
  </si>
  <si>
    <t>Kevin D. Hyde would like to thank Thailand Science Research and Innovation (TSRI) grant Macrofungi diversity research from the Lancang-Mekong Watershed and Surrounding areas (Grant no. DBG6280009) and Chiang Mai University for the award of Visiting Professor. The project was also funded by the High-level Talents in Zhongkai University of Agriculture and Engineering (Grant no. J2201080102) for sequencing. Napalai Chaiwan would like to thank the Thailand Research Fund (No. PHD60K0147) and T.S Bulgakov for collecting the specimen. Saowaluck Tibpromma would like to thank the International Postdoctoral Exchange Fellowship Program (No. Y9180822S1), CAS President's International Fellowship Initiative (PIFI) (No. 2020PC0009), China Postdoctoral Science Foundation and the Yunnan Human Resources, and Social Security Department Foundation for funding her postdoctoral research. Samantha C. Kaunarathna thanks the CAS President's International Fellowship Initiative (PIFI) for funding his postdoctoral research (No. 2018PC0006) and the National Science Foundation of China (NSFC) for funding this work under the project code 31851110759. Yusufjon Gafforov thanks Ministry of Innovative Development of the Republic of Uzbekistan (Projects nos. P.-20170921183 and A-FA-2021-144) and State scientific and technical program of Uzbekistan. Mark S. Calabon is grateful to Department of Science and Technology Science Education Institute (DOST-SEI) Philippines and Mushroom Research Foundation. Muhammad Ishaq thanks Muhammad Binyamin Khan, ARooj Naseer and Abeera Ali for providing specimens for the study. Ishara S. Manawasinghe would like to thank Dr Shaun Pennycook, Nomenclature Editor, Mycotaxon, for his guidance on the species names.</t>
  </si>
  <si>
    <t>10.5943/mycosphere/13/1/3</t>
  </si>
  <si>
    <t>1F3RJ</t>
  </si>
  <si>
    <t>WOS:000795087900001</t>
  </si>
  <si>
    <t>Wang, YJ; Huang, JP; Tian, T; Yan, YJ; Chen, Y; Yang, J; Chen, JH; Gu, YC; Huang, SX</t>
  </si>
  <si>
    <t>Wang, Yong-Jiang; Huang, Jian-Ping; Tian, Tian; Yan, Yijun; Chen, Yin; Yang, Jing; Chen, Jianghua; Gu, Yu-Cheng; Huang, Sheng-Xiong</t>
  </si>
  <si>
    <t>Discovery and Engineering of the Cocaine Biosynthetic Pathway</t>
  </si>
  <si>
    <t>JOURNAL OF THE AMERICAN CHEMICAL SOCIETY</t>
  </si>
  <si>
    <t>TROPANE ALKALOID BIOSYNTHESIS; ERYTHROXYLUM COCA; METHYLATION; STEP</t>
  </si>
  <si>
    <t>Cocaine, the archetypal tropane alkaloid from the plant genus Erythroxylum, has recently been used clinically as a topical anesthesia of the mucous membranes. Despite this, the key biosynthetic step of the requisite tropane skeleton (methylecgonone) from the identified inter -mediate 4-(1-methyl-2-pyrrolidinyl)-3-oxobutanoic acid (MPOA) has remained, until this point, unknown. Herein, we identify two missing enzymes (EnCYP81AN15 and EnMT4) necessary for the biosynthesis of the tropane skeleton in cocaine by transient expression of the candidate genes in Nicotiana benthamiana. Cytochrome P450 EnCYP81AN15 was observed to selectively mediate the oxidative cyclization of S-MPOA to yield the unstable intermediate ecgonone, which was then methylated to form optically active methylecgonone by methyltransferase EnMT4 in Erythrox-ylum novogranatense. The establishment of this pathway corrects the long-standing (but incorrect) biosynthetic hypothesis of MPOA methylation first and oxidative cyclization second. Notably, the de novo reconstruction of cocaine was realized in N. benthamiana with the two newly identified genes, as well as four already known ones. This study not only reports a near-complete biosynthetic pathway of cocaine and provides new insights into the metabolic networks of tropane alkaloids (cocaine and hyoscyamine) in plants but also enables the heterologous synthesis of tropane alkaloids in other (micro)organisms, entailing significant implications for pharmaceutical production.</t>
  </si>
  <si>
    <t>Wang, Yong-Jiang</t>
  </si>
  <si>
    <t>[Wang, Yong-Jiang; Huang, Jian-Ping; Tian, Tian; Yan, Yijun; Chen, Yin; Yang, Jing; Huang, Sheng-Xiong] Chinese Acad Sci, Kunming Inst Bot, State Key Lab Phytochemistry &amp; Plant Resources Wes, Kunming 650201, Peoples R China; [Wang, Yong-Jiang; Huang, Jian-Ping; Tian, Tian; Yan, Yijun; Chen, Yin; Yang, Jing; Huang, Sheng-Xiong] Chinese Acad Sci, Kunming Inst Bot, CAS Ctr Excellence Mol Plant Sci, Kunming 650201, Peoples R China; [Wang, Yong-Jiang; Tian, Tian; Chen, Yin] Univ Chinese Acad Sci, Beijing 100049, Peoples R China; [Huang, Jian-Ping] Chengdu Univ Tradit Chinese Med, Innovat Inst Chinese Med &amp; Pharm, State Key Lab Southwestern Chinese Med Resources, Chengdu 611137, Peoples R China; [Chen, Jianghua] Chinese Acad Sci, CAS Key Lab Trop Plant Resources &amp; Sustainable Use, Xishuangbanna Trop Bot Garden, Kunming 650223, Peoples R China; [Gu, Yu-Cheng] Syngenta Jealotts Hill Int Res Ctr, Bracknell RG42 6EY, Berks, England</t>
  </si>
  <si>
    <t>Chinese Academy of Sciences; Kunming Institute of Botany, CAS; Chinese Academy of Sciences; Kunming Institute of Botany, CAS; Chinese Academy of Sciences; University of Chinese Academy of Sciences, CAS; Chengdu University of Traditional Chinese Medicine; Chinese Academy of Sciences; Xishuangbanna Tropical Botanical Garden, CAS; Syngenta</t>
  </si>
  <si>
    <t>Huang, SX (通讯作者)，Chinese Acad Sci, Kunming Inst Bot, State Key Lab Phytochemistry &amp; Plant Resources Wes, Kunming 650201, Peoples R China.;Huang, SX (通讯作者)，Chinese Acad Sci, Kunming Inst Bot, CAS Ctr Excellence Mol Plant Sci, Kunming 650201, Peoples R China.</t>
  </si>
  <si>
    <t>Gu, Yu-Cheng/0000-0002-6400-6167</t>
  </si>
  <si>
    <t>National Key R&amp;D Program of China; National Natural Science Foundation of China; Strategic Priority Research Program of the CAS; Key Research Program of Frontier Sciences of the CAS; Yunnan Provincial Science and Technology Department;  [2018YFA0900600];  [82225043];  [U1902212];  [32000239];  [XDB27020205];  [QYZDB-SSW-SMC051];  [2019FJ007];  [2019ZF011-2]</t>
  </si>
  <si>
    <t xml:space="preserve">National Key R&amp;D Program of China; National Natural Science Foundation of China(National Natural Science Foundation of China (NSFC)); Strategic Priority Research Program of the CAS; Key Research Program of Frontier Sciences of the CAS; Yunnan Provincial Science and Technology Department; ; ; ; ; ; ; ; </t>
  </si>
  <si>
    <t>? ACKNOWLEDGMENTS This research was supported by the National Key R&amp;D Program of China (2018YFA0900600) , the National Natural Science Foundation of China (Nos. 82225043, U1902212, and 32000239) , the Strategic Priority Research Program of the CAS (No. XDB27020205) , the Key Research Program of Frontier Sciences of the CAS (No. QYZDB-SSW-SMC051) , and Yunnan Provincial Science and Technology Department (Nos. 2019FJ007 and 2019ZF011-2) .</t>
  </si>
  <si>
    <t>AMER CHEMICAL SOC</t>
  </si>
  <si>
    <t>1155 16TH ST, NW, WASHINGTON, DC 20036 USA</t>
  </si>
  <si>
    <t>0002-7863</t>
  </si>
  <si>
    <t>1520-5126</t>
  </si>
  <si>
    <t>J AM CHEM SOC</t>
  </si>
  <si>
    <t>J. Am. Chem. Soc.</t>
  </si>
  <si>
    <t>DEC 7</t>
  </si>
  <si>
    <t>10.1021/jacs.2c09091</t>
  </si>
  <si>
    <t>NOV 2022</t>
  </si>
  <si>
    <t>7P3LG</t>
  </si>
  <si>
    <t>WOS:000885931600001</t>
  </si>
  <si>
    <t>Wang, LL; Yu, Q; Zhang, WJ; Yang, S; Peng, L; Zhang, L; Li, XN; Gagosz, F; Kirschning, A</t>
  </si>
  <si>
    <t>Wang, Liang-Liang; Yu, Qi; Zhang, Wenjing; Yang, Shuai; Peng, Lin; Zhang, Liang; Li, Xiao-Nian; Gagosz, Fabien; Kirschning, Andreas</t>
  </si>
  <si>
    <t>Asymmetric Total Synthesis of Antibiotic Elansolid A</t>
  </si>
  <si>
    <t>DIELS-ALDER REACTION; BIOMIMETIC TOTAL-SYNTHESIS; DIRECTING GROUP STRATEGY; ENANTIOSELECTIVE SYNTHESIS; STEREOSELECTIVE-SYNTHESIS; BOTTOM-HALF; CYCLOADDITION REACTIONS; STEREOCHEMICAL ASPECTS; BIOLOGICAL EVALUATION; EPOXIDATION</t>
  </si>
  <si>
    <t>Elansolid A is a structurally complex polyketide macrolactone natural product that exhibits promising antibacterial properties. Its challenging asymmetric total synthesis was achieved by a convergent strategy, in which the tetrahydroindane core of the molecule and an eastern vinyl iodide moiety were combined as the main fragments. The central tetrahydroindane motif was constructed with high stereoselectivity by a bioinspired intramolecular Diels-Alder cycloaddition, generating four stereogenic centers in a single step. The stereocontrol of this key step could be achieved by virtue of a 1,3-allylic strain generated by the temporary introduction of a steric-directing iodine substituent on the substrate. The formation of the macrolactone motif that completes the synthesis was achieved via two different retrosynthetic disconnections, namely, a Suzuki-Miyaura cross-coupling or an alternative Mukaiyama esterification reaction.</t>
  </si>
  <si>
    <t>Yu, Qi</t>
  </si>
  <si>
    <t>[Yu, Qi; Peng, Lin] Shaoyang Univ, Sch Food &amp; Chem Engn, Shaoyang 422000, Peoples R China; [Zhang, Wenjing] Zhengzhou Univ, Green Catalysis Ctr, Zhengzhou 450001, Henan, Peoples R China; [Zhang, Wenjing] Zhengzhou Univ, Coll Chem, Zhengzhou 450001, Henan, Peoples R China; [Wang, Liang-Liang; Yang, Shuai; Zhang, Liang; Li, Xiao-Nian] Chinese Acad Sci, Kunming Inst Bot, State Key Lab Phytochem &amp; Plant Resources West Ch, Kunming 650201, Yunnan, Peoples R China; [Gagosz, Fabien] Univ Ottawa, Dept Chem &amp; Biomol Sci, Ottawa, ON K1N 6N5, Canada; [Kirschning, Andreas] Leibniz Univ Hannover, Inst Organ Chem, D-30167 Hannover, Germany</t>
  </si>
  <si>
    <t>Shaoyang University; Zhengzhou University; Zhengzhou University; Chinese Academy of Sciences; Kunming Institute of Botany, CAS; University of Ottawa; Leibniz University Hannover</t>
  </si>
  <si>
    <t>Wang, LL (通讯作者)，Chinese Acad Sci, Kunming Inst Bot, State Key Lab Phytochem &amp; Plant Resources West Ch, Kunming 650201, Yunnan, Peoples R China.;Kirschning, A (通讯作者)，Leibniz Univ Hannover, Inst Organ Chem, D-30167 Hannover, Germany.</t>
  </si>
  <si>
    <t>wangliangliang@mail.kib.ac.cn; andreas.kirschning@oci.uni-hannover.de</t>
  </si>
  <si>
    <t>, Wenjing/0000-0001-7964-6792; Wang, Liang-Liang/0000-0002-9471-9264</t>
  </si>
  <si>
    <t>Youth Innovation Promotion Association CAS; High-Level Talent Program of Yunnan Province; Alexander-von-Humboldt foundation</t>
  </si>
  <si>
    <t>Youth Innovation Promotion Association CAS; High-Level Talent Program of Yunnan Province; Alexander-von-Humboldt foundation(Alexander von Humboldt Foundation)</t>
  </si>
  <si>
    <t>Financial support for this work was provided by the Youth Innovation Promotion Association CAS and the High-Level Talent Program of Yunnan Province and in part by the Alexander-von-Humboldt foundation for L.L.W.</t>
  </si>
  <si>
    <t>APR 20</t>
  </si>
  <si>
    <t>10.1021/jacs.2c01133</t>
  </si>
  <si>
    <t>1J5IX</t>
  </si>
  <si>
    <t>WOS:000797953600029</t>
  </si>
  <si>
    <t>Qiu, MH</t>
  </si>
  <si>
    <t>Qiu, Ming-Hua</t>
  </si>
  <si>
    <t>Academician Qi-Yi Xing (Chi-Yi Hsing): pioneer organic chemist of synthetic insulin</t>
  </si>
  <si>
    <t>PROTEIN &amp; CELL</t>
  </si>
  <si>
    <t>Bibliography</t>
  </si>
  <si>
    <t>[Qiu, Ming-Hua] Chinese Acad Sci, Kunming Inst Bot, State Key Lab Phytochem &amp; Plant Resources West Ch, Kunming 650201, Yunnan, Peoples R China</t>
  </si>
  <si>
    <t>Qiu, MH (通讯作者)，Chinese Acad Sci, Kunming Inst Bot, State Key Lab Phytochem &amp; Plant Resources West Ch, Kunming 650201, Yunnan, Peoples R China.</t>
  </si>
  <si>
    <t>mhchiu@mail.kib.ac.cn</t>
  </si>
  <si>
    <t>1674-800X</t>
  </si>
  <si>
    <t>1674-8018</t>
  </si>
  <si>
    <t>PROTEIN CELL</t>
  </si>
  <si>
    <t>Protein Cell</t>
  </si>
  <si>
    <t>10.1007/s13238-021-00891-2</t>
  </si>
  <si>
    <t>NOV 2021</t>
  </si>
  <si>
    <t>Cell Biology</t>
  </si>
  <si>
    <t>2J4PT</t>
  </si>
  <si>
    <t>WOS:000722786300002</t>
  </si>
  <si>
    <t>Wu, WC; Dijkstra, P; Hungate, BA; Shi, LL; Dippold, MA</t>
  </si>
  <si>
    <t>Wu, Weichao; Dijkstra, Paul; Hungate, Bruce A.; Shi, Lingling; Dippold, Michaela A.</t>
  </si>
  <si>
    <t>In situ diversity of metabolism and carbon use efficiency among soil bacteria</t>
  </si>
  <si>
    <t>SCIENCE ADVANCES</t>
  </si>
  <si>
    <t>ENTNER-DOUDOROFF PATHWAY; GLYCOLYTIC STRATEGY; FATTY-ACIDS; MICROORGANISMS; GLUCOSE; IDENTIFICATION; SEPARATION; COMMUNITY; REVEALS; PLFA</t>
  </si>
  <si>
    <t>The central carbon (C) metabolic network harvests energy to power the cell and feed biosynthesis for growth. In pure cultures, bacteria use some but not all of the network's major pathways, such as glycolysis and pentose phosphate and Entner-Doudoroff pathways. However, how these pathways are used in microorganisms in intact soil communities is unknown. Here, we analyzed the incorporation of C-13 from glucose isotopomers into phospholipid fatty acids. We showed that groups of Gram-positive and Gram-negative bacteria in an intact agricultural soil used different pathways to metabolize glucose. They also differed in C use efficiency (CUE), the efficiency with which a substrate is used for biosynthesis. Our results provide experimental evidence for diversity among microbes in the organization of their central carbon metabolic network and CUE under in situ conditions. These results have important implications for our understanding of how community composition affects soil C cycling and organic matter formation.</t>
  </si>
  <si>
    <t>Wu, Weichao</t>
  </si>
  <si>
    <t>[Wu, Weichao; Dippold, Michaela A.] Univ Goettingen, Biogeochem Agroecosyst, Gottingen, Germany; [Wu, Weichao] Stockholm Univ, Dept Environm Sci, Stockholm, Sweden; [Wu, Weichao] Shanghai Ocean Univ, Shanghai Engn Res Ctr Hadal Sci &amp; Technol, Coll Marine Sci, Shanghai, Peoples R China; [Dijkstra, Paul; Hungate, Bruce A.] No Arizona Univ, Ctr Ecosyst Sci &amp; Soc, Flagstaff, AZ USA; [Dijkstra, Paul; Hungate, Bruce A.] No Arizona Univ, Dept Biol Sci, Flagstaff, AZ USA; [Shi, Lingling] Chinese Acad Sci, Key Lab Econ Plants &amp; Biotechnol, Inst Bot, Kunming, Yunnan, Peoples R China; [Shi, Lingling] World Agro forestry Ctr, China &amp; East Asia Off, Kunming, Yunnan, Peoples R China; [Shi, Lingling; Dippold, Michaela A.] Univ Tubingen, Geo Biosphere Interact, Dept Geosci, Tubingen, Germany</t>
  </si>
  <si>
    <t>University of Gottingen; Stockholm University; Shanghai Ocean University; Northern Arizona University; Northern Arizona University; Chinese Academy of Sciences; Kunming Institute of Botany, CAS; Eberhard Karls University of Tubingen</t>
  </si>
  <si>
    <t>Wu, WC (通讯作者)，Univ Goettingen, Biogeochem Agroecosyst, Gottingen, Germany.;Wu, WC (通讯作者)，Stockholm Univ, Dept Environm Sci, Stockholm, Sweden.;Wu, WC (通讯作者)，Shanghai Ocean Univ, Shanghai Engn Res Ctr Hadal Sci &amp; Technol, Coll Marine Sci, Shanghai, Peoples R China.</t>
  </si>
  <si>
    <t>wwcpku@gmail.com</t>
  </si>
  <si>
    <t>; Wu, Weichao/Q-6501-2018</t>
  </si>
  <si>
    <t>Dippold, Michaela/0000-0002-3657-4693; Wu, Weichao/0000-0001-8728-5990</t>
  </si>
  <si>
    <t>DFG [DFG DI 2136/17-1]; USDA National Institute of Food and Agriculture Foundation Program [2017-67019-26396]; U.S. Department of Energy's Biological Systems Science Division Program in Genomic Science [DE-SCSC0020172]; National Natural Science Foundation of China [42106046]; European Union [840240]</t>
  </si>
  <si>
    <t>DFG(German Research Foundation (DFG)); USDA National Institute of Food and Agriculture Foundation Program; U.S. Department of Energy's Biological Systems Science Division Program in Genomic Science(United States Department of Energy (DOE)); National Natural Science Foundation of China(National Natural Science Foundation of China (NSFC)); European Union(European Commission)</t>
  </si>
  <si>
    <t>This work was carried out in the framework of the priority program 2322 SoilSystems -System ecology of soils funded by the DFG, project number DFG DI 2136/17-1. The contribution by P.D. was made possible by a USDA National Institute of Food and Agriculture Foundation Program (grant number, #2017-67019-26396), while that of B.A.H. by a grant from the U.S. Department of Energy's Biological Systems Science Division Program in Genomic Science DE-SCSC0020172. W.W. was supported by the National Natural Science Foundation of China (no. 42106046) and the European Union's Horizon 2020 Research and Innovation Programme under the Marie Sklodowska-Curie grant agreement no. 840240.</t>
  </si>
  <si>
    <t>2375-2548</t>
  </si>
  <si>
    <t>SCI ADV</t>
  </si>
  <si>
    <t>Sci. Adv.</t>
  </si>
  <si>
    <t>NOV 2</t>
  </si>
  <si>
    <t>eabq3958</t>
  </si>
  <si>
    <t>10.1126/sciadv.abq3958</t>
  </si>
  <si>
    <t>http://dx.doi.org/10.1126/sciadv.abq3958</t>
  </si>
  <si>
    <t>8D6ND</t>
  </si>
  <si>
    <t>WOS:000918406800022</t>
  </si>
  <si>
    <t>Leadley, P; Gonzalez, A; Obura, D; Krug, CB; Londono-Murcia, MC; Millette, KL; Radulovici, A; Rankovic, A; Shannon, LJ; Archer, E; Armah, FA; Bax, N; Chaudhari, K; Costello, MJ; Davalos, LM; Roque, FD; DeClerck, F; Dee, LE; Essl, F; Ferrier, S; Genovesi, P; Guariguata, MR; Hashimoto, S; Speranza, CI; Isbell, F; Kok, M; Lavery, SD; Leclere, D; Loyola, R; Lwasa, S; McGeoch, M; Mori, AS; Nicholson, E; Ochoa, JM; Ollerer, K; Polasky, S; Rondinini, C; Schroer, S; Selomane, O; Shen, XL; Strassburg, B; Sumaila, UR; Tittensor, DP; Turak, E; Urbina, L; Vallejos, M; Vazquez-Dominguez, E; Verburg, PH; Visconti, P; Woodley, S; Xu, JC</t>
  </si>
  <si>
    <t>Leadley, Paul; Gonzalez, Andrew; Obura, David; Krug, Cornelia B.; Cecilia Londono-Murcia, Maria; Millette, Katie L.; Radulovici, Adriana; Rankovic, Aleksandar; Shannon, Lynne J.; Archer, Emma; Armah, Frederick Ato; Bax, Nic; Chaudhari, Kalpana; Costello, Mark John; Davalos, Liliana M.; Roque, Fabio de Oliveira; DeClerck, Fabrice; Dee, Laura E.; Essl, Franz; Ferrier, Simon; Genovesi, Piero; Guariguata, Manuel R.; Hashimoto, Shizuka; Speranza, Chinwe Ifejika; Isbell, Forest; Kok, Marcel; Lavery, Shane D.; Leclere, David; Loyola, Rafael; Lwasa, Shuaib; McGeoch, Melodie; Mori, Akira S.; Nicholson, Emily; Ochoa, Jose M.; Ollerer, Kinga; Polasky, Stephen; Rondinini, Carlo; Schroer, Sibylle; Selomane, Odirilwe; Shen, Xiaoli; Strassburg, Bernardo; Sumaila, Ussif Rashid; Tittensor, Derek P.; Turak, Eren; Urbina, Luis; Vallejos, Maria; Vazquez-Dominguez, Ella; Verburg, Peter H.; Visconti, Piero; Woodley, Stephen; Xu, Jianchu</t>
  </si>
  <si>
    <t>Achieving global biodiversity goals by 2050 requires urgent and integrated actions</t>
  </si>
  <si>
    <t>ONE EARTH</t>
  </si>
  <si>
    <t>Governments are negotiating actions intended to halt biodiversity loss and put it on a path to recovery by 2050. Here, we show that bending the curve for biodiversity is possible, but only if actions are implemented urgently and in an integrated manner. Connecting these actions to biodiversity outcomes and tracking progress remain a challenge.</t>
  </si>
  <si>
    <t>Leadley, Paul</t>
  </si>
  <si>
    <t>[Leadley, Paul] Univ Paris Saclay, Lab Ecol Systemat Evolut, AgroParisTech, CNRS, Paris, France; [Gonzalez, Andrew] McGill Univ, Quebec Ctr Biodivers Sci, Dept Biol, Montreal, PQ, Canada; [Obura, David] Coastal Oceans Res &amp; Dev CORDIO East Africa, Mombasa, Kenya; [Obura, David; Ochoa, Jose M.; Urbina, Luis] Univ Queensland, Sch Biol Sci, Coral Reef Ecosyst Lab, Brisbane, Qld, Australia; [Krug, Cornelia B.] Univ Zurich, Dept Evolutionary Biol &amp; Environm Studies, Zurich, Switzerland; [Cecilia Londono-Murcia, Maria] Res Inst Biol Resources Alexander von Humboldt, Bogota, Colombia; [Millette, Katie L.; Radulovici, Adriana] McGill Univ, Grp Earth Observat Biodivers Observat Network GEO, Montreal, PQ, Canada; [Rankovic, Aleksandar] Paris Inst Polit Studies, Paris, France; [Shannon, Lynne J.] Univ Cape Town, Dept Biol Sci, Rondebosch, South Africa; [Archer, Emma] Univ Pretoria, Dept Geog Geoinformat &amp; Meteorol, Pretoria, South Africa; [Armah, Frederick Ato] Univ Cape Coast, Sch Biol Sci, Dept Environm Sci, Cape Coast, Ghana; [Bax, Nic; Ferrier, Simon] Commonwealth Sci &amp; Ind Res Org CSIRO, Canberra, NSW, Australia; [Chaudhari, Kalpana] Inst Sustainable Dev &amp; Res ISDR, Mumbai, Maharashtra, India; [Chaudhari, Kalpana] Shah &amp; Anchor Kutchhi Engn Coll, Mumbai, Maharashtra, India; [Costello, Mark John] Nord Univ, Fac Biosci &amp; Aquaculture, Bodo, Norway; [Davalos, Liliana M.] SUNY Stony Brook, Dept Ecol &amp; Evolut, Consortium Interdisciplinary Environm Res, Stony Brook, NY 11794 USA; [Roque, Fabio de Oliveira] Univ Fed Mato Grosso do Sul, Pioneiros, MS, Brazil; [DeClerck, Fabrice] Alliance Biovers Int &amp; CIAT, Montpellier, France; [DeClerck, Fabrice] EAT Forum, Oslo, Norway; [Dee, Laura E.] Univ Colorado, Ecol &amp; Evolutionary Biol, Boulder, CO USA; [Essl, Franz] Univ Vienna, Dept Bot &amp; Biodivers Res, Vienna, Austria; [Essl, Franz] Stellenbosch Univ, Ctr Invas Biol, Dept Bot &amp; Zool, Stellenbosch, South Africa; [Genovesi, Piero] Italian Natl Inst Environm Protect &amp; Res ISPRA, Rome, Italy; [Guariguata, Manuel R.] Ctr Int Forestry Res CIFOR &amp; World Agroforestry I, Lima, Peru; [Hashimoto, Shizuka] Univ Tokyo, Grad Sch Agr &amp; Life Sci, Tokyo, Japan; [Hashimoto, Shizuka] Inst Global Environm Strategies, Hayama, Kanagawa, Japan; [Speranza, Chinwe Ifejika] Univ Bern, Inst Geog, Bern, Switzerland; [Isbell, Forest; Polasky, Stephen] Univ Minnesota, Dept Ecol Evolut &amp; Behav, St Paul, MN 55108 USA; [Kok, Marcel] PBL Netherlands Environm Assessment Agcy, The Hague, Netherlands; [Lavery, Shane D.] Univ Auckland, Sch Biol Sci, Auckland, New Zealand; [Lavery, Shane D.] Univ Auckland, Inst Marine Sci, Auckland, New Zealand; [Leclere, David; Visconti, Piero] Int Inst Appl Syst Anal IIASA, Biodivers &amp; Nat Resources Program BNR, Laxenburg, Austria; [Loyola, Rafael; Strassburg, Bernardo] Int Inst Sustainabil, Rio De Janeiro, RJ, Brazil; [Loyola, Rafael] Univ Fed Goias, Goiania, Go, Brazil; [Lwasa, Shuaib] Makerere Univ, Kampala, Uganda; [McGeoch, Melodie] La Trobe Univ, Dept Ecol Evolut &amp; Environm, Melbourne, Vic, Australia; [McGeoch, Melodie] Securing Antarct Environm Future, Melbourne, Vic, Australia; [Mori, Akira S.] Univ Tokyo, Res Ctr Adv Sci &amp; Technol, Tokyo, Japan; [Nicholson, Emily] Deakin Univ, Ctr Integrat Ecol, Sch Life &amp; Environm Sci, Melbourne, Vic, Australia; [Ollerer, Kinga] Ctr Ecol Res, Vacratot, Hungary; [Ollerer, Kinga] Romanian Acad, Inst Biol, Bucharest, Romania; [Polasky, Stephen] Univ Minnesota, Dept Appl Econ, St Paul, MN 55108 USA; [Rondinini, Carlo] Sapienza Univ Rome, Dept Biol &amp; Biotechnol, Rome, Italy; [Rondinini, Carlo] SUNY Syracuse, Syracuse, NY USA; [Schroer, Sibylle] Leibniz Inst Freshwater Ecol &amp; Inland Fisheries, Berlin, Germany; [Selomane, Odirilwe] Stellenbosch Univ, Ctr Sustainabil Transit, Stellenbosch, South Africa; [Shen, Xiaoli] Chinese Acad Sci, Inst Bot, State Key Lab Vegetat &amp; Environm Change, Beijing, Peoples R China; [Sumaila, Ussif Rashid] Univ British Columbia, Inst Oceans &amp; Fisheries, Vancouver, BC, Canada; [Tittensor, Derek P.] Dalhousie Univ, Dept Biol, Halifax, NS, Canada; [Tittensor, Derek P.] United Nations Environm Programme World Conservat, Cambridge, England; [Turak, Eren] New South Wales Dept Planning Ind &amp; Environm, Parramatta, NSW, Australia; [Vallejos, Maria] Inst Nacl Invest Agr, Colonia, Uruguay; [Vallejos, Maria] Univ Buenos Aires, Fac Agron, Buenos Aires, DF, Argentina; [Vazquez-Dominguez, Ella] Univ Nacl Autonoma Mexico, Inst Ecol, Dept Ecol Biodiversidad, Mexico City, DF, Mexico; [Verburg, Peter H.] Vrije Univ Amsterdam, Inst Environm Studies, Amsterdam, Netherlands; [Verburg, Peter H.] Swiss Fed Res Inst Forest Snow &amp; Landscape Res WS, Birmensdorf, Switzerland; [Woodley, Stephen] Int Union Conservat Nat World Commiss Protected A, Chelsea, PQ, Canada; [Xu, Jianchu] Chinese Acad Sci, Kunming Inst Bot, Kunming, Yunnan, Peoples R China</t>
  </si>
  <si>
    <t>AgroParisTech; Centre National de la Recherche Scientifique (CNRS); UDICE-French Research Universities; Universite Paris Saclay; McGill University; University of Queensland; University of Zurich; McGill University; University of Cape Town; University of Pretoria; University of Cape Coast; Commonwealth Scientific &amp; Industrial Research Organisation (CSIRO); Nord University; State University of New York (SUNY) System; State University of New York (SUNY) Stony Brook; Universidade Federal de Mato Grosso do Sul; University of Colorado System; University of Colorado Boulder; University of Vienna; Stellenbosch University; Italian Institute for Environmental Protection &amp; Research (ISPRA); University of Tokyo; University of Bern; University of Minnesota System; University of Minnesota Twin Cities; University of Auckland; University of Auckland; International Institute for Applied Systems Analysis (IIASA); Universidade Federal de Goias; Makerere University; La Trobe University; University of Tokyo; Deakin University; Eotvos Lorand Research Network; Hungarian Academy of Sciences; Hungarian Centre for Ecological Research; Institute of Biology Bucharest; Romanian Academy of Sciences; University of Minnesota System; University of Minnesota Twin Cities; Sapienza University Rome; State University of New York (SUNY) System; Leibniz Institut fur Gewasserokologie und Binnenfischerei (IGB); Stellenbosch University; Chinese Academy of Sciences; Institute of Botany, CAS; University of British Columbia; Dalhousie University; Instituto Nacional de Investigacion Agropecuaria Uruguay (INIA); University of Buenos Aires; Universidad Nacional Autonoma de Mexico; Vrije Universiteit Amsterdam; Swiss Federal Institutes of Technology Domain; Swiss Federal Institute for Forest, Snow &amp; Landscape Research; Chinese Academy of Sciences; Kunming Institute of Botany, CAS</t>
  </si>
  <si>
    <t>Leadley, P (通讯作者)，Univ Paris Saclay, Lab Ecol Systemat Evolut, AgroParisTech, CNRS, Paris, France.</t>
  </si>
  <si>
    <t>paul.leadley@u-psud.fr</t>
  </si>
  <si>
    <t>Visconti, Piero/A-3253-2009; Lavery, Shane/AFX-7929-2022; Guariguata, Manuel R./HKE-2595-2023; Öllerer, Kinga/B-7370-2016; Shannon, Lynne J/A-1612-2015; Rondinini, Carlo/E-9027-2011; Ferrier, Simon/C-1490-2009; Mori, Akira S/A-6570-2013; Lwasa, Shuaib/E-8840-2013; Verburg, Peter/A-8469-2010</t>
  </si>
  <si>
    <t>Visconti, Piero/0000-0001-6823-2826; Lavery, Shane/0000-0003-3038-292X; Guariguata, Manuel R./0000-0002-4352-2015; Öllerer, Kinga/0000-0003-3142-0000; Shannon, Lynne J/0000-0001-7842-0636; Ferrier, Simon/0000-0001-7884-2388; Mori, Akira S/0000-0002-8422-1198; Dee, Laura/0000-0003-0471-1371; Davalos, Liliana/0000-0002-4327-7697; Lwasa, Shuaib/0000-0003-4312-2836; Millette, Katie/0000-0001-9638-1538; Rondinini, Carlo/0000-0002-6617-018X; Verburg, Peter/0000-0002-6977-7104</t>
  </si>
  <si>
    <t>University Research Priority Program on Global Change and Biodiversity of the University of Zurich; UK Research and Innovation's Global Challenges Research Fund under the Trade, Development and the Environment Hub project [ES/S008160/1]; European Commission [07.0202/2020/836131/SER/ENV/.D.2 BIOCLIMA]; Australian Research Council SRIEAS [SR200100005]; Hungarian Academy of Sciences (MTA) Premium Postdoctoral Research Program; EU [8862428]; UK Research and Innovation's One Ocean Hub [NE/S008950/1]; Jarislowsky Foundation; Natural Sciences and Engineering Research Council of Canada</t>
  </si>
  <si>
    <t>University Research Priority Program on Global Change and Biodiversity of the University of Zurich; UK Research and Innovation's Global Challenges Research Fund under the Trade, Development and the Environment Hub project; European Commission(European CommissionEuropean Commission Joint Research Centre); Australian Research Council SRIEAS(Australian Research Council); Hungarian Academy of Sciences (MTA) Premium Postdoctoral Research Program; EU(European Commission); UK Research and Innovation's One Ocean Hub; Jarislowsky Foundation; Natural Sciences and Engineering Research Council of Canada(Natural Sciences and Engineering Research Council of Canada (NSERC)CGIAR)</t>
  </si>
  <si>
    <t>This work was carried out by a group of 50 scientists from 23 countries, organized through bioDISCOVERY, a global research network of Future Earth, and the Group on Earth Observations Biodiversity Observation Network (GEO BON) with the aim of providing support and scientific input for negotiations of the Post-2020 Global Biodiversity Framework. The GEO BON Secretariat and bioDISCOVERY IPO provided support in the organization of the virtual meetings. We would like to thank A. Arneth, S. Di ' az, M. Gill, and F. Muller-Karger for their critical review of CBD/SBSTTA/24/INF/31 and S. Jellesmark for his contributions. We also thank D. Cooper, B. van Havre, F. Ogwal, and J. Campbell for useful discussions, feedback, and advice. C.B.K. is supported by the University Research Priority Program on Global Change and Biodiversity of the University of Zurich. D.L. acknowledges funding from the UK Research and Innovation's Global Challenges Research Fund under the Trade, Development and the Environment Hub project (ES/S008160/1) and from the European Commission Directorate-General for Environment contract 07.0202/2020/836131/SER/ENV/.D.2 BIOCLIMA (``Assessing land use, climate and biodiversity impacts of national energy and climate plans (NECPs) and national biodiversity strategies and action plans (NBSAPs) from the EU and its Member States''). M.M. acknowledges support from Australian Research Council SRIEAS grant SR200100005 (``Securing Antarctica's Environmental Future''). K.O. acknowledges support from the Hungarian Academy of Sciences (MTA) Premium Postdoctoral Research Program. L.J.S. was funded by the EU Horizon 2020 Research and Innovation Program under grant 8862428 (Mission Atlantic) and the UK Research and Innovation's One Ocean Hub (NE/S008950/1). D.P.T. acknowledges funding from the Jarislowsky Foundation and Natural Sciences and Engineering Research Council of Canada.</t>
  </si>
  <si>
    <t>2590-3330</t>
  </si>
  <si>
    <t>2590-3322</t>
  </si>
  <si>
    <t>One Earth</t>
  </si>
  <si>
    <t>JUN 17</t>
  </si>
  <si>
    <t>10.1016/j.oneear.2022.05.009</t>
  </si>
  <si>
    <t>Green &amp; Sustainable Science &amp; Technology; Environmental Sciences; Environmental Studies</t>
  </si>
  <si>
    <t>Science &amp; Technology - Other Topics; Environmental Sciences &amp; Ecology</t>
  </si>
  <si>
    <t>3N9TA</t>
  </si>
  <si>
    <t>WOS:000836485600007</t>
  </si>
  <si>
    <t>Wang, G; Zhang, M; Meng, P; Long, CB; Luo, XD; Yang, XW; Wang, YF; Zhang, ZY; Mwangi, J; Kamau, PM; Dai, Z; Ke, ZF; Zhang, Y; Chen, WL; Zhao, XD; Ge, F; Lv, QM; Rong, MQ; Li, DS; Jin, Y; Sheng, X; Lai, R</t>
  </si>
  <si>
    <t>Wang, Gan; Zhang, Min; Meng, Ping; Long, Chengbo; Luo, Xiaodong; Yang, Xingwei; Wang, Yunfei; Zhang, Zhiye; Mwangi, James; Kamau, Peter Muiruri; Dai, Zhi; Ke, Zunfu; Zhang, Yi; Chen, Wenlin; Zhao, Xudong; Ge, Fei; Lv, Qiumin; Rong, Mingqiang; Li, Dongsheng; Jin, Yang; Sheng, Xia; Lai, Ren</t>
  </si>
  <si>
    <t>Anticarin-beta shows a promising anti-osteosarcoma effect by specifically inhibiting CCT4 to impair proteostasis</t>
  </si>
  <si>
    <t>ACTA PHARMACEUTICA SINICA B</t>
  </si>
  <si>
    <t>Proteostasis; CCT; TRiC; Osteosarcoma; STAT3; Anticarin-beta; PDX model</t>
  </si>
  <si>
    <t>CYTOSOLIC CHAPERONIN; CANCER-CELLS; COMPLEX; EXPRESSION; SURVIVAL; PROTEIN; TUBULIN; GROWTH</t>
  </si>
  <si>
    <t>Unlike healthy, non-transformed cells, the proteostasis network of cancer cells is taxed to produce proteins involved in tumor development. Cancer cells have a higher dependency on molecular chaperones to maintain proteostasis. The chaperonin T-complex protein ring complex (TRiC) contains eight paralogous subunits (CCT1-8), and assists the folding of as many as 10% of cytosolic proteome. TRiC is essential for the progression of some cancers, but the roles of TRiC subunits in osteosarcoma remain to be explored. Here, we show that CCT4/TRiC is significantly correlated in human osteosarcoma, and plays a critical role in osteosarcoma cell survival. We identify a compound anticarin-beta that can specifically bind to and inhibit CCT4. Anticarin-beta shows higher selectivity in cancer cells than in normal cells. Mechanistically, anticarin-beta potently impedes CCT4-mediated STAT3 maturation. Anticarin-beta displays remarkable antitumor efficacy in orthotopic and patient-derived xenograft models of osteosarcoma. Collectively, our data uncover a key role of CCT4 in osteosarcoma, and propose a promising treatment strategy for osteosarcoma by disrupting CCT4 and proteostasis. (C) 2022 Chinese Pharmaceutical Association and Institute of Materia Medica, Chinese Academy of Medical Sciences. Production and hosting by Elsevier B.V.</t>
  </si>
  <si>
    <t>Wang, Gan</t>
  </si>
  <si>
    <t>[Wang, Gan; Zhang, Min; Meng, Ping; Long, Chengbo; Wang, Yunfei; Zhang, Zhiye; Mwangi, James; Kamau, Peter Muiruri; Zhao, Xudong; Lv, Qiumin; Rong, Mingqiang; Li, Dongsheng; Lai, Ren] Chinese Acad Sci, Natl Resource Ctr Nonhuman Primates, Kunming Primate Res Ctr,Key Lab Bioact Peptides Y, Key Lab Anim Models &amp; Human Dis Mech,KIZ CUHK Joi, Kunming 650107, Yunnan, Peoples R China; [Wang, Gan; Zhang, Min; Meng, Ping; Long, Chengbo; Wang, Yunfei; Zhang, Zhiye; Mwangi, James; Kamau, Peter Muiruri; Zhao, Xudong; Lv, Qiumin; Rong, Mingqiang; Li, Dongsheng; Lai, Ren] Kunming Inst Zool, Natl Res Facil Phenotyp &amp; Genet Anal Model Anim, Primate Facil, Kunming 650107, Yunnan, Peoples R China; [Zhang, Min; Long, Chengbo; Mwangi, James; Kamau, Peter Muiruri] Univ Chinese Acad Sci, Beijing 100049, Peoples R China; [Luo, Xiaodong; Yang, Xingwei; Dai, Zhi] Chinese Acad Sci, Kunming Inst Bot, State Key Lab Phytochem &amp; Plant Resources West Ch, Kunming 650201, Yunnan, Peoples R China; [Wang, Yunfei; Lai, Ren] Chinese Acad Sci, Inst Drug Discovery, Shanghai 201203, Peoples R China; [Wang, Yunfei; Lai, Ren] Chinese Acad Sci, Inst Dev, Shanghai 201203, Peoples R China; [Mwangi, James; Kamau, Peter Muiruri; Lv, Qiumin; Rong, Mingqiang; Lai, Ren] Chinese Acad Sci, Sino African Joint Res Ctr, Wuhan 430074, Peoples R China; [Ke, Zunfu] Sun Yat Sen Univ, Affiliated Hosp 1, Dept Pathol, Guangzhou 510080, Peoples R China; [Zhang, Yi] Zhengzhou Univ, Dept Orthopaed Surg, Affiliated Hosp 1, Zhengzhou 450052, Peoples R China; [Chen, Wenlin] Kunming Med Univ, Yunnan Canc Ctr, Dept Breast Surg, Affiliated Hosp 3, Kunming 650118, Yunnan, Peoples R China; [Ge, Fei] Kunming Med Univ, Dept Breast Surg, Affiliated Hosp 1, Kunming 650032, Yunnan, Peoples R China; [Jin, Yang] Univ Oslo, Dept Biosci, N-0316 Oslo, Norway; [Sheng, Xia] Huazhong Univ Sci &amp; Technol, Tongji Med Coll, Sch Publ Hlth, Key Lab Environm &amp; Hlth,Minist Educ, Wuhan 434000, Peoples R China; [Sheng, Xia] Huazhong Univ Sci &amp; Technol, Tongji Med Coll, Sch Publ Hlth, Minist Environm Protect, Wuhan 434000, Peoples R China; [Sheng, Xia] Huazhong Univ Sci &amp; Technol, Tongji Med Coll, Sch Publ Hlth, State Key Lab Environm Hlth, Wuhan 434000, Peoples R China; [Lai, Ren] Chinese Acad Sci, Ctr Biosafety Megasci, Wuhan 430071, Peoples R China</t>
  </si>
  <si>
    <t>Chinese Academy of Sciences; Chinese Academy of Sciences; Kunming Institute of Zoology; Chinese Academy of Sciences; University of Chinese Academy of Sciences, CAS; Chinese Academy of Sciences; Kunming Institute of Botany, CAS; Chinese Academy of Sciences; Chinese Academy of Sciences; Chinese Academy of Sciences; Sun Yat Sen University; Zhengzhou University; Kunming Medical University; Kunming Medical University; University of Oslo; Huazhong University of Science &amp; Technology; Huazhong University of Science &amp; Technology; Huazhong University of Science &amp; Technology; Chinese Academy of Sciences</t>
  </si>
  <si>
    <t>Lai, R (通讯作者)，Chinese Acad Sci, Natl Resource Ctr Nonhuman Primates, Kunming Primate Res Ctr,Key Lab Bioact Peptides Y, Key Lab Anim Models &amp; Human Dis Mech,KIZ CUHK Joi, Kunming 650107, Yunnan, Peoples R China.;Lai, R (通讯作者)，Kunming Inst Zool, Natl Res Facil Phenotyp &amp; Genet Anal Model Anim, Primate Facil, Kunming 650107, Yunnan, Peoples R China.;Lai, R (通讯作者)，Chinese Acad Sci, Inst Drug Discovery, Shanghai 201203, Peoples R China.;Lai, R (通讯作者)，Chinese Acad Sci, Inst Dev, Shanghai 201203, Peoples R China.;Lai, R (通讯作者)，Chinese Acad Sci, Sino African Joint Res Ctr, Wuhan 430074, Peoples R China.;Jin, Y (通讯作者)，Univ Oslo, Dept Biosci, N-0316 Oslo, Norway.;Sheng, X (通讯作者)，Huazhong Univ Sci &amp; Technol, Tongji Med Coll, Sch Publ Hlth, Key Lab Environm &amp; Hlth,Minist Educ, Wuhan 434000, Peoples R China.;Sheng, X (通讯作者)，Huazhong Univ Sci &amp; Technol, Tongji Med Coll, Sch Publ Hlth, Minist Environm Protect, Wuhan 434000, Peoples R China.;Sheng, X (通讯作者)，Huazhong Univ Sci &amp; Technol, Tongji Med Coll, Sch Publ Hlth, State Key Lab Environm Hlth, Wuhan 434000, Peoples R China.;Lai, R (通讯作者)，Chinese Acad Sci, Ctr Biosafety Megasci, Wuhan 430071, Peoples R China.</t>
  </si>
  <si>
    <t>yangj@ulrik.uio.no; xiasheng@hust.edu.cn; rlai@mail.kiz.ac.cn</t>
  </si>
  <si>
    <t>Jin, Yang/GXF-7896-2022</t>
  </si>
  <si>
    <t>Jin, Yang/0000-0002-7996-048X; Zhang, Min/0000-0002-1165-7839; Sheng, Xia/0000-0002-8742-7343</t>
  </si>
  <si>
    <t>National Natural Science Foundation of China [81903666, 31930015]; Chinese Academy of Sciences [XDB31000000, KFJ-STS-SCYD-304]; K. C. Wong Education Foundation; China; Science and Technology Department of Yunnan Province (China) [202101AT070301, 2019ZF003, 202002AA100007, 202003AD150008, 2019FB103]; Project of Innovative Research Team of Yunnan Province (China) [2019HC005]; Department of Industry and Infor-mation Technology of Yunnan Province (China) [2019-YT-053]</t>
  </si>
  <si>
    <t>National Natural Science Foundation of China(National Natural Science Foundation of China (NSFC)); Chinese Academy of Sciences(Chinese Academy of Sciences); K. C. Wong Education Foundation; China; Science and Technology Department of Yunnan Province (China); Project of Innovative Research Team of Yunnan Province (China); Department of Industry and Infor-mation Technology of Yunnan Province (China)</t>
  </si>
  <si>
    <t>We thank Dr. Lian Yang for technical advice and assistance with the ITC analysis. We thank Dr. Lin Zeng for technical advice and assistance with the LC-MS/MS spectrum analysis. We thank Dr. Wenhao Yang for writing advice. This work was supported by funding from the National Natural Science Foundation of China (81903666 and 31930015) , the Chinese Academy of Sciences (XDB31000000, KFJ-STS-SCYD-304, and K. C. Wong Education Foundation; China) , the Science and Technology Department of Yunnan Province (202101AT070301, 2019ZF003, 202002AA100007, 202003AD150008, and 2019FB103; China) , Project of Innovative Research Team of Yunnan Province (2019HC005; China) , and the Department of Industry and Infor-mation Technology of Yunnan Province (2019-YT-053, China) .</t>
  </si>
  <si>
    <t>INST MATERIA MEDICA, CHINESE ACAD MEDICAL SCIENCES</t>
  </si>
  <si>
    <t>BEIJING</t>
  </si>
  <si>
    <t>C/O EDITORIAL BOARD OF ACTA PHARMACEUTICA SINICA, 1 XIANNONGTAN ST, BEIJING, 100050, PEOPLES R CHINA</t>
  </si>
  <si>
    <t>2211-3835</t>
  </si>
  <si>
    <t>2211-3843</t>
  </si>
  <si>
    <t>ACTA PHARM SIN B</t>
  </si>
  <si>
    <t>Acta Pharm. Sin. B</t>
  </si>
  <si>
    <t>10.1016/j.apsb.2021.12.024</t>
  </si>
  <si>
    <t>Pharmacology &amp; Pharmacy</t>
  </si>
  <si>
    <t>2C5DP</t>
  </si>
  <si>
    <t>WOS:000810889400009</t>
  </si>
  <si>
    <t>Tedersoo, L; Mikryukov, V; Zizka, A; Bahram, M; Hagh-Doust, N; Anslan, S; Prylutskyi, O; Delgado-Baquerizo, M; Maestre, FT; Parn, J; Opik, M; Moora, M; Zobel, M; Espenberg, M; Mander, U; Khalid, AN; Corrales, A; Agan, A; Vasco-Palacios, AM; Saitta, A; Rinaldi, AC; Verbeken, A; Sulistyo, BP; Tamgnoue, B; Furneaux, B; Ritter, CD; Nyamukondiwa, C; Sharp, C; Marin, C; Gohar, D; Klavina, D; Sharmah, D; Dai, DQ; Nouhra, E; Biersma, EM; Rahn, E; Cameron, EK; De Crop, E; Otsing, E; Davydov, EA; Albornoz, FE; Brearley, FQ; Buegger, F; Zahn, G; Bonito, G; Hiiesalu, I; Barrio, IC; Heilmann-Clausen, J; Ankuda, J; Kupagme, JY; Macia-Vicente, JG; Fovo, JD; Geml, J; Alatalo, JM; Alvarez-Manjarrez, J; Poldmaa, K; Runnel, K; Adamson, K; Brathen, KA; Pritsch, K; Tchan, KI; Hyde, KD; Newsham, KK; Panksep, K; Lateef, AA; Tiirmann, L; Hansson, L; Lamit, LJ; Saba, M; Tuomi, M; Gryzenhout, M; Bauters, M; Piepenbring, M; Wijayawardene, N; Yorou, NS; Kurina, O; Mortimer, PE; Meidl, P; Kohout, P; Nilsson, RH; Puusepp, R; Drenkhan, R; Garibay-Orijel, R; Godoy, R; Alkahtani, S; Rahimlou, S; Dudov, SV; Polme, S; Ghosh, S; Mundra, S; Ahmed, T; Netherway, T; Henkel, TW; Roslin, T; Nteziryayo, V; Fedosov, VE; Onipchenko, VG; Yasanthika, WAE; Lim, YW; Soudzilovskaia, NA; Antonelli, A; Koljalg, U; Abarenkov, K</t>
  </si>
  <si>
    <t>Tedersoo, Leho; Mikryukov, Vladimir; Zizka, Alexander; Bahram, Mohammad; Hagh-Doust, Niloufar; Anslan, Sten; Prylutskyi, Oleh; Delgado-Baquerizo, Manuel; Maestre, Fernando T.; Parn, Jaan; Opik, Maarja; Moora, Mari; Zobel, Martin; Espenberg, Mikk; Mander, Ulo; Khalid, Abdul Nasir; Corrales, Adriana; Agan, Ahto; Vasco-Palacios, Aida-M; Saitta, Alessandro; Rinaldi, Andrea C.; Verbeken, Annemieke; Sulistyo, Bobby P.; Tamgnoue, Boris; Furneaux, Brendan; Ritter, Camila Duarte; Nyamukondiwa, Casper; Sharp, Cathy; Marin, Cesar; Gohar, Daniyal; Klavina, Darta; Sharmah, Dipon; Dai, Dong Qin; Nouhra, Eduardo; Biersma, Elisabeth Machteld; Rahn, Elisabeth; Cameron, Erin K.; De Crop, Eske; Otsing, Eveli; Davydov, Evgeny A.; Albornoz, Felipe E.; Brearley, Francis Q.; Buegger, Franz; Zahn, Geoffrey; Bonito, Gregory; Hiiesalu, Inga; Barrio, Isabel C.; Heilmann-Clausen, Jacob; Ankuda, Jelena; Kupagme, John Y.; Macia-Vicente, Jose G.; Fovo, Joseph Djeugap; Geml, Jozsef; Alatalo, Juha M.; Alvarez-Manjarrez, Julieta; Poldmaa, Kadri; Runnel, Kadri; Adamson, Kalev; Brathen, Kari Anne; Pritsch, Karin; Tchan, Kassim, I; Hyde, Kevin D.; Newsham, Kevin K.; Panksep, Kristel; Lateef, Adebola A.; Tiirmann, Liis; Hansson, Linda; Lamit, Louis J.; Saba, Malka; Tuomi, Maria; Gryzenhout, Marieka; Bauters, Marijn; Piepenbring, Meike; Wijayawardene, Nalin; Yorou, Nourou S.; Kurina, Olavi; Mortimer, Peter E.; Meidl, Peter; Kohout, Petr; Nilsson, Rolf Henrik; Puusepp, Rasmus; Drenkhan, Rein; Garibay-Orijel, Roberto; Godoy, Roberto; Alkahtani, Saad; Rahimlou, Saleh; Dudov, Sergey, V; Polme, Sergei; Ghosh, Soumya; Mundra, Sunil; Ahmed, Talaat; Netherway, Tarquin; Henkel, Terry W.; Roslin, Tomas; Nteziryayo, Vincent; Fedosov, Vladimir E.; Onipchenko, Vladimir G.; Yasanthika, W. A. Erandi; Lim, Young Woon; Soudzilovskaia, Nadejda A.; Antonelli, Alexandre; Koljalg, Urmas; Abarenkov, Kessy</t>
  </si>
  <si>
    <t>Global patterns in endemicity and vulnerability of soil fungi</t>
  </si>
  <si>
    <t>GLOBAL CHANGE BIOLOGY</t>
  </si>
  <si>
    <t>biodiversity; biogeography; climate change; conservation priorities; global change vulnerability; global maps; mycorrhizal fungi; pathogens; saprotrophs</t>
  </si>
  <si>
    <t>CLIMATE-CHANGE MITIGATION; ECTOMYCORRHIZAL FUNGI; MICROBIAL COMMUNITIES; SPECIES RICHNESS; ADAPTATION; DIVERSITY; BIOGEOGRAPHY; TEMPERATURE; BACTERIA</t>
  </si>
  <si>
    <t>Fungi are highly diverse organisms, which provide multiple ecosystem services. However, compared with charismatic animals and plants, the distribution patterns and conservation needs of fungi have been little explored. Here, we examined endemicity patterns, global change vulnerability and conservation priority areas for functional groups of soil fungi based on six global surveys using a high-resolution, long-read metabarcoding approach. We found that the endemicity of all fungi and most functional groups peaks in tropical habitats, including Amazonia, Yucatan, West-Central Africa, Sri Lanka, and New Caledonia, with a negligible island effect compared with plants and animals. We also found that fungi are predominantly vulnerable to drought, heat and land-cover change, particularly in dry tropical regions with high human population density. Fungal conservation areas of highest priority include herbaceous wetlands, tropical forests, and woodlands. We stress that more attention should be focused on the conservation of fungi, especially root symbiotic arbuscular mycorrhizal and ectomycorrhizal fungi in tropical regions as well as unicellular early-diverging groups and macrofungi in general. Given the low overlap between the endemicity of fungi and macroorganisms, but high conservation needs in both groups, detailed analyses on distribution and conservation requirements are warranted for other microorganisms and soil organisms.</t>
  </si>
  <si>
    <t>Tedersoo, Leho</t>
  </si>
  <si>
    <t>[Tedersoo, Leho; Gohar, Daniyal; Otsing, Eveli; Kupagme, John Y.; Tiirmann, Liis; Puusepp, Rasmus; Rahimlou, Saleh; Polme, Sergei] Univ Tartu, Mycol &amp; Microbiol Ctr, Tartu, Estonia; [Mikryukov, Vladimir; Hagh-Doust, Niloufar; Anslan, Sten; Parn, Jaan; Opik, Maarja; Moora, Mari; Zobel, Martin; Espenberg, Mikk; Mander, Ulo; Hiiesalu, Inga; Poldmaa, Kadri; Runnel, Kadri; Koljalg, Urmas] Univ Tartu, Inst Ecol &amp; Earth Sci, Tartu, Estonia; [Zizka, Alexander] Philipps Univ, Dept Biol, Marburg, Germany; [Bahram, Mohammad; Netherway, Tarquin; Roslin, Tomas] Swedish Univ Agr Sci, Dept Ecol, Uppsala, Sweden; [Prylutskyi, Oleh] Kharkov Natl Univ, Sch Biol, Dept Mycol &amp; Plant Resistance, Kharkiv, Ukraine; [Delgado-Baquerizo, Manuel] Univ Pablo de Olavide, Inst Recursos Nat &amp; Agrobiol Sevilla IRNAS, Lab Biodiversidad &amp; Funcionamiento Ecosistem, CSIC, Seville, Spain; [Delgado-Baquerizo, Manuel] Univ Pablo de Olavide, Unidad Asociada CSIC UPO BioFun, Seville, Spain; [Maestre, Fernando T.] Univ Alicante, Inst Multidisciplinar Estudio Medio Ramon Margale, Dept Ecol, Alicante, Spain; [Khalid, Abdul Nasir] Univ Punjab, Inst Bot, Lahore, Pakistan; [Corrales, Adriana] Univ Rosario, Ctr Invest Microbiol &amp; Biotecnol UR CIMBIUR, Bogota, Colombia; [Agan, Ahto; Rahn, Elisabeth; Adamson, Kalev; Drenkhan, Rein] Estonian Univ Life Sci, Inst Forestry &amp; Engn, Tartu, Estonia; [Vasco-Palacios, Aida-M] Univ Antioquia UdeA, Escuela Microbiol, BioMicro, Medellin, Antioquia, Colombia; [Saitta, Alessandro] Univ Palermo, Dept Agr Food &amp; Forest Sci, Palermo, Italy; [Rinaldi, Andrea C.] Univ Cagliari, Dept Biomed Sci, Cagliari, Italy; [Verbeken, Annemieke; De Crop, Eske] Univ Ghent, Dept Biol, Ghent, Belgium; [Sulistyo, Bobby P.] Indonesia Int Inst Life Sci, Dept Biomed, Jakarta, Indonesia; [Tamgnoue, Boris; Fovo, Joseph Djeugap] Univ Dschang, Dept Crop Sci, Dschang, Cameroon; [Furneaux, Brendan] Uppsala Univ, Dept Ecol &amp; Genet, Uppsala, Sweden; [Ritter, Camila Duarte] Univ Fed Parana, Dept Zootecnia, Curitiba, Parana, Brazil; [Nyamukondiwa, Casper] Botswana Int Univ Sci &amp; Technol, Dept Biol Sci &amp; Biotechnol, Palapye, Botswana; [Sharp, Cathy] Nat Hist Museum Zimbabwe, Bulawayo, Zimbabwe; [Marin, Cesar] Univ SantoTomas, Ctr Invest &amp; Innovac Cambio Climat CIICC, Santiago, Chile; [Klavina, Darta] Latvian State Forest Res Inst Silava, Salaspils, Latvia; [Sharmah, Dipon] Pondicherry Univ, Dept Bot, Jawaharlal Nehru Rajkeeya Mahavidyalaya, Port Blair, India; [Dai, Dong Qin; Wijayawardene, Nalin] Qujing Normal Univ, Coll Biol Resource &amp; Food Engn, Qujing, Peoples R China; [Nouhra, Eduardo] Univ Nacl Cordoba, Inst Multidisciplinario Biol Vegetal CONICET, Cordoba, Argentina; [Biersma, Elisabeth Machteld] Nat Hist Museum Denmark, Copenhagen, Denmark; [Cameron, Erin K.] St Marys Univ, Dept Environm Sci, Halifax, NS, Canada; [Davydov, Evgeny A.] Altai State Univ, Barnaul, Russia; [Albornoz, Felipe E.] CSIRO Land &amp; Water, Wembley, WA, Australia; [Brearley, Francis Q.] Manchester Metropolitan Univ, Dept Nat Sci, Manchester, Lancs, England; [Buegger, Franz; Pritsch, Karin] Helmholtz Zentrum Munchen, Neuherberg, Germany; [Zahn, Geoffrey] Utah Valley Univ, Orem, UT USA; [Bonito, Gregory] Michigan State Univ, Plant Soil &amp; Microbial Sci, E Lansing, MI 48824 USA; [Barrio, Isabel C.] Agr Univ Iceland, Fac Nat &amp; Environm Sci, Hvanneyri, Iceland; [Heilmann-Clausen, Jacob] Univ Copenhagen, Ctr Macroecol Evolut &amp; Climate, Copenhagen, Denmark; [Ankuda, Jelena] Lithuanian Res Ctr Agr &amp; Forestry LAMMC, Dept Silviculture &amp; Ecol, Inst Forestry, Girionys, Lithuania; [Macia-Vicente, Jose G.] Wageningen Univ &amp; Res, Plant Ecol &amp; Nat Conservat, Wageningen, Netherlands; [Geml, Jozsef] Eszterhazy Karoly Catholic Univ, ELKH EKKE Lendulet Environm Microbiome Res Grp, Eger, Hungary; [Alatalo, Juha M.; Ahmed, Talaat] Qatar Univ, Environm Sci Ctr, Doha, Qatar; [Alvarez-Manjarrez, Julieta] Stanford Univ, Biol Dept, Stanford, CA 94305 USA; [Brathen, Kari Anne; Tuomi, Maria] Arctic Univ Norway, Dept Arctic &amp; Marine Biol, Tromso, Norway; [Tchan, Kassim, I; Yorou, Nourou S.] Univ Parakou, Res Unit Trop Mycol &amp; Plants Soil Fungi Interact, Parakou, Benin; [Hyde, Kevin D.; Yasanthika, W. A. Erandi] Mae Fah Luang Univ, Ctr Excellence Fungal Res, Chiang Rai, Thailand; [Newsham, Kevin K.] NERC British Antarctic Survey, Cambridge, England; [Panksep, Kristel] Estonian Univ Life Sci, Chair Hydrobiol &amp; Fishery, Tartu, Estonia; [Lateef, Adebola A.] Univ Ilorin, Dept Plant Biol, Ilorin, Nigeria; [Hansson, Linda] Gothenburg Ctr Sustainable Dev, Gothenburg, Sweden; [Lamit, Louis J.] Syracuse Univ, Dept Biol, Syracuse, NY 13244 USA; [Lamit, Louis J.] SUNY Coll Environm Sci &amp; Forestry, Dept Environm &amp; Forest Biol, Syracuse, NY 13210 USA; [Saba, Malka] Quaid I Azam Univ, Dept Plant Sci, Islamabad, Pakistan; [Gryzenhout, Marieka; Ghosh, Soumya] Univ Free State, Dept Genet, Bloemfontein, South Africa; [Bauters, Marijn] Univ Ghent, Dept Environm, Ghent, Belgium; [Piepenbring, Meike] Goethe Univ Frankfurt Main, Mycol Working Grp, Frankfurt, Germany; [Kurina, Olavi] Estonian Univ Life Sci, Inst Agr &amp; Environm Sci, Tartu, Estonia; [Mortimer, Peter E.] Chinese Acad Sci, Ctr Mt Futures, Kunming Inst Bot, Kunming, Yunnan, Peoples R China; [Meidl, Peter] Free Univ Berlin, Inst Biol, Berlin, Germany; [Kohout, Petr] Czech Acad Sci, Inst Microbiol, Prague, Czech Republic; [Nilsson, Rolf Henrik] Univ Gothenburg, Gothenburg Global Biodivers Ctr, Gothenburg, Sweden; [Garibay-Orijel, Roberto] Univ Nacl Autonoma Mexico, Inst Biol, Ciudad De Mexico, Mexico; [Godoy, Roberto] Univ Austral Chile, Inst Ciencias Ambientales &amp; Evolut, Valdivia, Chile; [Alkahtani, Saad] King Saud Univ, Coll Sci, Riyadh, Saudi Arabia; [Dudov, Sergey, V; Fedosov, Vladimir E.; Onipchenko, Vladimir G.] Moscow Lomonosov State Univ, Dept Ecol &amp; Plant Geog, Moscow, Russia; [Mundra, Sunil] United Arab Emirates Univ, Coll Sci, Dept Biol, Abu Dhabi, U Arab Emirates; [Henkel, Terry W.] Calif State Polytech Univ Arcata, Dept Biol Sci, Arcata, CA USA; [Nteziryayo, Vincent] Univ Burundi, Dept Food Sci &amp; Technol, Bujumbura, Burundi; [Lim, Young Woon] Seoul Natl Univ, Sch Biol Sci, Seoul, South Korea; [Lim, Young Woon] Seoul Natl Univ, Inst Microbiol, Seoul, South Korea; [Soudzilovskaia, Nadejda A.] Hasselt Univ, Ctr Environm Sci, Hasselt, Belgium; [Antonelli, Alexandre] Royal Bot Gardens, Richmond, England; [Abarenkov, Kessy] Univ Tartu, Nat Hist Museum, Tartu, Estonia</t>
  </si>
  <si>
    <t>University of Tartu; University of Tartu; Tartu University Institute of Ecology &amp; Earth Sciences; Philipps University Marburg; Swedish University of Agricultural Sciences; Ministry of Education &amp; Science of Ukraine; VN Karazin Kharkiv National University; Consejo Superior de Investigaciones Cientificas (CSIC); CSIC - Instituto de Recursos Naturales y Agrobiologia de Sevilla (IRNAS); Universidad Pablo de Olavide; Universidad Pablo de Olavide; Universitat d'Alacant; University of Punjab; Universidad del Rosario; Estonian University of Life Sciences; Universidad de Antioquia; University of Palermo; University of Cagliari; Ghent University; Indonesia International Institute for Life-Sciences (i3L); Uppsala University; Universidade Federal do Parana; Latvian State Forest Research Institute Silava; Pondicherry University; Consejo Nacional de Investigaciones Cientificas y Tecnicas (CONICET); National University of Cordoba; Saint Marys University - Canada; Altai State University; Commonwealth Scientific &amp; Industrial Research Organisation (CSIRO); Manchester Metropolitan University; Helmholtz Association; Helmholtz-Center Munich - German Research Center for Environmental Health; Utah System of Higher Education; Utah Valley University; Michigan State University; University of Copenhagen; Wageningen University &amp; Research; Qatar University; Stanford University; UiT The Arctic University of Tromso; Mae Fah Luang University; Estonian University of Life Sciences; University of Ilorin; University of Gothenburg; Syracuse University; State University of New York (SUNY) System; State University of New York (SUNY) College of Environmental Science &amp; Forestry; Quaid I Azam University; University of the Free State; Ghent University; Goethe University Frankfurt; Estonian University of Life Sciences; Chinese Academy of Sciences; Kunming Institute of Botany, CAS; Free University of Berlin; Czech Academy of Sciences; Institute of Microbiology of the Czech Academy of Sciences; University of Gothenburg; Universidad Nacional Autonoma de Mexico; Universidad Austral de Chile; King Saud University; Lomonosov Moscow State University; United Arab Emirates University; Seoul National University (SNU); Seoul National University (SNU); Hasselt University; Royal Botanic Gardens, Kew; University of Tartu</t>
  </si>
  <si>
    <t>Tedersoo, L (通讯作者)，Univ Tartu, Mycol &amp; Microbiol Ctr, Tartu, Estonia.</t>
  </si>
  <si>
    <t>leho.tedersoo@ut.ee</t>
  </si>
  <si>
    <t>Bahram, Mohammad/A-9766-2010; Moora, Mari/D-1961-2009; Kurina, Olavi/A-8106-2013; Vasco, Aida/HJI-8776-2023; Delgado-Baquerizo, Manuel/L-3653-2017; Barrio, Isabel C/F-8566-2010; Espenberg, Mikk/U-3118-2019; Zobel, Martin/H-1336-2015; Prylutskyi, Oleh/AAX-7114-2020; Hyde, Kevin D/F-7890-2010; Biersma, Elisabeth Machteld/AAL-9818-2020; Marín, César/B-3596-2018; Macia-Vicente, Jose G./I-5665-2019; Ghosh, Soumya/B-1937-2019; Roslin, Tomas/E-8648-2016</t>
  </si>
  <si>
    <t>Bahram, Mohammad/0000-0002-9539-3307; Moora, Mari/0000-0002-4819-7506; Kurina, Olavi/0000-0002-4858-4629; Delgado-Baquerizo, Manuel/0000-0002-6499-576X; Barrio, Isabel C/0000-0002-8120-5248; Espenberg, Mikk/0000-0003-0469-6394; Zobel, Martin/0000-0001-7957-6704; Prylutskyi, Oleh/0000-0001-5730-517X; Biersma, Elisabeth Machteld/0000-0002-9877-2177; Marín, César/0000-0002-2529-8929; Macia-Vicente, Jose G./0000-0002-7174-7270; Netherway, Tarquin/0000-0002-9049-9225; Ghosh, Soumya/0000-0002-4945-3516; Roslin, Tomas/0000-0002-2957-4791; Gryzenhout, Marieka/0000-0002-9224-4277; Alvarez-Manjarrez, Julieta/0000-0002-5581-7443</t>
  </si>
  <si>
    <t>Estonian Science Foundation [PRG632, PRG1170, PRG1615, MOBTP198]; EEA Financial Mechanism Baltic Research Programme [EMP442]; Novo Nordisk Fonden [NNF20OC0059948]</t>
  </si>
  <si>
    <t>Estonian Science Foundation; EEA Financial Mechanism Baltic Research Programme; Novo Nordisk Fonden(Novo Nordisk Foundation)</t>
  </si>
  <si>
    <t>The full acknowledgements are provided in Table S6. The bulk of the funding is derived from the Estonian Science Foundation (grants PRG632, PRG1170, PRG1615, MOBTP198), EEA Financial Mechanism Baltic Research Programme (EMP442), and Novo Nordisk Fonden (NNF20OC0059948). All collected soil samples are preserved in collection of DNA and environmental samples of University of Tartu Natural History Museum.</t>
  </si>
  <si>
    <t>WILEY</t>
  </si>
  <si>
    <t>HOBOKEN</t>
  </si>
  <si>
    <t>111 RIVER ST, HOBOKEN 07030-5774, NJ USA</t>
  </si>
  <si>
    <t>1354-1013</t>
  </si>
  <si>
    <t>1365-2486</t>
  </si>
  <si>
    <t>GLOBAL CHANGE BIOL</t>
  </si>
  <si>
    <t>Glob. Change Biol.</t>
  </si>
  <si>
    <t>10.1111/gcb.16398</t>
  </si>
  <si>
    <t>Biodiversity Conservation; Ecology; Environmental Sciences</t>
  </si>
  <si>
    <t>Biodiversity &amp; Conservation; Environmental Sciences &amp; Ecology</t>
  </si>
  <si>
    <t>5J0GL</t>
  </si>
  <si>
    <t>WOS:000849544200001</t>
  </si>
  <si>
    <t>Wang, N; Li, CC; Kuang, LH; Wu, XM; Xie, KD; Zhu, AD; Xu, Q; Larkin, RM; Zhou, YF; Deng, XX; Guo, WW</t>
  </si>
  <si>
    <t>Wang, Nan; Li, Chaochao; Kuang, Lihua; Wu, Xiaomeng; Xie, Kaidong; Zhu, Andan; Xu, Qiang; Larkin, Robert M.; Zhou, Yongfeng; Deng, Xiuxin; Guo, Wenwu</t>
  </si>
  <si>
    <t>Pan-mitogenomics reveals the genetic basis of cytonuclear conflicts in citrus hybridization, domestication, and diversification</t>
  </si>
  <si>
    <t>PROCEEDINGS OF THE NATIONAL ACADEMY OF SCIENCES OF THE UNITED STATES OF AMERICA</t>
  </si>
  <si>
    <t>population genomics; domestication; cytonuclear; hybridization; citrus</t>
  </si>
  <si>
    <t>CYTOPLASMIC MALE-STERILITY; MITOCHONDRIAL GENOME; PLANT MITOCHONDRIAL; PATERNAL LEAKAGE; SILENE-VULGARIS; HETEROPLASMY; EVOLUTION; SELECTION; NUCLEAR; HISTORY</t>
  </si>
  <si>
    <t>Although interactions between the cytoplasmic and nuclear genomes occurred during diversification of many plants, the evolutionary conflicts due to cytonuclear interactions are poorly understood in crop breeding. Here, we constructed a pan-mitogenome and identified chimeric open reading frames (ORFs) generated by extensive structural variations (SVs). Meanwhile, short reads from 184 accessions of citrus species were combined to construct three variation maps for the nuclear, mitochondrial, and chloroplast genomes. The population genomic data showed discordant topologies between the cytoplasmic and nuclear genomes because of differences in mutation rates and levels of heteroplasmy from paternal leakage. An analysis of species-specific SVs indicated that mitochondrial heteroplasmy was common and that chloroplast heteroplasmy was undetectable. Interestingly, we found a prominent divergence in the mitogenomes and the highest genetic load in the, which may provide the basis for cytoplasmic male sterility (CMS) and thus influence the reshuffling of the cytoplasmic and nuclear genomes during hybridization. Using cytoplasmic replacement experiments, we identified a type of species-specific CMS in mandarin related to two chimeric mitochondrial genes. Our analyses indicate that cytoplasmic genomes from mandarin have rarely been maintained in hybrids and that paternal leakage produced very low levels of mitochondrial heteroplasmy in mandarin. A genome-wide association study (GWAS) provided evidence for three nuclear genes that encode pentatricopeptide repeat (PPR) proteins contributing to the cytonuclear interactions in the Citrus genus. Our study demonstrates the occurrence of evolutionary conflicts between cytoplasmic and nuclear genomes in citrus and has important implications for genetics and breeding.</t>
  </si>
  <si>
    <t>Wang, Nan</t>
  </si>
  <si>
    <t>[Wang, Nan; Li, Chaochao; Kuang, Lihua; Wu, Xiaomeng; Xie, Kaidong; Xu, Qiang; Larkin, Robert M.; Deng, Xiuxin; Guo, Wenwu] Huazhong Agr Univ, Key Lab Hort Plant Biol, Minist Educ, Wuhan 430070, Peoples R China; [Wang, Nan; Zhou, Yongfeng] Chinese Acad Agr Sci, Agr Genom Inst Shenzhen, Shenzhen Branch, Guangdong Lab Lingnan Modern Agr, Shenzhen 518124, Peoples R China; [Zhu, Andan] Chinese Acad Sci, Kunming Inst Bot, Germplasm Bank Wild Species, Kunming 650201, Yunnan, Peoples R China; [Xu, Qiang; Larkin, Robert M.; Deng, Xiuxin; Guo, Wenwu] Hubei Hongshan Lab, Wuhan 430070, Peoples R China</t>
  </si>
  <si>
    <t>Huazhong Agricultural University; China Construction Bank; Chinese Academy of Agricultural Sciences; Agriculture Genomes Institute at Shenzhen, CAAS; Guangdong Laboratory for Lingnan Modern Agriculture; Chinese Academy of Sciences; Kunming Institute of Botany, CAS</t>
  </si>
  <si>
    <t>Guo, WW (通讯作者)，Huazhong Agr Univ, Key Lab Hort Plant Biol, Minist Educ, Wuhan 430070, Peoples R China.;Guo, WW (通讯作者)，Hubei Hongshan Lab, Wuhan 430070, Peoples R China.</t>
  </si>
  <si>
    <t>guoww@mail.hzau.edu.cn</t>
  </si>
  <si>
    <t>, Robert/0000-0002-4665-3731; Xiuxin, Deng/0000-0003-4490-4514; Zhu, Andan/0000-0002-4417-565X; Xu, Qiang/0000-0003-1786-9696</t>
  </si>
  <si>
    <t>Ministry of Science and Technology of China [2018YFD1000106]; National Natural Science Foundation of China [31820103011, 31530065]; Foundation of Hubei Hongshan Laboratory [2021hszd009]</t>
  </si>
  <si>
    <t>Ministry of Science and Technology of China(Ministry of Science and Technology, China); National Natural Science Foundation of China(National Natural Science Foundation of China (NSFC)); Foundation of Hubei Hongshan Laboratory</t>
  </si>
  <si>
    <t>We thank the anonymous reviewers for helpful comments and suggestions. We also thank Dr. Sanwen Huang (Chinese Academy of Tropical Agricultural Sciences), Dr. Daniel Sloan (Colorado State University), and Dr. Jeffrey P. Mower (University of Nebraska-Lincoln) for discussions during the project. This research was financially supported by grants from the Ministry of Science and Technology of China (No. 2018YFD1000106), the National Natural Science Foundation of China (Nos. 31820103011 and 31530065), and the Foundation of Hubei Hongshan Laboratory (No. 2021hszd009).</t>
  </si>
  <si>
    <t>NATL ACAD SCIENCES</t>
  </si>
  <si>
    <t>2101 CONSTITUTION AVE NW, WASHINGTON, DC 20418 USA</t>
  </si>
  <si>
    <t>0027-8424</t>
  </si>
  <si>
    <t>1091-6490</t>
  </si>
  <si>
    <t>P NATL ACAD SCI USA</t>
  </si>
  <si>
    <t>Proc. Natl. Acad. Sci. U. S. A.</t>
  </si>
  <si>
    <t>OCT 19</t>
  </si>
  <si>
    <t>e2206076119</t>
  </si>
  <si>
    <t>10.1073/pnas.2206076119</t>
  </si>
  <si>
    <t>http://dx.doi.org/10.1073/pnas.2206076119</t>
  </si>
  <si>
    <t>7Y4CV</t>
  </si>
  <si>
    <t>WOS:000914830400001</t>
  </si>
  <si>
    <t>Luo, H; Hallen-Adams, HE; Luli, YJ; Sgambelluri, RM; Li, X; Smith, M; Yang, ZL; Martin, FM</t>
  </si>
  <si>
    <t>Luo, Hong; Hallen-Adams, Heather E.; Luli, Yunjiao; Sgambelluri, R. Michael; Li, Xuan; Smith, Miranda; Yang, Zhu L.; Martin, Francis M.</t>
  </si>
  <si>
    <t>Genes and evolutionary fates of the amanitin biosynthesis pathway in poisonous mushrooms</t>
  </si>
  <si>
    <t>Amanita; Galerina; Lepiota; genome; gene cluster</t>
  </si>
  <si>
    <t>ALPHA-AMANITIN; GALERINA-FASCICULATA; GENOME; BASIDIOMYCETE; TRANSCRIPTOME; PREDICTION; ALIGNMENT; REPEATS; LEPIOTA; FINDER</t>
  </si>
  <si>
    <t>The deadly toxin alpha-amanitin is a bicyclic octapeptide biosynthesized on ribosomes. A phylogenetically disjunct group of mushrooms in Agaricales (Amanita, Lepiota, and Galerina) synthesizes alpha-amanitin. This distribution of the toxin biosynthetic pathway is possibly related to the horizontal transfer of metabolic gene clusters among taxonomically unrelated mushrooms with overlapping habitats. Here, our work confirms that two biosynthetic genes, P450-29 and FMO1, are oxygenases important for amanitin biosynthesis. Phylogenetic and genetic analyses of these genes strongly support their origin through horizontal transfer, as is the case for the previously characterized biosynthetic genes MSDIN and POPB. Our analysis of multiple genomes showed that the evolution of the a-amanitin biosynthetic pathways in the poisonous agarics in the Amanita, Lepiota, and Galerina clades entailed distinct evolutionary pathways including gene family expansion, biosynthetic genes, and genomic rearrangements. Unrelated poisonous fungi produce the same deadly amanitin toxins using variations of the same pathway. Furthermore, the evolution of the amanitin biosynthetic pathway(s) in Amanita species generates a much wider range of toxic cyclic peptides. The results reported here expand our understanding of the genetics, diversity, and evolution of the toxin biosynthetic pathway in fungi.</t>
  </si>
  <si>
    <t>Luo, Hong</t>
  </si>
  <si>
    <t>[Luo, Hong; Luli, Yunjiao; Yang, Zhu L.] Chinese Acad Sci, Kunming Inst Bot, CAS Key Lab Plant Divers &amp; Biogeog East Asia, Kunming 650201, Yunnan, Peoples R China; [Luo, Hong; Yang, Zhu L.] Chinese Acad Sci, Kunming Inst Bot, Yunnan Key Lab Fungal Divers &amp; Green Dev, Kunming 650201, Yunnan, Peoples R China; [Hallen-Adams, Heather E.] Univ Nebraska, Dept Food Sci &amp; Technol, Lincoln, NE 68588 USA; [Luli, Yunjiao] Univ Chinese Acad Sci, Coll Life Sci, Beijing 100049, Peoples R China; [Sgambelluri, R. Michael] Michigan State Univ, Dept Energy Plant Res Lab, E Lansing, MI 48824 USA; [Sgambelluri, R. Michael; Smith, Miranda] Michigan State Univ, Dept Biochem &amp; Mol Biol, E Lansing, MI 48824 USA; [Li, Xuan] Kunming Univ Sci &amp; Technol, Dept Environm Sci &amp; Engn, Kunming 650091, Yunnan, Peoples R China; [Martin, Francis M.] Beijing Forestry Univ, Beijing Adv Innovat Ctr Tree Breeding Mol Design, Inst Microbiol, Beijing 100083, Peoples R China; [Martin, Francis M.] Univ Lorraine, Inst Natl Rech Agr Alimentat &amp; Environm, Unite Mixte Rech Interact Arbres Microorganismes, F-54280 Champenoux, France</t>
  </si>
  <si>
    <t>Chinese Academy of Sciences; Kunming Institute of Botany, CAS; Chinese Academy of Sciences; Kunming Institute of Botany, CAS; University of Nebraska System; University of Nebraska Lincoln; Chinese Academy of Sciences; University of Chinese Academy of Sciences, CAS; Michigan State University; Michigan State University; Kunming University of Science &amp; Technology; Beijing Forestry University; INRAE; Universite de Lorraine</t>
  </si>
  <si>
    <t>Luo, H (通讯作者)，Chinese Acad Sci, Kunming Inst Bot, CAS Key Lab Plant Divers &amp; Biogeog East Asia, Kunming 650201, Yunnan, Peoples R China.;Luo, H (通讯作者)，Chinese Acad Sci, Kunming Inst Bot, Yunnan Key Lab Fungal Divers &amp; Green Dev, Kunming 650201, Yunnan, Peoples R China.;Martin, FM (通讯作者)，Beijing Forestry Univ, Beijing Adv Innovat Ctr Tree Breeding Mol Design, Inst Microbiol, Beijing 100083, Peoples R China.;Martin, FM (通讯作者)，Univ Lorraine, Inst Natl Rech Agr Alimentat &amp; Environm, Unite Mixte Rech Interact Arbres Microorganismes, F-54280 Champenoux, France.</t>
  </si>
  <si>
    <t>luohong@mail.kib.ac.cn; francis.martin@inrae.fr</t>
  </si>
  <si>
    <t>Luo, Hong/0000-0003-2753-7337</t>
  </si>
  <si>
    <t>Strategic Priority Research Program of the Chinese Academy of Sciences [XDB31010000]; National Natural Science Foundation of China [31972477, 31772377]; International Partnership Program of the Chinese Academy of Sciences [151853KYSB20170026]; Scientific Research Foundation of the Kunming Institute of Botany, Chinese Academy of Sciences; Laboratory of Excellence ARBRE [ANR-11-LABX-0002-01]; Beijing Advanced Innovation Center for Tree Breeding by Molecular Design</t>
  </si>
  <si>
    <t>Strategic Priority Research Program of the Chinese Academy of Sciences(Chinese Academy of Sciences); National Natural Science Foundation of China(National Natural Science Foundation of China (NSFC)); International Partnership Program of the Chinese Academy of Sciences; Scientific Research Foundation of the Kunming Institute of Botany, Chinese Academy of Sciences; Laboratory of Excellence ARBRE; Beijing Advanced Innovation Center for Tree Breeding by Molecular Design</t>
  </si>
  <si>
    <t>This research was supported by the Strategic Priority Research Program of the Chinese Academy of Sciences (No. XDB31010000), the National Natural Science Foundation of China (No. 31972477, 31772377), the International Partnership Program of the Chinese Academy of Sciences (No. 151853KYSB20170026), and the Scientific Research Foundation of the Kunming Institute of Botany, Chinese Academy of Sciences. F.M.M.'s research is supported by the Laboratory of Excellence ARBRE (ANR-11-LABX-0002-01) and the Beijing Advanced Innovation Center for Tree Breeding by Molecular Design. Dr. Jonathan D. Walton has substantially contributed to this work over the past eight years. His saddening passing prevented him from approving the final version of this manuscript. At the request of his family, his name was not associated with the present paper, but we would like to acknowledge his outstanding contribution to this work and thank his family for everlasting support. In addition, we thank Dr. Qing Cai for her kind assistance with the divergence time analysis.</t>
  </si>
  <si>
    <t>MAY 17</t>
  </si>
  <si>
    <t>e2201113119</t>
  </si>
  <si>
    <t>10.1073/pnas.2201113119</t>
  </si>
  <si>
    <t>5P4RR</t>
  </si>
  <si>
    <t>WOS:000873140100013</t>
  </si>
  <si>
    <t>FREE1 takes its position in peroxisomal engulfment of lipid droplets</t>
  </si>
  <si>
    <t>PLANT CELL</t>
  </si>
  <si>
    <t>ESCRT COMPONENT</t>
  </si>
  <si>
    <t>caodc@ibcas.ac.cn</t>
  </si>
  <si>
    <t>Startup Funds for Recruited Young Talents from the Kunming Institute of Botany (KIB), Chinese Academy of Sciences; Germplasm Bank of Wild Species of KIB</t>
  </si>
  <si>
    <t>D.C. is supported by the Startup Funds for Recruited Young Talents from the Kunming Institute of Botany (KIB), Chinese Academy of Sciences, and a grant from the Germplasm Bank of Wild Species of KIB.</t>
  </si>
  <si>
    <t>OXFORD UNIV PRESS INC</t>
  </si>
  <si>
    <t>CARY</t>
  </si>
  <si>
    <t>JOURNALS DEPT, 2001 EVANS RD, CARY, NC 27513 USA</t>
  </si>
  <si>
    <t>1040-4651</t>
  </si>
  <si>
    <t>1532-298X</t>
  </si>
  <si>
    <t>Plant Cell</t>
  </si>
  <si>
    <t>OCT 27</t>
  </si>
  <si>
    <t>10.1093/plcell/koac259</t>
  </si>
  <si>
    <t>Biochemistry &amp; Molecular Biology; Plant Sciences; Cell Biology</t>
  </si>
  <si>
    <t>5S1RC</t>
  </si>
  <si>
    <t>WOS:000843183000001</t>
  </si>
  <si>
    <t>Huang, Y; Chen, JH; Dong, CA; Sosa, D; Xia, SQ; Ouyang, YD; Fan, CZ; Li, DZ; Mortola, E; Long, MY; Bergelson, J</t>
  </si>
  <si>
    <t>Huang, Yuan; Chen, Jiahui; Dong, Chuan; Sosa, Dylan; Xia, Shengqian; Ouyang, Yidan; Fan, Chuanzhu; Li, Dezhu; Mortola, Emily; Long, Manyuan; Bergelson, Joy</t>
  </si>
  <si>
    <t>Species-specific partial gene duplication in Arabidopsis thaliana evolved novel phenotypic effects on morphological traits under strong positive selection</t>
  </si>
  <si>
    <t>ADAPTIVE PROTEIN EVOLUTION; EXONUCLEASE 5; GENOME; POLYMORPHISM; ORIGIN; DNA; EXPRESSION; DROSOPHILA; DIVERSITY; ALIGNMENT</t>
  </si>
  <si>
    <t>A young gene produced by species-specific partial gene duplication quickly evolved critical developmental functions in Arabidopsis. Gene duplication is increasingly recognized as an important mechanism for the origination of new genes, as revealed by comparative genomic analysis. However, how new duplicate genes contribute to phenotypic evolution remains largely unknown, especially in plants. Here, we identified the new gene EXOV, derived from a partial gene duplication of its parental gene EXOVL in Arabidopsis thaliana. EXOV is a species-specific gene that originated within the last 3.5 million years and shows strong signals of positive selection. Unexpectedly, RNA-sequencing analyses revealed that, despite its young age, EXOV has acquired many novel direct and indirect interactions in which the parental gene does not engage. This observation is consistent with the high, selection-driven substitution rate of its encoded protein, in contrast to the slowly evolving EXOVL, suggesting an important role for EXOV in phenotypic evolution. We observed significant differentiation of morphological changes for all phenotypes assessed in genome-edited and T-DNA insertional single mutants and in double T-DNA insertion mutants in EXOV and EXOVL. We discovered a substantial divergence of phenotypic effects by principal component analyses, suggesting neofunctionalization of the new gene. These results reveal a young gene that plays critical roles in biological processes that underlie morphological evolution in A. thaliana.</t>
  </si>
  <si>
    <t>Huang, Yuan</t>
  </si>
  <si>
    <t>[Huang, Yuan] Yunnan Normal Univ, Sch Life Sci, Kunming, Yunnan, Peoples R China; [Huang, Yuan; Chen, Jiahui; Dong, Chuan; Sosa, Dylan; Xia, Shengqian; Mortola, Emily; Long, Manyuan; Bergelson, Joy] Univ Chicago, Dept Ecol &amp; Evolut, 940 E 57Th St, Chicago, IL 60637 USA; [Chen, Jiahui; Li, Dezhu] Chinese Acad Sci, Kunming Inst Bot, CAS Key Lab Plant Divers &amp; Biogeog East Asia, Kunming, Yunnan, Peoples R China; [Ouyang, Yidan] Huazhong Agr Univ, Natl Key Lab Crop Genet Improvement, Wuhan, Peoples R China; [Ouyang, Yidan] Huazhong Agr Univ, Natl Ctr Plant Gene Res, Hubei Hongshan Lab, Wuhan, Peoples R China; [Fan, Chuanzhu] Wayne State Univ, Dept Biol Sci, Detroit, MI 48202 USA</t>
  </si>
  <si>
    <t>Yunnan Normal University; University of Chicago; Chinese Academy of Sciences; Kunming Institute of Botany, CAS; Huazhong Agricultural University; Huazhong Agricultural University; Wayne State University</t>
  </si>
  <si>
    <t>Huang, Y (通讯作者)，Yunnan Normal Univ, Sch Life Sci, Kunming, Yunnan, Peoples R China.;Huang, Y; Long, MY; Bergelson, J (通讯作者)，Univ Chicago, Dept Ecol &amp; Evolut, 940 E 57Th St, Chicago, IL 60637 USA.</t>
  </si>
  <si>
    <t>huangyuan@mail.kib.ac.cn; mlong@uchicago.edu; jbergelson@uchicago.edu</t>
  </si>
  <si>
    <t>Xia, Shengqian/AAW-3922-2021; Li, De-Zhu/G-8203-2011</t>
  </si>
  <si>
    <t>Xia, Shengqian/0000-0002-9264-3649; Li, De-Zhu/0000-0002-4990-724X; Mortola, Emily/0000-0003-1473-5799; Long, Manyuan/0000-0002-6755-197X; Sosa, Dylan/0000-0003-3162-0643; Chen, Jiahui/0000-0003-4299-2688; Fan, Chuanzhu/0000-0002-1842-4560</t>
  </si>
  <si>
    <t>Strategic Priority Program of the Chinese Academy of Sciences [XDB31000000]; National Science Foundation [NSF1026200]; National Institutes of Health [R01GM83068]; Natural Science Foundation of China [31960050]; Chinese Academy of Sciences and China Scholarship Council</t>
  </si>
  <si>
    <t>Strategic Priority Program of the Chinese Academy of Sciences; National Science Foundation(National Science Foundation (NSF)); National Institutes of Health(United States Department of Health &amp; Human ServicesNational Institutes of Health (NIH) - USA); Natural Science Foundation of China(National Natural Science Foundation of China (NSFC)); Chinese Academy of Sciences and China Scholarship Council</t>
  </si>
  <si>
    <t>This study was supported by the grant from the Strategic Priority Program of the Chinese Academy of Sciences (No. XDB31000000) to D.L., the National Science Foundation (No. NSF1026200) to M.L., the National Institutes of Health (No. R01GM83068) to J.B., the Natural Science Foundation of China (No. 31960050) to Y.H., and the scholarship from the Chinese Academy of Sciences and China Scholarship Council to Y.H.</t>
  </si>
  <si>
    <t>FEB 3</t>
  </si>
  <si>
    <t>10.1093/plcell/koab291</t>
  </si>
  <si>
    <t>ZI2MG</t>
  </si>
  <si>
    <t>Green Submitted, Green Published, hybrid</t>
  </si>
  <si>
    <t>WOS:000761460300012</t>
  </si>
  <si>
    <t>Ehlers, TA; Chen, DL; Appel, E; Bolch, T; Chen, FH; Diekmann, B; Dippold, MA; Giese, M; Guggenberger, G; Lai, HW; Li, X; Liu, JG; Liu, YQ; Ma, YM; Miehe, G; Mosbrugger, V; Mulch, A; Piao, SL; Schwalb, A; Thompson, LG; Su, ZB; Sun, H; Yao, TD; Yang, XX; Yang, K; Zhu, LP</t>
  </si>
  <si>
    <t>Ehlers, Todd A.; Chen, Deliang; Appel, Erwin; Bolch, Tobias; Chen, Fahu; Diekmann, Bernhard; Dippold, Michaela A.; Giese, Markus; Guggenberger, Georg; Lai, Hui -Wen; Li, Xin; Liu, Junguo; Liu, Yongqin; Ma, Yaoming; Miehe, Georg; Mosbrugger, Volker; Mulch, Andreas; Piao, Shilong; Schwalb, Antje; Thompson, Lonnie G.; Su, Zhongbo; Sun, Hang; Yao, Tandong; Yang, Xiaoxin; Yang, Kun; Zhu, Liping</t>
  </si>
  <si>
    <t>Past, present, and future geo-biosphere interactions on the Tibetan Plateau and implications for permafrost</t>
  </si>
  <si>
    <t>EARTH-SCIENCE REVIEWS</t>
  </si>
  <si>
    <t>Tibetan Plateau; Permafrost; Global change; Ecology; Degradation; Management</t>
  </si>
  <si>
    <t>ISOTOPE STAGE 11; KOBRESIA-PYGMAEA ECOSYSTEM; GLACIER MASS-BALANCE; SOIL ORGANIC-CARBON; CLIMATE-CHANGE; VEGETATION COVER; CHANGING VEGETATION; COASTAL CORDILLERA; TRANSIENT CLIMATE; ALPINE GRASSLAND</t>
  </si>
  <si>
    <t>Interactions between the atmosphere, biosphere, cryosphere, hydrosphere, and geosphere are most active in the critical zone, a region extending from the tops of trees to the top of unweathered bedrock. Changes in one or more of these spheres can result in a cascade of changes throughout the system in ways that are often poorly understood. Here we investigate how past and present climate change have impacted permafrost, hydrology, and ecosystems on the Tibetan Plateau. We do this by compiling existing climate, hydrologic, cryosphere, biosphere, and geologic studies documenting change over decadal to glacial-interglacial timescales and longer. Our emphasis is on showing present-day trends in environmental change and how plateau ecosystems have largely flourished under warmer and wetter periods in the geologic past. We identify two future pathways that could lead to either a favorable greening or unfavorable degradation and desiccation of plateau ecosystems. Both paths are plausible given the available evidence. We contend that the key to which pathway future generations experience lies in what, if any, human intervention measures are implemented. We conclude with suggested management strategies that can be implemented to facilitate a future greening of the Tibetan Plateau.</t>
  </si>
  <si>
    <t>Ehlers, Todd A.</t>
  </si>
  <si>
    <t>[Ehlers, Todd A.; Appel, Erwin; Dippold, Michaela A.] Univ Tubingen, Dept Geosci, D-72076 Tubingen, Germany; [Chen, Deliang; Giese, Markus; Lai, Hui -Wen] Univ Gothenburg, Dept Earth Sci, S-40530 Gothenburg, Sweden; [Bolch, Tobias] Univ St Andrews, Sch Geog &amp; Sustainable Dev, St Andrews KY16 9AL, Scotland; [Chen, Fahu] Chinese Acad Sci, Inst Tibetan Plateau Res, State Key Lab Tibetan Plateau Earth Syst, Grp Alpine Paleoecol &amp; Human Adaptat ALPHA, Beijing 100101, Peoples R China; [Diekmann, Bernhard] Alfred Wegener Inst Helmholtz, Zent Polar und Meeresforschung, Telegrafenberg A45, D-14473 Potsdam, Germany; [Guggenberger, Georg] Leibniz Univ Hannover, Inst Soil Sci, Herrenhauser Str 2, D-30419 Hannover, Germany; [Li, Xin; Zhu, Liping] Chinese Acad Sci, Inst Tibetan Plateau Res, Beijing, Peoples R China; [Liu, Junguo] Southern Univ Sci &amp; Technol, Sch Environm Sci &amp; Engn, Shenzhen 518055, Peoples R China; [Liu, Yongqin] Lanzhou Univ, Ctr Pan Pole Environm 3, Lanzhou 730000, Peoples R China; [Ma, Yaoming] Chinese Acad Sci, Inst Tibetan Plateau Res, State Key Lab Tibetan Plateau Earth Syst, Land Atmosphere Interact &amp; its Climat Effects Grp, Beijing 100101, Peoples R China; [Ma, Yaoming] Univ Chinese Acad Sci, Coll Earth Sci, Beijing 100049, Peoples R China; [Ma, Yaoming] Lanzhou Univ, Coll Atmospher Sci, Lanzhou 730000, Peoples R China; [Miehe, Georg] Marburg Univ, Fac Geog, Deutschhausstr 10, D-35032 Marburg, Germany; [Mosbrugger, Volker] Senckenberg Gesell Nat Forsch, Senckenberganlage 25, D-60325 Frankfurt, Germany; [Mulch, Andreas] Senckenberg Biodivers &amp; Climate Res Ctr, Senckenberganlage 25, D-60325 Frankfurt, Germany; [Piao, Shilong] Peking Univ, Sino French Inst Earth Syst Sci, Coll Urban &amp; Environm Sci, Beijing 100871, Peoples R China; [Schwalb, Antje] Tech Univ Carolo Wilhelmina Braunschweig, Inst Geosyst &amp; Bioindicat, D-38106 Braunschweig, Germany; [Thompson, Lonnie G.] Ohio State Univ, Climate Res Ctr, Sch Earth Sci &amp; Byrd Polar, Columbus, OH 43210 USA; [Su, Zhongbo] Univ Twente, Fac Geoinformat Sci &amp; Earth Observat ITC, Enschede, Netherlands; [Sun, Hang] Chinese Acad Sci, Kunming Inst Bot, CAS Key Lab Plant Divers &amp; Biogeog East Asia, Kunming 650201, Peoples R China; [Yao, Tandong] Chinese Acad Sci, Inst Tibetan Plateau Res, State Key Lab Tibetan Plateau Earth Syst, Resources &amp; Environm, Beijing, Peoples R China; [Yang, Xiaoxin] Chinese Acad Sci, Inst Tibetan Plateau Res, Beijing 100101, Peoples R China; [Yang, Kun] Tsinghua Univ, Inst Global Change Studies, Dept Earth Syst Sci, Minist Educ Key Lab Earth Syst Modeling, Beijing, Peoples R China; [Mulch, Andreas] Goethe Univ Frankfurt, Inst Geosci, D-60438 Frankfurt, Germany</t>
  </si>
  <si>
    <t>Eberhard Karls University of Tubingen; University of Gothenburg; University of St Andrews; Chinese Academy of Sciences; Institute of Tibetan Plateau Research, CAS; Helmholtz Association; Alfred Wegener Institute, Helmholtz Centre for Polar &amp; Marine Research; Leibniz University Hannover; Chinese Academy of Sciences; Institute of Tibetan Plateau Research, CAS; Southern University of Science &amp; Technology; Lanzhou University; Chinese Academy of Sciences; Institute of Tibetan Plateau Research, CAS; Chinese Academy of Sciences; University of Chinese Academy of Sciences, CAS; Lanzhou University; Senckenberg Gesellschaft fur Naturforschung (SGN); Senckenberg Biodiversitat &amp; Klima- Forschungszentrum (BiK-F); Senckenberg Gesellschaft fur Naturforschung (SGN); Peking University; Braunschweig University of Technology; University System of Ohio; Ohio State University; University of Twente; Chinese Academy of Sciences; Kunming Institute of Botany, CAS; Chinese Academy of Sciences; Institute of Tibetan Plateau Research, CAS; Chinese Academy of Sciences; Institute of Tibetan Plateau Research, CAS; Tsinghua University; Goethe University Frankfurt</t>
  </si>
  <si>
    <t>Ehlers, TA (通讯作者)，Univ Tubingen, Dept Geosci, D-72076 Tubingen, Germany.</t>
  </si>
  <si>
    <t>todd.ehlers@uni-tuebingen.de; deliang@gvc.gu.se; erwin.appel@uni-tuebingen.de; tobias.bolch@st-andrews.ac.uk; fhchen@itpcas.ac.cn; bernhard.diekmann@awi.de; michaela.dippold@uni-tuebingen.de; markus.giese@gu.se; guggenberger@ifbk.uni-hannover.de; hui-wen.lai@gu.se; xinli@itpcas.ac.cn; liujg@sustech.edu.cn; yql@lzu.edu.cn; ymma@itpcas.ac.cn; miehe@staff.uni-marburg.de; vj.mosbrugger@senckenberg.de; andreas.mulch@senckenberg.de; slpiao@pku.edu.cn; antje.schwalb@tu-braunschweig.de; thomson.3@osu.edu; z.su@utwente.nl; sunhang@mail.kib.ac.cn; tdyao@itpcas.ac.cn; yangk@tsinghua.edu.cn; yangk@tsinghua.edu.cn; lpzhu@itpcas.ac.cn</t>
  </si>
  <si>
    <t>Li, Xin/F-7473-2011; Yang, Kun/G-8390-2011; Bolch, Tobias/A-1935-2008</t>
  </si>
  <si>
    <t>Li, Xin/0000-0003-2999-9818; Yang, Kun/0000-0002-0809-2371; Giese, Markus/0000-0002-5786-4841; Bolch, Tobias/0000-0002-8201-5059; Dippold, Michaela/0000-0002-3657-4693</t>
  </si>
  <si>
    <t>Strategic Priority Research Program of the Chinese Academy of Sciences [XDA20060402, XDA20100300]; Henan Provincial Key Laboratory of Hydro-sphere and Watershed Water Security; California Institute of Technology Moore Distinguished Scholar Program; German Science Foundation (DFG) [SPP-1372]</t>
  </si>
  <si>
    <t>Strategic Priority Research Program of the Chinese Academy of Sciences(Chinese Academy of Sciences); Henan Provincial Key Laboratory of Hydro-sphere and Watershed Water Security; California Institute of Technology Moore Distinguished Scholar Program; German Science Foundation (DFG)(German Research Foundation (DFG))</t>
  </si>
  <si>
    <t>This manuscript resulted from a Workshop in 2019 at the Sencken-berg Research Institute and Natural History Museum Frankfurt, Ger-many, supported by the Strategic Priority Research Program of the Chinese Academy of Sciences (Grant No. XDA20100300). J. Liu also thanks the support of the Henan Provincial Key Laboratory of Hydro-sphere and Watershed Water Security. T. Ehlers thanks the California Institute of Technology Moore Distinguished Scholar Program for sup-port in completing this manuscript during a sabbatical. J. Liu and T. Bolch thank the support from the Strategic Priority Research Program of the Chinese Academy of Sciences (grants no. XDA20060402, XDA20100300). We thank the German Science Foundation (DFG) for support of the TiP (Tibetan Plateau: Formation-Climate-Ecoystems) priority research program (SPP-1372) for initiating the collaborations that led to this manuscript. We thank R. Wasmund for logistical assis-tance in preparing this manuscript. Www.vecteezy.com provided clip art used in Fig. 9. Finally, we thank two anonymous reviewers for constructive comments that improved the manuscript.</t>
  </si>
  <si>
    <t>0012-8252</t>
  </si>
  <si>
    <t>1872-6828</t>
  </si>
  <si>
    <t>EARTH-SCI REV</t>
  </si>
  <si>
    <t>Earth-Sci. Rev.</t>
  </si>
  <si>
    <t>10.1016/j.earscirev.2022.104197</t>
  </si>
  <si>
    <t>Geosciences, Multidisciplinary</t>
  </si>
  <si>
    <t>Geology</t>
  </si>
  <si>
    <t>5Y1RX</t>
  </si>
  <si>
    <t>hybrid, Green Published</t>
  </si>
  <si>
    <t>WOS:000879068000001</t>
  </si>
  <si>
    <t>Yang, MX; Wang, LS; Miao, CC; Scheidegger, C</t>
  </si>
  <si>
    <t>Yang, M. X.; Wang, L. S.; Miao, C. C.; Scheidegger, C.</t>
  </si>
  <si>
    <t>From cradle to grave? A global hotspot and new species of the genus Lobaria discovered in the Himalayas and the Hengduan Mountains</t>
  </si>
  <si>
    <t>PERSOONIA</t>
  </si>
  <si>
    <t>East Asia; evolution; lichen-forming ascomycetes; Lobaria; multi-locus phylogeny; new taxa</t>
  </si>
  <si>
    <t>LATE MIOCENE; ASCOMYCOTA; PHYLOGENY; FUNGI; PELTIGERALES; TREBOUXIOPHYCEAE; CLASSIFICATION; BASIDIOMYCOTA; RECOGNITION; PULMONARIA</t>
  </si>
  <si>
    <t>In this study, the East Asian diversity of green-algal Lobaria was evaluated by applying both morphologi-cal and phylogenetic approaches. A multi-locus phylogenetic analysis of 72 green-algal Lobaria specimens was performed using a three-locus and time-calibrated species-tree approach. The analyses demonstrate that pairs of sexually and vegetatively reproducing lineages split into highly supported monophyletic clades. Taxonomically, 11 green-algal Lobaria species were identified as new to science, while 10 were previously described species. The species differentiated during the Pliocene and Pleistocene. The coincidence of paleoclimatic events with estimated dates of divergence support a bioclimatic hypothesis for species evolution in the green-algal Lobaria. Molecular phylogenies, a summary of diversity, detailed new species descriptions and geographical analyses are provided. Special recognition of species with a long evolutionary history, which merit high conservation priority, will be critical for preserving geographically restricted endemics in the Himalayas and the Hengduan Mountains, where habitat loss is driving rapid declines.</t>
  </si>
  <si>
    <t>Yang, M. X.</t>
  </si>
  <si>
    <t>[Yang, M. X.; Miao, C. C.; Scheidegger, C.] Swiss Fed Inst Forest, Biodivers &amp; Conservat Biol, Snow &amp; Landscape Res WSL, Zurcherstr 111, CH-8903 Birmensdorf, Switzerland; [Yang, M. X.] Univ Bern, Inst Plant Sci, Altenbergrain 21, CH-3013 Bern, Switzerland; [Yang, M. X.] Hong Kong Univ Sci &amp; Technol, Div Life Sci &amp; Ctr Chinese Med, Hong Kong, Peoples R China; [Wang, L. S.; Miao, C. C.] Chinese Acad Sci, Kunming Inst Bot, Key Lab Plant Div &amp; Biogeog East Asia, Lanhei Rd 132, Kunming 650201, Yunnan, Peoples R China; [Miao, C. C.] Shandong Normal Univ, Coll Life Sci, Key Lab Plant Stress Res, Jinan 250014, Shandong, Peoples R China</t>
  </si>
  <si>
    <t>Swiss Federal Institutes of Technology Domain; Swiss Federal Institute for Forest, Snow &amp; Landscape Research; University of Bern; Hong Kong University of Science &amp; Technology; Chinese Academy of Sciences; Kunming Institute of Botany, CAS; Shandong Normal University</t>
  </si>
  <si>
    <t>Yang, MX; Scheidegger, C (通讯作者)，Swiss Fed Inst Forest, Biodivers &amp; Conservat Biol, Snow &amp; Landscape Res WSL, Zurcherstr 111, CH-8903 Birmensdorf, Switzerland.;Yang, MX (通讯作者)，Univ Bern, Inst Plant Sci, Altenbergrain 21, CH-3013 Bern, Switzerland.;Yang, MX (通讯作者)，Hong Kong Univ Sci &amp; Technol, Div Life Sci &amp; Ctr Chinese Med, Hong Kong, Peoples R China.</t>
  </si>
  <si>
    <t>mxyang@ust.hk; christoph.scheidegger@wsl.ch</t>
  </si>
  <si>
    <t>Swiss National Science Foundation [JRP IZ70Z0_131338/1]; National Natural Science Foundation of China [31970022, 31670028]; Second Tibetan Plateau Scientific Expedition and Research Program [2019QZKK0503]; China Scholarship Council</t>
  </si>
  <si>
    <t>Swiss National Science Foundation(Swiss National Science Foundation (SNSF)European Commission); National Natural Science Foundation of China(National Natural Science Foundation of China (NSFC)); Second Tibetan Plateau Scientific Expedition and Research Program; China Scholarship Council(China Scholarship Council)</t>
  </si>
  <si>
    <t>We sincerely thank Xinyu Wang at the Lichen Funga- rium of the Kunming Institute of Botany, CAS for providing sampling support, Christine Keller for providing chemical diagnostic features, Melissa Dawes for careful linguistic revision of the manuscript, and Markus Schlegel for guidance in the use of the PartitionFinder software. This work was supported by the Swiss National Science Foundation (grant JRP IZ70Z0_131338/1 to CS) , the National Natural Science Foundation of China (No. 31970022, 31670028) , the Second Tibetan Plateau Scientific Expedition and Research Program (No. 2019QZKK0503) , and the China Scholarship Council.</t>
  </si>
  <si>
    <t>RIJKSHERBARIUM</t>
  </si>
  <si>
    <t>LEIDEN</t>
  </si>
  <si>
    <t>PO BOX 9514, 2300 RA LEIDEN, NETHERLANDS</t>
  </si>
  <si>
    <t>0031-5850</t>
  </si>
  <si>
    <t>Persoonia</t>
  </si>
  <si>
    <t>JUN</t>
  </si>
  <si>
    <t>10.3767/persoonia.2022.48.04</t>
  </si>
  <si>
    <t>3T5TV</t>
  </si>
  <si>
    <t>Green Accepted, hybrid, Green Submitted</t>
  </si>
  <si>
    <t>WOS:000840337400001</t>
  </si>
  <si>
    <t>Gao, JB; Zhou, WJ; Liu, YT; Sha, LQ; Song, QH; Lin, YX; Yu, GR; Zhang, JH; Zheng, XH; Fang, YT; Grace, J; Zhao, JB; Xu, JC; Gui, H; Sinclair, F; Zhang, YP</t>
  </si>
  <si>
    <t>Gao, Jinbo; Zhou, Wenjun; Liu, Yuntong; Sha, Liqing; Song, Qinghai; Lin, Youxing; Yu, Guirui; Zhang, Junhui; Zheng, Xunhua; Fang, Yunting; Grace, John; Zhao, Junbin; Xu, Jianchu; Gui, Heng; Sinclair, Fergus; Zhang, Yiping</t>
  </si>
  <si>
    <t>Litter-derived nitrogen reduces methane uptake in tropical rainforest soils</t>
  </si>
  <si>
    <t>SCIENCE OF THE TOTAL ENVIRONMENT</t>
  </si>
  <si>
    <t>Methane; inorganic nitrogen content; Litter decomposition; Litter removal; Tropical rainforest</t>
  </si>
  <si>
    <t>GREENHOUSE-GAS FLUXES; RUBBER PLANTATION; CARBON-DIOXIDE; AMMONIUM INHIBITION; ATMOSPHERE EXCHANGE; N2O EMISSIONS; NITRIC-OXIDE; CH4; CO2; CONSUMPTION</t>
  </si>
  <si>
    <t>Litter comprises a major nutrient source when decomposed via soil microbes and functions as subtract that limits gas exchange between soil and atmosphere, thereby restricting methane (CH4) uptake in soils. However, the impact and inherent mechanism of litter and its decomposition on CH4 uptake in soils remains unknown in forest. Therefore, to declare the mechanisms of litter input and decomposition effect on the soil CH4 flux in forest, this study performed a litter-removal experiment in a tropical rainforest, and investigated the effects of litter input and decomposition on the CH4 flux among forest ecosystems through a literature review. Cumulative annual CH4 flux was -3.30 kg CH4 C ha(-1) y(-1). The litter layer decreased annual accumulated CH4 uptake by 8% which greater in the rainy season than the dry season in the tropical rainforest. Litter decomposition and the input of carbon and nitrogen in litter biomass reduced CH4 uptake significantly and the difference in CH4 flux between treatment with litter and without litter was negatively associated with N derived from litter input. Based on the literature review about litter effect on soil CH4 around world forests, the effect of litter dynamics on CH4 uptake was regulated by litter-derived nitrogen input and the amount soil inorganic nitrogen content. Our results suggest that nitrogen input via litter decomposition, which increased with temperature, caused a decline in CH4 uptake by forest soils, which could weaken the contribution of the forest in mitigating global warming.</t>
  </si>
  <si>
    <t>Gao, Jinbo</t>
  </si>
  <si>
    <t>[Gao, Jinbo; Zhou, Wenjun; Liu, Yuntong; Sha, Liqing; Song, Qinghai; Lin, Youxing; Zhang, Yiping] Chinese Acad Sci, Xishuangbanna Trop Bot Garden, CAS Key Lab Trop Forest Ecol, Mengla, Peoples R China; [Gao, Jinbo; Liu, Yuntong] Yuxi Normal Univ, Sch Chem Biol &amp; Environm, Yuxi, Peoples R China; [Gao, Jinbo; Zhou, Wenjun; Liu, Yuntong; Sha, Liqing; Song, Qinghai; Lin, Youxing; Zhang, Yiping] Chinese Acad Sci, Core Bot Gardens, Ctr Plant Ecol, Xishuangbanna, Peoples R China; [Gao, Jinbo; Zhou, Wenjun; Liu, Yuntong; Sha, Liqing; Song, Qinghai; Zhang, Yiping] Chinese Ecosyst Res Net, Xishuangbanna Stn Trop Rain Forest Ecosyst Studie, Mengla, Peoples R China; [Yu, Guirui] Chinese Acad Sci, Inst Geog Sci &amp; Nat Resources Res, Beijing, Peoples R China; [Zhang, Junhui] Chinese Acad Sci, Inst Appl Ecol, Key Lab Forest Ecol &amp; Management, Shenyang, Peoples R China; [Zheng, Xunhua] Chinese Acad Sci, Inst Atmospher Phys, State Key Lab Atmospher Boundary Layer Phys &amp; Atm, Beijing, Peoples R China; [Fang, Yunting] Chinese Acad Sci, Inst Appl Ecol, Shenyang, Peoples R China; [Grace, John] Univ Edinburgh, Sch GeoSci, Edinburgh, Midlothian, Scotland; [Zhao, Junbin] Norwegian Inst Bioecon Res, Dept Biogeochem &amp; Soil Qual, Hogskoleveien 8, N-1433 As, Norway; [Gao, Jinbo; Zhou, Wenjun; Sha, Liqing; Song, Qinghai; Lin, Youxing; Yu, Guirui; Zhang, Junhui; Zheng, Xunhua; Fang, Yunting; Zhang, Yiping] Univ Chinese Acad Sci, Beijing 100039, Peoples R China; [Xu, Jianchu; Gui, Heng] Chinese Acad Sci, Kunming Inst Bot, Ctr Mt Futures CMF, Beijing, Peoples R China; [Xu, Jianchu] World Agroforestry Ctr ICRAF, East &amp; Cent Asia Reg Off, Kunming 650201, Yunnan, Peoples R China; [Sinclair, Fergus] World Agroforestry Ctr ICRAF, United Nations Ave,POB 30677-00100, Nairobi, Kenya</t>
  </si>
  <si>
    <t>Chinese Academy of Sciences; Xishuangbanna Tropical Botanical Garden, CAS; Yuxi Normal University; Chinese Academy of Sciences; Chinese Academy of Sciences; Institute of Geographic Sciences &amp; Natural Resources Research, CAS; Chinese Academy of Sciences; Shenyang Institute of Applied Ecology, CAS; Chinese Academy of Sciences; Institute of Atmospheric Physics, CAS; Chinese Academy of Sciences; Shenyang Institute of Applied Ecology, CAS; University of Edinburgh; Norwegian Institute of Bioeconomy Research; Chinese Academy of Sciences; University of Chinese Academy of Sciences, CAS; Chinese Academy of Sciences; Kunming Institute of Botany, CAS; CGIAR; World Agroforestry (ICRAF)</t>
  </si>
  <si>
    <t>Zhou, WJ; Zhang, YP (通讯作者)，Chinese Acad Sci, Xishuangbanna Trop Bot Garden, CAS Key Lab Trop Forest Ecol, Mengla, Peoples R China.;Zhou, WJ; Zhang, YP (通讯作者)，Univ Chinese Acad Sci, Beijing 100039, Peoples R China.</t>
  </si>
  <si>
    <t>zhouwj@xtbg.ac.cn; yipingzh@xtbg.ac.cn</t>
  </si>
  <si>
    <t>Fang, Yunting/G-4456-2012; Grace, John/N-9280-2013</t>
  </si>
  <si>
    <t xml:space="preserve">Fang, Yunting/0000-0001-7531-546X; </t>
  </si>
  <si>
    <t>National Natural Science Foundation of China [42073080, 31870467, 31770528, 42165009]; National Natural Science Foundation of China and Thailand Research Fund (NSFCTRF) [41961144017]; Scientific Research Funding of Yunnan Provincial Department of Education [2020J0645]; Yunnan Provincial Department of Scientific and Technology China [202205AC160045]; CAS Key Laboratory of Tropical Forest Ecology</t>
  </si>
  <si>
    <t>National Natural Science Foundation of China(National Natural Science Foundation of China (NSFC)); National Natural Science Foundation of China and Thailand Research Fund (NSFCTRF); Scientific Research Funding of Yunnan Provincial Department of Education; Yunnan Provincial Department of Scientific and Technology China; CAS Key Laboratory of Tropical Forest Ecology</t>
  </si>
  <si>
    <t>The authors declare no competing interests. All data, generated or analysed during this study, are included in this article and the supporting information. This workwas supported by National Natural Science Foundation of China (42073080, 31870467, 31770528, 42165009), the National Natural Science Foundation of China and Thailand Research Fund (NSFCTRF) (41961144017), the Scientific Research Funding of Yunnan Provincial Department of Education (2020J0645) and Yunnan Provincial Department of Scientific and Technology (202205AC160045) China and Open Funding from CAS Key Laboratory of Tropical Forest Ecology. We also thank the postdoctoral project (2021) of Department of Human Resources and Social Security of Yunnan. We appreciate the staffs and technicians of the Xishuangbanna Station for Tropical Rain Forest Ecosystem Studies and students of the Climate Change Research Group, XTBG, CAS, for helping with field work. We also thank Institutional Center for Shared Technologies and Facilities of XTBG, CAS for helping us with the soil and litter analyses.</t>
  </si>
  <si>
    <t>0048-9697</t>
  </si>
  <si>
    <t>1879-1026</t>
  </si>
  <si>
    <t>SCI TOTAL ENVIRON</t>
  </si>
  <si>
    <t>Sci. Total Environ.</t>
  </si>
  <si>
    <t>NOV 25</t>
  </si>
  <si>
    <t>10.1016/j.scitotenv.2022.157891</t>
  </si>
  <si>
    <t>Environmental Sciences</t>
  </si>
  <si>
    <t>5Z8II</t>
  </si>
  <si>
    <t>WOS:000880210200009</t>
  </si>
  <si>
    <t>Wang, ZH; Liu, X; Zhou, WJ; Sinclair, F; Shi, LL; Xu, JC; Gui, H</t>
  </si>
  <si>
    <t>Wang, Zhenghong; Liu, Xiang; Zhou, Wenjun; Sinclair, Fergus; Shi, Lingling; Xu, Jianchu; Gui, Heng</t>
  </si>
  <si>
    <t>Land use intensification in a dry-hot valley reduced the constraints of water content on soil microbial diversity and multifunctionality but increased CO2 production</t>
  </si>
  <si>
    <t>Ecological transformation; Metagenomic sequencing; Community composition; Multifunctionality; Microbial respiration</t>
  </si>
  <si>
    <t>CARBON USE EFFICIENCY; COMMUNITY COMPOSITION; CD-HIT; ECOSYSTEM; BIOMASS; RESPIRATION; RESPONSES; NITROGEN; BIODIVERSITY; ELEVATION</t>
  </si>
  <si>
    <t>Conversion of abandoned land (mainly savanna) into cropland generally occurs in fragile ecosystems such as dry-hot valleys (DHVs) in southwest China, with the intent of increasing land productivity and conducting ecological restoration. However, the effects of conversion on soil microbial communities and carbon turnover of savanna ecosystems remain unclear, since savannas could be a vital but overlooked carbon sink. To illustrate the ecological consequences of land-use change (LUC) for savanna ecosystems, a 1-year field experiment was conducted in DHVs of southwest China. The soil properties, microbial respiration, and metagenomics from two different land-use types (grassland and mango plantation) were examined to reveal the effects of regional LUC on soil C turnover and microbial traits. Conversion from degraded grassland into cropland increased the contribution of soil microclimate to the microbial community composition, reduced the constraints of soil water content (SWC), and further decreased nutrient availability. LUC reshaped the composition and structure of soil bacterial communities. Specifically, soil dominant microbes that belonged to Actinobacteria and Proteobacteria were significantly enriched by conversion, while rare microbes that belonged to a wider range of phyla were generally depleted, leading to an overall decrease in community diversity. In addition, LUC-induced changes in soil characteristics and microbial communities further decreased soil multifunctionality as well as the carbon use efficiency of microbes. Intensified microbial respiration and a significant increase in the soil CO2 efflux were observed following LUC, which could drive changes in soil microbial community composition and functions (such as growth and regeneration). In summary, through simultaneously reducing constraints on SWC and decreasing nutrient availability, conversion from degraded grassland to cropland in a DHV decreased soil microbial diversity and multifunctionality, and increased microbial respiration and soil CO2 efflux. Our study provides new insights for understanding the role and mechanisms of LUC in soil carbon turnover in ecologically fragile areas such as DHVs.</t>
  </si>
  <si>
    <t>Wang, Zhenghong</t>
  </si>
  <si>
    <t>[Wang, Zhenghong; Shi, Lingling; Xu, Jianchu; Gui, Heng] Chinese Acad Sci, Kunming Inst Bot, Dept Econ Plants &amp; Biotechnol, Yunnan Key Lab Wild Plant Resources, Kunming 650201, Peoples R China; [Wang, Zhenghong; Shi, Lingling; Xu, Jianchu; Gui, Heng] Chinese Acad Sci, Kunming Inst Bot, Ctr Mt Futures CMF, Kunming 650201, Peoples R China; [Wang, Zhenghong] Southern Univ Sci &amp; Technol, Inst Plant &amp; Food Sci, Sch Life Sci, Dept Biol, Shenzhen 518055, Peoples R China; [Wang, Zhenghong; Zhou, Wenjun; Xu, Jianchu; Gui, Heng] Univ Chinese Acad Sci, Beijing 100049, Peoples R China; [Liu, Xiang] Lanzhou Univ, Inst Innovat Ecol, State Key Lab Grassland Agroecosyst, Lanzhou 730000, Peoples R China; [Zhou, Wenjun] Chinese Acad Sci, CAS Key Lab Trop Forest Ecol, Xishuangbanna Trop Bot Garden, Mengla 666303, Yunnan, Peoples R China; [Sinclair, Fergus] World Agroforestry Ctr ICRAF, United Nations Ave, Nairobi 00100, Kenya</t>
  </si>
  <si>
    <t>Chinese Academy of Sciences; Kunming Institute of Botany, CAS; Chinese Academy of Sciences; Kunming Institute of Botany, CAS; Southern University of Science &amp; Technology; Chinese Academy of Sciences; University of Chinese Academy of Sciences, CAS; Lanzhou University; Chinese Academy of Sciences; Xishuangbanna Tropical Botanical Garden, CAS; CGIAR; World Agroforestry (ICRAF)</t>
  </si>
  <si>
    <t>Xu, JC; Gui, H (通讯作者)，Chinese Acad Sci, Kunming Inst Bot, Dept Econ Plants &amp; Biotechnol, Yunnan Key Lab Wild Plant Resources, Kunming 650201, Peoples R China.;Xu, JC; Gui, H (通讯作者)，Chinese Acad Sci, Kunming Inst Bot, Ctr Mt Futures CMF, Kunming 650201, Peoples R China.;Xu, JC; Gui, H (通讯作者)，Univ Chinese Acad Sci, Beijing 100049, Peoples R China.</t>
  </si>
  <si>
    <t>jxu@mail.kib.ac.cn; guiheng@mail.kib.ac.cn</t>
  </si>
  <si>
    <t>Liu, Xiang/A-4154-2017</t>
  </si>
  <si>
    <t>Liu, Xiang/0000-0003-3914-5824</t>
  </si>
  <si>
    <t>National Science Foundation of China (NSFC) [32001296, 42073080]; Youth Innovation Promotion Association of CAS, China [2022396]; Yunnan Provincial Observation and Research Station of Honghe Agroforestry Ecological Research; Germplasm Bank of Wild Species in Southwest China (Kunming Institute of Botany, Chinese Academy of Sciences); Molecular Biology Experiment Center</t>
  </si>
  <si>
    <t>National Science Foundation of China (NSFC)(National Natural Science Foundation of China (NSFC)); Youth Innovation Promotion Association of CAS, China; Yunnan Provincial Observation and Research Station of Honghe Agroforestry Ecological Research; Germplasm Bank of Wild Species in Southwest China (Kunming Institute of Botany, Chinese Academy of Sciences); Molecular Biology Experiment Center</t>
  </si>
  <si>
    <t>This study was supported by the National Science Foundation of China (NSFC grant No.: 32001296; 42073080) , and the Youth Innovation Promotion Association of CAS, China (Grant No.: 2022396) . We would like to thank Yunnan Provincial Observation and Research Station of Honghe Agroforestry Ecological Research for providing experimental sites and logical assistants. Moreover, we thank the Molecular Biology Experiment Center, Germplasm Bank of Wild Species in Southwest China (Kunming Institute of Botany, Chinese Academy of Sciences) for support with experimental instruments. We sincerely thank the comments and suggestions of Yakov Kuzyakov (Department of Soil Science of Temperate Ecosystems, University of GOttingen, Germany) in the preliminary work (e.g., data collection, analysis and visualization) of this study. We thank LetPub ( www.letpub.com ) for its linguistic assistance during the preparation of this manuscript.</t>
  </si>
  <si>
    <t>DEC 15</t>
  </si>
  <si>
    <t>10.1016/j.scitotenv.2022.158397</t>
  </si>
  <si>
    <t>5C2FI</t>
  </si>
  <si>
    <t>WOS:000864081000002</t>
  </si>
  <si>
    <t>Li, HW; Wu, YP; Liu, SG; Zhao, WZ; Xiao, JF; Winowiecki, LA; Vagen, TG; Xu, JC; Yin, XW; Wang, F; Sivakumar, B; Cao, Y; Sun, PC; Zhang, GC</t>
  </si>
  <si>
    <t>Li, Huiwen; Wu, Yiping; Liu, Shuguang; Zhao, Wenzhi; Xiao, Jingfeng; Winowiecki, Leigh A.; Vagen, Tor-Gunnar; Xu, Jianchu; Yin, Xiaowei; Wang, Fan; Sivakumar, Bellie; Cao, Yue; Sun, Pengcheng; Zhang, Guangchuang</t>
  </si>
  <si>
    <t>The Grain-for-Green project offsets warming-induced soil organic carbon loss and increases soil carbon stock in Chinese Loess Plateau</t>
  </si>
  <si>
    <t>Carbon model; SOC; Ecological restoration; Terrestrial biosphere model; Climate change</t>
  </si>
  <si>
    <t>LAND-USE CONVERSION; ECOLOGICAL RESTORATION; CLIMATE-CHANGE; TEMPERATURE SENSITIVITY; SEQUESTRATION; DECOMPOSITION; STORAGE; SYSTEM; AFFORESTATION; NITROGEN</t>
  </si>
  <si>
    <t>The dynamics of soil organic carbon (SOC) stock is a vital element affecting the climate, and ecological restoration is potentially an effective measure to mitigate climate change by enhancing vegetation and soil carbon stocks and thereby offsetting greenhouse gas emissions. The Grain-for-Green project (GFGP) implemented in Chinese Loess Plateau (LP) since 1999 is one of the largest ecological restoration projects in the world. However, the contributions of ecological restoration and climate change to ecosystem soil carbon sequestration are still unclear. In this study, we improved a soil carbon decomposition framework by optimizing the initial SOC stock based on full spatial simulation of SOC and incorporating the priming effect to investigate the SOC dynamics across the LP GFGP region from 1982</t>
  </si>
  <si>
    <t>Li, Huiwen</t>
  </si>
  <si>
    <t>[Li, Huiwen; Wu, Yiping; Yin, Xiaowei; Wang, Fan; Zhang, Guangchuang] Xi An Jiao Tong Univ, Dept Earth &amp; Environm Sci, Xian 710049, Shaanxi, Peoples R China; [Li, Huiwen] Minist Nat Resources China, Key Lab Degraded &amp; Unused Land Consolidat Engn, Xian 710075, Shaanxi, Peoples R China; [Wu, Yiping] Shaanxi Land Engn Construct Grp Co Ltd, Technol Innovat Ctr Land Engn &amp; Human Settlements, Xian 710115, Shaanxi, Peoples R China; [Wu, Yiping] Xi An Jiao Tong Univ, Xian 710115, Peoples R China; [Liu, Shuguang] Cent South Univ Forestry &amp; Technol, Natl Engn Lab Appl Technol Forestry &amp; Ecol South C, Changsha 410004, Hunan, Peoples R China; [Zhao, Wenzhi] Chinese Acad Sci, Northwest Inst Ecoenvironm &amp; Resources, Key Lab Ecohydrol &amp; River Basin Sci, Lanzhou 730000, Gansu, Peoples R China; [Xiao, Jingfeng] Univ New Hampshire, Inst Study Earth Oceans &amp; Space, Earth Syst Res Ctr, Durham, NH 03824 USA; [Winowiecki, Leigh A.; Vagen, Tor-Gunnar] World Agroforestry Ctr ICRAF, POB 30677-00100 GPO, Nairobi, Kenya; [Xu, Jianchu] Chinese Acad Sci, Kunming Inst Bot, Key Lab Plant Divers &amp; Biogeog East Asia, Kunming 650201, Yunnan, Peoples R China; [Cao, Yue] Xian Inst Innovat Earth Environm Res, Xian 710061, Shaanxi, Peoples R China; [Sun, Pengcheng] Indian Inst Technol, Dept Civil Engn, Key Lab Soil &amp; Water Conservat Loess Plateau, Mumbai 400076, Henan, India</t>
  </si>
  <si>
    <t>Xi'an Jiaotong University; Ministry of Natural Resources of the People's Republic of China; Xi'an Jiaotong University; Central South University of Forestry &amp; Technology; Chinese Academy of Sciences; University System Of New Hampshire; University of New Hampshire; CGIAR; World Agroforestry (ICRAF); Chinese Academy of Sciences; Kunming Institute of Botany, CAS; Indian Institute of Technology System (IIT System); Indian Institute of Technology (IIT) - Bombay</t>
  </si>
  <si>
    <t>Wu, YP (通讯作者)，Xi An Jiao Tong Univ, Dept Earth &amp; Environm Sci, Xian 710049, Shaanxi, Peoples R China.;Liu, SG (通讯作者)，Cent South Univ Forestry &amp; Technol, Natl Engn Lab Appl Technol Forestry &amp; Ecol South C, Changsha 410004, Hunan, Peoples R China.</t>
  </si>
  <si>
    <t>yipingwu@xjtu.edu.cn; shuguang.liu@csuft.edu.cn</t>
  </si>
  <si>
    <t>National Science Foundation of China [31961143011, U20A2089]; Strategic Priority Research Program of Chinese Academy of Sciences [XDB40020205]; Shaanxi Key Research and Development Program [2022ZDLSF06-04]; Key Laboratory of Eco-Environment and Meteorology for the Qinling Mountains and Loess Plateau, Shaanxi Meteorological Bureau [2021K-6]; Innovation Team ofShaanxi Province [2021TD-52]; Technology Innovation Center for Land Engineering and Human Settlements, Shaanxi Land Engineering Construction Group Co., Ltd. [201912131-B2]; National Thousand Youth Talent Program of China; Shaanxi Hundred Talent Program; University of New Hampshire</t>
  </si>
  <si>
    <t>National Science Foundation of China(National Natural Science Foundation of China (NSFC)); Strategic Priority Research Program of Chinese Academy of Sciences(Chinese Academy of Sciences); Shaanxi Key Research and Development Program; Key Laboratory of Eco-Environment and Meteorology for the Qinling Mountains and Loess Plateau, Shaanxi Meteorological Bureau; Innovation Team ofShaanxi Province; Technology Innovation Center for Land Engineering and Human Settlements, Shaanxi Land Engineering Construction Group Co., Ltd.; National Thousand Youth Talent Program of China; Shaanxi Hundred Talent Program; University of New Hampshire</t>
  </si>
  <si>
    <t>This study was funded by the National Science Foundation of China (31961143011, U20A2089) , the Strategic Priority Research Program of Chinese Academy of Sciences (XDB40020205) , Shaanxi Key Research and Development Program (2022ZDLSF06-04) , the Key Laboratory of Eco-Environment and Meteorology for the Qinling Mountains and Loess Pla-teau, Shaanxi Meteorological Bureau (2021K-6) , the Innovation Team ofShaanxi Province (2021TD-52) , the Technology Innovation Center for Land Engineering and Human Settlements, Shaanxi Land Engineering Construction Group Co., Ltd. and Xi'an Jiaotong University (201912131-B2) , the National Thousand Youth Talent Program of China, and the Shaanxi Hundred Talent Program. J.X. was supported by University of New Hampshire. We also thank the HPCC Platform in Xi'an Jiaotong University for computing equipment and computer maintenance. We thank the editor and three anonymous reviewers for their constructive comments and suggestions.</t>
  </si>
  <si>
    <t>SEP 1</t>
  </si>
  <si>
    <t>10.1016/j.scitotenv.2022.155469</t>
  </si>
  <si>
    <t>1V7ZE</t>
  </si>
  <si>
    <t>WOS:000806302700002</t>
  </si>
  <si>
    <t>Kitudom, N; Fauset, S; Zhou, YY; Fan, ZX; Li, MR; He, MJ; Zhang, SB; Xu, K; Lin, H</t>
  </si>
  <si>
    <t>Kitudom, Nawatbhrist; Fauset, Sophie; Zhou, Yingying; Fan, Zexin; Li, Murong; He, Mingjian; Zhang, Shubin; Xu, Kun; Lin, Hua</t>
  </si>
  <si>
    <t>Thermal safety margins of plant leaves across biomes under a heatwave</t>
  </si>
  <si>
    <t>Photosynthetic heat tolerance; Thermal environment; Heat stress; Thermal stability; Extreme weather</t>
  </si>
  <si>
    <t>LEAF TEMPERATURES; TREE; TOLERANCE; PHOTOSYNTHESIS; DESERT; PLASTICITY; EVOLUTION; DROUGHT; TRAITS; LIMITS</t>
  </si>
  <si>
    <t>Climate change has great impacts on forest ecosystems, especially with the increasing frequency of heatwaves. Thermal safety margin (TSM) calculated by the difference between body temperature and thermotolerance threshold is useful to predict thermal safety of organisms. It has been widely used for animals, whereas has rarely been reported for plants. Besides, most of the previous studies used only thermotolerance to estimate thermal safety or used thermotolerance and air temperature (Ta) to calculate TSM. However, leaf temperature (Tl) is the real body temperature of plant leaves. Tl decoupling from Ta might induce large error in TSM. Here, we investigated TSM of photosystem II (thermotolerance of PSII - the maximum Tl) of dominant canopy plants in four forests from tropical to temperate biomes during a heatwave, and compared the TSMs calculated by Tl (TSM.Tl) and Ta (TSM.Ta) respectively. Also, thermal related leaf traits were investigated. The results showed that both TSM. Tl and TSM.Ta decreased from the cool forests to the hot forests. TSM.Tl was highly correlated with the maximum leaf temperature (Tlmax), while had an opposite trend with thermotolerance across biomes. Thus, Tlmax instead of thermotolerance can be used to evaluate TSM. The maximum Ta (Tamax), Tlmax and leaf traits explained 68% of the variance of thermotolerance in a random forest model, where Tamax and Tlmax explained 62%. TSM.Ta could not distinguish thermal safety differences between co-occurring species. The overestimation of TSM by TSM.Ta increased from the tropical to the temperate forest, and increased with Tl within biome. Therefore, it is not recommended to use TSM.Ta in cold forests. The present study enriches the dataset of photosynthetic TSMs across biomes, proposes using Tlmax to estimate TSMs of leaves, and highlights the risk of hot dry forest during heatwaves. (c) 2021 Elsevier B.V. All rights reserved.</t>
  </si>
  <si>
    <t>Kitudom, Nawatbhrist</t>
  </si>
  <si>
    <t>[Kitudom, Nawatbhrist; Fauset, Sophie; Zhou, Yingying; Fan, Zexin; Li, Murong; He, Mingjian; Zhang, Shubin; Lin, Hua] Chinese Acad Sci, Xishuangbanna Trop Bot Garden, Key Lab Trop Forest Ecol, Mengla 666303, Yunnan, Peoples R China; [Fan, Zexin; Lin, Hua] Chinese Acad Sci, Ctr Plant Ecol, Core Bot Gardens, Xishuangbanna 666303, Peoples R China; [Fan, Zexin] Chinese Acad Sci, Xishuangbanna Trop Bot Garden, Ailaoshan Stn Subtrop Forest Ecosyst Studies, Jingdong 676209, Yunnan, Peoples R China; [Fauset, Sophie] Univ Plymouth, Sch Geog Earth &amp; Environm Sci, Plymouth, Devon, England; [Kitudom, Nawatbhrist; Zhou, Yingying] Univ Chinese Acad Sci, Beijing 100049, Peoples R China; [Li, Murong; He, Mingjian] Puer Univ, Coll Biol &amp; Chem, Puer 665000, Yunnan, Peoples R China; [Xu, Kun] Chinese Acad Sci, Kunming Inst Bot, Yunnan Lijiang Forest Ecosyst Natl Observat &amp; Res, Kunming 650201, Yunnan, Peoples R China</t>
  </si>
  <si>
    <t>Chinese Academy of Sciences; Xishuangbanna Tropical Botanical Garden, CAS; Chinese Academy of Sciences; Chinese Academy of Sciences; Xishuangbanna Tropical Botanical Garden, CAS; University of Plymouth; Chinese Academy of Sciences; University of Chinese Academy of Sciences, CAS; Pu'er University; Chinese Academy of Sciences; Kunming Institute of Botany, CAS</t>
  </si>
  <si>
    <t>Lin, H (通讯作者)，Chinese Acad Sci, Xishuangbanna Trop Bot Garden, Key Lab Trop Forest Ecol, Mengla 666303, Yunnan, Peoples R China.</t>
  </si>
  <si>
    <t>lh@xtbg.ac.cn</t>
  </si>
  <si>
    <t>Fan, Zexin/E-2344-2016</t>
  </si>
  <si>
    <t>Fan, Zexin/0000-0003-4623-6783; Kitudom, Nawatbhrist/0000-0003-1158-2547</t>
  </si>
  <si>
    <t>National Natural Science Foundation of China [4186114401]; CAS 135 Program [2017XTBG-F01]; Chinese Academy of Sciences President's International Fellowship Initiative [2016VBA036]</t>
  </si>
  <si>
    <t>National Natural Science Foundation of China(National Natural Science Foundation of China (NSFC)); CAS 135 Program; Chinese Academy of Sciences President's International Fellowship Initiative</t>
  </si>
  <si>
    <t>This study was funded by the National Natural Science Foundation of China (grant number 31870386 and 32171504) , the CAS 135 Program (grant number 2017XTBG-F01) , Chinese Academy of Sciences President's International Fellowship Initiative (grant number 2016VBA036) , and the National Natural Science Foundation of China (NSCF-TRF project, grant number 4186114401) .</t>
  </si>
  <si>
    <t>FEB 1</t>
  </si>
  <si>
    <t>10.1016/j.scitotenv.2021.150416</t>
  </si>
  <si>
    <t>OCT 2021</t>
  </si>
  <si>
    <t>WH4HG</t>
  </si>
  <si>
    <t>WOS:000707640400017</t>
  </si>
  <si>
    <t>Yin, RH; Pan, Y; Cai, Y; Yang, F; Gao, N; Ruzemaimaiti, D; Zhao, JH</t>
  </si>
  <si>
    <t>Yin, Ronghua; Pan, Ying; Cai, Ying; Yang, Fan; Gao, Na; Ruzemaimaiti, Dilihumaer; Zhao, Jinhua</t>
  </si>
  <si>
    <t>Re-understanding of structure and anticoagulation: Fucosylated chondroitin sulfate from sea cucumber Ludwigothurea grisea</t>
  </si>
  <si>
    <t>CARBOHYDRATE POLYMERS</t>
  </si>
  <si>
    <t>Fucosylated chondroitin sulfate; Ludwigothurea grisea; Structure; Anticoagulation; Disaccharide branch</t>
  </si>
  <si>
    <t>INTRINSIC TENASE COMPLEX; FUCOSE BRANCHES; BODY-WALL; PHYSICOCHEMICAL CHARACTERISTICS; POLYSACCHARIDE ACCOUNT; FACTOR XASE; GLYCOSAMINOGLYCAN; DEPOLYMERIZATION; THROMBOSIS; COAGULATION</t>
  </si>
  <si>
    <t>Fucosylated chondroitin sulfate (FCS) from sea cucumber Ludwigothurea grisea (FCSLg) is the first one that reported to bear the di-fucosyl branches. Here we deciphered it by analyzing the physicochemical properties and its derivatives. Oligosaccharides prepared by selective cleavage of glycosidic linkages presented the mono-fucose and heterodisaccharide branches in FCSLg. The disaccharide branch was determined as D-GalNAcR1-(alpha 1,2)-LFucR2 rather than the di-fucosyl branch, where R1 was 4-mono-O- or 4,6-di-O-sulfation, and R2 was 3-mono-Oor 3,4-di-O-sulfation, respectively. The diversity of sulfation patterns in branches complicated the structure. These results give us a new understanding of FCSLg and provided a reliable method to decipher the FCS with complex branches. Bioanalysis of chemically modified derivatives showed that modulating the molecular mass could enhance the Xase target selectivity. Side chains conferred the Xase complex inhibition by binding to FIXa with a high affinity. Whether monosaccharide and disaccharide branches have differential effects needs to be further explored.</t>
  </si>
  <si>
    <t>Yin, Ronghua</t>
  </si>
  <si>
    <t>[Yin, Ronghua; Yang, Fan; Gao, Na; Ruzemaimaiti, Dilihumaer; Zhao, Jinhua] South Cent Minzu Univ, Sch Pharmaceut Sci, Wuhan 430074, Peoples R China; [Yin, Ronghua; Pan, Ying; Cai, Ying; Zhao, Jinhua] Chinese Acad Sci, Kunming Inst Bot, State Key Lab Phytochem &amp; Plant Resources West Chi, Kunming 650201, Peoples R China; [Pan, Ying; Cai, Ying] Univ Chinese Acad Sci, Beijing 100049, Peoples R China</t>
  </si>
  <si>
    <t>South Central Minzu University; Chinese Academy of Sciences; Kunming Institute of Botany, CAS; Chinese Academy of Sciences; University of Chinese Academy of Sciences, CAS</t>
  </si>
  <si>
    <t>Zhao, JH (通讯作者)，South Cent Minzu Univ, Sch Pharmaceut Sci, Wuhan 430074, Peoples R China.</t>
  </si>
  <si>
    <t>zhaojhscu@163.com</t>
  </si>
  <si>
    <t>National Natural Science Foundation of China [31900926, 82073725, 81703374]; South-Central Minzu University [CZQ21020]; Fundamental Research Funds for the Central Universities</t>
  </si>
  <si>
    <t>National Natural Science Foundation of China(National Natural Science Foundation of China (NSFC)); South-Central Minzu University; Fundamental Research Funds for the Central Universities(Fundamental Research Funds for the Central Universities)</t>
  </si>
  <si>
    <t>We sincerely appreciate Prof. Paulo A. S. Mourao (Federal University of Rio de Janeiro) providing us Ludwigothurea grisea for the initial research. This work was funded in part by the National Natural Science Foundation of China (31900926, 82073725, 81703374), and the Fundamental Research Funds for the Central Universities, South-Central Minzu University (CZQ21020) .</t>
  </si>
  <si>
    <t>0144-8617</t>
  </si>
  <si>
    <t>1879-1344</t>
  </si>
  <si>
    <t>CARBOHYD POLYM</t>
  </si>
  <si>
    <t>Carbohydr. Polym.</t>
  </si>
  <si>
    <t>OCT 15</t>
  </si>
  <si>
    <t>10.1016/j.carbpol.2022.119826</t>
  </si>
  <si>
    <t>JUL 2022</t>
  </si>
  <si>
    <t>Chemistry, Applied; Chemistry, Organic; Polymer Science</t>
  </si>
  <si>
    <t>Chemistry; Polymer Science</t>
  </si>
  <si>
    <t>3G7RA</t>
  </si>
  <si>
    <t>WOS:000831545800005</t>
  </si>
  <si>
    <t>Tao, XL; Wang, WL; Shi, X; Lan, D; Mao, H; Ning, ZM; Gao, L; Zuo, ZC; Xu, C; Yang, ZQ; Wang, Y; Zuo, ZL; Gao, N; Zhao, JH</t>
  </si>
  <si>
    <t>Tao, Xuelin; Wang, Weili; Shi, Xiang; Lan, Di; Mao, Hui; Ning, Zimo; Gao, Li; Zuo, Zhichuang; Xu, Chen; Yang, Zaiqing; Wang, Yu; Zuo, Zhili; Gao, Na; Zhao, Jinhua</t>
  </si>
  <si>
    <t>Peroxidative depolymerization of fucosylated glycosaminoglycan: Bond-cleavage pattern and activities of oligosaccharides</t>
  </si>
  <si>
    <t>Fucosylated glycosaminoglycan; Peroxidative depolymerization; Mechanism; Oligosaccharides; Anti-iXase activity</t>
  </si>
  <si>
    <t>INTRINSIC-FACTOR XASE; SEA-CUCUMBER; CHONDROITIN SULFATE; HOLOTHURIAN GLYCOSAMINOGLYCAN; RADICAL DEPOLYMERIZATION; ANTICOAGULANT ACTIVITIES; HYDROGEN-PEROXIDE; TENASE COMPLEX; HEPARIN; DERIVATIVES</t>
  </si>
  <si>
    <t>Peroxidative depolymerization is often used to elucidate the structure and structure-activity relationship of fucosylated glycosaminoglycan (FG), while the selectivity of bond cleavage and structural characteristics of the resulting fragments remain to be confirmed. Here, the FG from Stichopus variegatus (SvFG) was depolymerized by H2O2, and a series of yielded mono- and oligo-saccharides were purified. Almost all the non-reducing ends of oligosaccharides were D-GalNAc4S6S, suggesting that GlcA-beta 1,3-GalNAc4S6S linkage was preferentially cleaved. The model reactions showed the glycosidic bond of uronate was more susceptible than those of N-acetyl hexosamine and fucose, which should be due to bond energy of the anomeric C-H. The reducing ends of oligosaccharides include C4-C6 saccharic acid and GalNAc or GalNAcA, which should be derived from the oxidation of the reducing end. A hexasaccharide with tartaric acid exhibited increased anti-iXase activity, suggesting the oxidation of reducing end did not impair the anti-iXase activity of FG-derived oligosaccharides.</t>
  </si>
  <si>
    <t>Tao, Xuelin</t>
  </si>
  <si>
    <t>[Tao, Xuelin; Shi, Xiang; Lan, Di; Ning, Zimo; Gao, Li; Zuo, Zhichuang; Xu, Chen; Yang, Zaiqing; Wang, Yu; Gao, Na; Zhao, Jinhua] South Cent Univ Nationalities, Sch Pharmaceut Sci, Wuhan 430074, Peoples R China; [Wang, Weili; Mao, Hui; Zuo, Zhili] Chinese Acad Sci, Kunming Inst Bot, State Key Lab Phytochem &amp; Plant Resources West Chi, Kunming 650201, Peoples R China</t>
  </si>
  <si>
    <t>South Central Minzu University; Chinese Academy of Sciences; Kunming Institute of Botany, CAS</t>
  </si>
  <si>
    <t>Gao, N; Zhao, JH (通讯作者)，South Cent Univ Nationalities, Sch Pharmaceut Sci, Wuhan 430074, Peoples R China.;Zuo, ZL (通讯作者)，Chinese Acad Sci, Kunming Inst Bot, State Key Lab Phytochem &amp; Plant Resources West Chi, Kunming 650201, Peoples R China.</t>
  </si>
  <si>
    <t>zuozhili@mail.kib.ac.cn; gn2008.happy@163.com; zhao.jinhua@yahoo.com</t>
  </si>
  <si>
    <t>National Natural Science Founda- tion of China [82073725, 81773737]</t>
  </si>
  <si>
    <t>National Natural Science Founda- tion of China(National Natural Science Foundation of China (NSFC))</t>
  </si>
  <si>
    <t>Acknowledgement This research was funded by the National Natural Science Founda- tion of China (Nos. 82073725, 81773737) .</t>
  </si>
  <si>
    <t>NOV 1</t>
  </si>
  <si>
    <t>10.1016/j.carbpol.2022.119855</t>
  </si>
  <si>
    <t>3G9ER</t>
  </si>
  <si>
    <t>WOS:000831649500007</t>
  </si>
  <si>
    <t>Zhang, QW; Li, LF; Hao, S; Liu, M; Huo, CY; Wu, JJ; Liu, HB; Bao, WR; Zheng, HM; Li, ZP; Cheng, HY; Fung, H; Wong, TL; Leung, P; Wang, SC; Li, T; Zhang, G; Li, M; Zhao, ZZ; Jia, W; Bian, ZX; Mitchison, T; Zhang, JC; Lyu, AP; Han, QB; Sun, HD</t>
  </si>
  <si>
    <t>Zhang, Quanwei; Li, Lifeng; Hao, Shuang; Liu, Man; Huo, Chuying; Wu, Jianjun; Liu, Hongbing; Bao, Wanrong; Zheng, Hongming; Li, Zhipeng; Cheng, Huiyuan; Fung, Hauyee; Wong, Tinlong; Leung, Pingchung; Wang, Shunchun; Li, Ting; Zhang, Ge; Li, Min; Zhao, Zhongzhen; Jia, Wei; Bian, Zhaoxiang; Mitchison, Timothy; Zhang, Jingchao; Lyu, Aiping; Han, Quanbin; Sun, Handong</t>
  </si>
  <si>
    <t>A lymphatic route for a hyperbranched heteroglycan from Radix Astragali to trigger immune responses after oral dosing</t>
  </si>
  <si>
    <t>Radix Astragali; Polysaccharide; Intact; Targeting route; Antitumor immune responses</t>
  </si>
  <si>
    <t>BETA-GLUCAN; POLYSACCHARIDES; IMMUNOMODULATION; MICROPARTICLES; DELIVERY; CELLS</t>
  </si>
  <si>
    <t>Gut barrier makes a huge research gap between in vivo and in vitro studies of orally bioactive polysaccharides: whether/how they contact the related cells in vivo. A hyperbranched heteroglycan RAP from Radix Astragali, exerting antitumor and immunomodulatory effects in vitro and in vivo, is right an example. Here, we determined first that RAP's antitumor activity is immune-dependent. Being undegraded and non-absorbing, RAP quickly entered Peyer's patches (PPs) in 1 h where it directly targeted follicle dendritic cells and initiated antitumor immune responses. RAP was further delivered to mesenteric lymph node, bone marrow, and tumor. By contrast, the control Dendrobium officinale polysaccharide did not enter PPs. These findings revealed a blood/microbiotaindependent and selective lymphatic route for orally administrated RAP to directly contact immune cells and trigger antitumor immune responses. This route bridges the research gap between the in vitro and in vivo studies and might apply to many other bioactive polysaccharides.</t>
  </si>
  <si>
    <t>Zhang, Quanwei</t>
  </si>
  <si>
    <t>[Zhang, Quanwei; Li, Lifeng; Liu, Man; Huo, Chuying; Wu, Jianjun; Liu, Hongbing; Bao, Wanrong; Zheng, Hongming; Li, Zhipeng; Cheng, Huiyuan; Fung, Hauyee; Wong, Tinlong; Zhang, Ge; Li, Min; Zhao, Zhongzhen; Jia, Wei; Bian, Zhaoxiang; Lyu, Aiping; Han, Quanbin] Hong Kong Baptist Univ, Sch Chinese Med, Hong Kong 999077, Peoples R China; [Hao, Shuang; Zhang, Jingchao] Zhengzhou Univ, Affiliated Hosp 1, Zhengzhou 450000, Peoples R China; [Leung, Pingchung] Chinese Univ Hong Kong, State Key Lab Res Bioact &amp; Clin Applicat Med Plant, Hong Kong 999077, Peoples R China; [Wang, Shunchun] Shanghai Univ Tradit Chinese Med, Inst Chinese Mat Med, Shanghai 201203, Peoples R China; [Li, Ting] Macau Univ Sci &amp; Technol, State Key Lab Qual Res Chinese Med, Macau 999078, Peoples R China; [Mitchison, Timothy] Harvard Med Sch, Dept Syst Biol, Lab Syst Pharmacol, Boston, MA 02115 USA; [Sun, Handong] Chinese Acad Sci, Kunming Inst Bot, State Key Lab Phytochem &amp; Plant Resources West Chi, Kunming, Peoples R China</t>
  </si>
  <si>
    <t>Hong Kong Baptist University; Zhengzhou University; Chinese University of Hong Kong; Shanghai University of Traditional Chinese Medicine; Macau University of Science &amp; Technology; Harvard University; Harvard Medical School; Chinese Academy of Sciences; Kunming Institute of Botany, CAS</t>
  </si>
  <si>
    <t>Lyu, AP; Han, QB (通讯作者)，Hong Kong Baptist Univ, Sch Chinese Med, Hong Kong 999077, Peoples R China.;Zhang, JC (通讯作者)，Zhengzhou Univ, Affiliated Hosp 1, Zhengzhou 450000, Peoples R China.</t>
  </si>
  <si>
    <t>aipinglu@hkbu.edu.hk; zhangjingchao126@126.com</t>
  </si>
  <si>
    <t>Wong, Tin Long/GRF-1606-2022; Wong, Tin-Long/ACF-1004-2022</t>
  </si>
  <si>
    <t>Wong, Tin-Long/0000-0002-8121-9877</t>
  </si>
  <si>
    <t>HKSAR Innovation and Technology Fund (ITF) [ITS/311/09]; General Research Fund [12100615, 22100014, 12100818]; UGC [2019-1-10, 2019-1-14, 2019-2-06]; Health Medical Research Fund [11122531, 14150521, 17182681]; National Natural Sciences Foundation in China [81473341, 82173948]; Science and Technology Project of Shenzhen [JCYJ20160531193812867]; Key-Area Research and Development Program of Guangdong Province [2020B1111110007]; Hong Kong Baptist University [MPCF-001-2016/2017, MPCF-002-2021-22, RC-IRMS/14-15/06, IRMS-20-21-02, FRG2/17-18/060, FRG2/16-17/002]; Vincent &amp; Lily Woo Foundation</t>
  </si>
  <si>
    <t>HKSAR Innovation and Technology Fund (ITF); General Research Fund; UGC(University Grants Commission, India); Health Medical Research Fund; National Natural Sciences Foundation in China(National Natural Science Foundation of China (NSFC)); Science and Technology Project of Shenzhen; Key-Area Research and Development Program of Guangdong Province; Hong Kong Baptist University; Vincent &amp; Lily Woo Foundation</t>
  </si>
  <si>
    <t>This work was funded and supported by HKSAR Innovation and Technology Fund (ITF) , Tier 3, ITS/311/09, General Research Fund (12100615, 22100014, 12100818) , UGC Research Matching Grant Scheme (2019-1-10, 2019-1-14, 2019-2-06) , Health Medical Research Fund (11122531, 14150521, 17182681) , National Natural Sciences Foundation in China (81473341, 82173948) , the Science and Technol-ogy Project of Shenzhen (JCYJ20160531193812867) , the Key-Area Research and Development Program of Guangdong Province (2020B1111110007) , Hong Kong Baptist University (RC-Start-up Grants, MPCF-001-2016/2017, MPCF-002-2021-22, RC-IRMS/14-15/06, IRMS-20-21-02, FRG2/17-18/060 and FRG2/16-17/002) , and Vincent &amp; Lily Woo Foundation. We appreciate the advice from Prof. Ding Kan at Shanghai Institute of Materia Medica, Chinese Academy of Sciences.</t>
  </si>
  <si>
    <t>SEP 15</t>
  </si>
  <si>
    <t>10.1016/j.carbpol.2022.119653</t>
  </si>
  <si>
    <t>JUN 2022</t>
  </si>
  <si>
    <t>2V4XV</t>
  </si>
  <si>
    <t>WOS:000823852000003</t>
  </si>
  <si>
    <t>Gu, QH; Liu, YP; Zhen, L; Zhao, TR; Luo, L; Zhang, JY; Deng, T; Wu, MY; Cheng, GG; Hu, JM</t>
  </si>
  <si>
    <t>Gu, Qinghui; Liu, Yaping; Zhen, Li; Zhao, Tianrui; Luo, Lan; Zhang, Junyin; Deng, Tuo; Wu, Mingyi; Cheng, Guiguang; Hu, Jiangmiao</t>
  </si>
  <si>
    <t>The structures of two glucomannans from Bletilla formosana and their protective effect on inflammation via inhibiting NF-?B pathway</t>
  </si>
  <si>
    <t>Bletilla formosana; Polysaccharide; Glucomannan; Chemical structure; Inflammation</t>
  </si>
  <si>
    <t>KAPPA-B; POLYSACCHARIDES; OLIGOSACCHARIDES; MANNANASE; RHIZOMES; STRIATA; GUM</t>
  </si>
  <si>
    <t>Bletilla formosana is a traditional Chinese herbal medicine and is widely consumed as foods and medicines in China. However, the chemical structure and bioactivity of its polysaccharides remain unknown. Herein, two new polysaccharides, BFP60 and BFP80, with molecular weights of 3.99 kDa and 10.07 kDa, respectively, were isolated and purified from dried tuber of B. formosana. Structural analysis suggested that BFP60 and BFP80 may have backbone consisted of -&gt; 4)-beta-D-Man-(1 -&gt;,-&gt; 4)-beta-D-Glc-(1 -&gt;, -&gt; 4)-2-O-acetyl-beta-D-Man-(1 -&gt;, and -&gt; 4)-3-O- acetyl-beta-D-Man-(1 -&gt;. Inflammation assay in LPS-induced RAW264.7 cells showed that the productions of NO and pro-inflammatory cytokines including IL-6, IL-1 beta, TNF-alpha, and IFN-gamma were significantly reduced, and the expression of iNOS, COX-2, and target proteins in the NF-kappa B pathway were suppressed after BFP60 and BFP80 pretreatment. These findings indicated that this novel polysaccharide had significant inflammatory protective effects in vitro.</t>
  </si>
  <si>
    <t>Gu, Qinghui</t>
  </si>
  <si>
    <t>[Gu, Qinghui; Liu, Yaping; Zhen, Li; Zhao, Tianrui; Cheng, Guiguang] Kunming Univ Sci &amp; Technol, Fac Food Sci &amp; Engn, Kunming 650500, Peoples R China; [Gu, Qinghui; Luo, Lan; Zhang, Junyin; Deng, Tuo; Wu, Mingyi; Hu, Jiangmiao] Chinese Acad Sci, Kunming Inst Bot, State Key Lab Phytochem &amp; Plant Resources West Chi, Kunming 650201, Peoples R China; [Deng, Tuo; Wu, Mingyi; Hu, Jiangmiao] Univ Chinese Acad Sci, Beijing 100049, Peoples R China</t>
  </si>
  <si>
    <t>Kunming University of Science &amp; Technology; Chinese Academy of Sciences; Kunming Institute of Botany, CAS; Chinese Academy of Sciences; University of Chinese Academy of Sciences, CAS</t>
  </si>
  <si>
    <t>Cheng, GG (通讯作者)，Kunming Univ Sci &amp; Technol, Fac Food Sci &amp; Engn, Kunming 650500, Peoples R China.;Wu, MY (通讯作者)，Chinese Acad Sci, Kunming Inst Bot, State Key Lab Phytochem &amp; Plant Resources West Chi, Kunming 650201, Peoples R China.</t>
  </si>
  <si>
    <t>wumingyi@mail.kib.ac.cn; ggcheng@kmust.edu.cn</t>
  </si>
  <si>
    <t>cheng, guiguang/GQQ-1478-2022; Cheng, Guiguang/GOE-3906-2022</t>
  </si>
  <si>
    <t>cheng, guiguang/0000-0002-5553-8399; Hu, Jiang-Miao/0000-0002-9013-8489</t>
  </si>
  <si>
    <t>Yunnan Major Natural Science [2019ZF010]; Yunnan Ten-thousand Talents Program; CAS Light of West China Program; Youth Innovation Promotion Association CAS [Y2021104]; Ten-thousand Talents Program of Yunnan Province [YNWR-QNBJ-2018-271]; Yunnan Fundamental Research Projects [202201AS070073, 202101AT070152]</t>
  </si>
  <si>
    <t>Yunnan Major Natural Science; Yunnan Ten-thousand Talents Program; CAS Light of West China Program; Youth Innovation Promotion Association CAS; Ten-thousand Talents Program of Yunnan Province; Yunnan Fundamental Research Projects</t>
  </si>
  <si>
    <t>This work was financially supported by the fund of Yunnan Major Natural Science (2019ZF010), Yunnan Ten-thousand Talents Program to G. Cheng, P. Liu, and M. Wu, CAS Light of West China Program, Youth Innovation Promotion Association CAS (Y2021104), the Ten-thousand Talents Program of Yunnan Province (YNWR-QNBJ-2018-271), and Yunnan Fundamental Research Projects (grant nos. 202201AS070073 and 202101AT070152). We thank Dr. Fei Li and Dr. Liang Zhang (Service center for experimental biotechnology, KIB) for their help in GC-MS and NMR analysis, respectively.</t>
  </si>
  <si>
    <t>10.1016/j.carbpol.2022.119694</t>
  </si>
  <si>
    <t>2N4VQ</t>
  </si>
  <si>
    <t>WOS:000818379000006</t>
  </si>
  <si>
    <t>Yang, HH; Yue, GGL; Leung, PC; Wong, CK; Zhang, YJ; Lau, CBS</t>
  </si>
  <si>
    <t>Yang, Huihai; Yue, Grace Gar-Lee; Leung, Ping-Chung; Wong, Chun-Kwok; Zhang, Ying-Jun; Lau, Clara Bik-San</t>
  </si>
  <si>
    <t>Anti-metastatic effects of 1,2,3,4,6-Penta-O-galloyl-beta-D-glucose in colorectal cancer: Regulation of cathepsin B-mediated extracellular matrix dynamics and epithelial-to-mesenchymal transition</t>
  </si>
  <si>
    <t>PHARMACOLOGICAL RESEARCH</t>
  </si>
  <si>
    <t>1,2,3,4,6-penta-O-galloyl-beta-D-glucose; Colorectal cancer; Metastasis, tumor microenvironment; Cathepsin B, extracellular matrix; Epithelial-to-mesenchymal transition</t>
  </si>
  <si>
    <t>IN-VITRO; D-GLUCOSE; EXTRACT; ANTITUMOR</t>
  </si>
  <si>
    <t>Despite significant advances in the diagnosis and treatment of colorectal cancer (CRC), metastatic colorectal cancer still poses serious threat to CRC patients. The natural gallotannin 1,2,3,4,6-penta-O-galloyl-beta-D-glucose (PGG) has been shown to possess anti-tumor effects on colon cancer cells, but its anti-metastatic effect is yet to be investigated. In this study, the effects of PGG on cell proliferation, colony formation ability, motility, migration were investigated in colon cancer cells using BrdU, colony formation, scratch, and transwell assays, respectively. Western blot assay was used for assessing protein expression. The orthotopic colon tumor-bearing mouse model and human colon cancer metastatic mouse model were employed to evaluate the anti-metastatic effects of PGG. Results showed that PGG exhibited not only anti-proliferative and colony formation inhibitory effects, but also inhibition on cell adhesion, motility, and migration in both HCT116 and colon 26-M01 cells via modulating protein expression of cathepsin B, FAK, cofilin, and epithelial-to-mesenchymal transition related proteins. In addition, PGG (10 or 15 mg/kg, i.p.) could significantly inhibit liver and lung metastasis in colon cancer metastatic mice models. Furthermore, PGG could regulate the populations of T cells, macrophages, and MDSCs, while the levels of IL-2, IL-6, IL-10, IFN-gamma, and TNF-alpha were altered after PGG treatment in metastatic CRC mice. This is the first report of the anti-metastatic effects of PGG by regulating cathepsin B-mediated extracellular matrix dynamics and epithelial-to-mesenchymal transition process in CRC. Our findings suggested that PGG has great potential to be developed as an anti-metastatic agent for metastatic CRC.</t>
  </si>
  <si>
    <t>Yang, Huihai</t>
  </si>
  <si>
    <t>[Yang, Huihai; Yue, Grace Gar-Lee; Leung, Ping-Chung; Wong, Chun-Kwok; Lau, Clara Bik-San] Chinese Univ Hong Kong, Inst Chinese Med, Shatin, Hong Kong, Peoples R China; [Yang, Huihai; Yue, Grace Gar-Lee; Leung, Ping-Chung; Wong, Chun-Kwok; Lau, Clara Bik-San] Chinese Univ Hong Kong, State Key Lab Res Bioact &amp; Clin Applicat Med Plant, Shatin, Hong Kong, Peoples R China; [Wong, Chun-Kwok] Chinese Univ Hong Kong, Dept Chem Pathol, Shatin, Hong Kong, Peoples R China; [Zhang, Ying-Jun] Chinese Acad Sci, Kunming Inst Bot, State Key Lab Phytochem &amp; Plant Resources West Chi, Beijing, Peoples R China; [Lau, Clara Bik-San] Chinese Univ Hong Kong, Inst Chinese Med, Shatin, E305,Sci Ctr East Block, Hong Kong, Peoples R China; [Zhang, Ying-Jun] Chinese Acad Sci, Kunming Inst Bot, Kunming 650201, Peoples R China</t>
  </si>
  <si>
    <t>Chinese University of Hong Kong; Chinese University of Hong Kong; Chinese University of Hong Kong; Chinese Academy of Sciences; Kunming Institute of Botany, CAS; Chinese University of Hong Kong; Chinese Academy of Sciences; Kunming Institute of Botany, CAS</t>
  </si>
  <si>
    <t>Lau, CBS (通讯作者)，Chinese Univ Hong Kong, Inst Chinese Med, Shatin, E305,Sci Ctr East Block, Hong Kong, Peoples R China.;Zhang, YJ (通讯作者)，Chinese Acad Sci, Kunming Inst Bot, Kunming 650201, Peoples R China.</t>
  </si>
  <si>
    <t>zhangyj@mail.kib.ac.cn; claralau@cuhk.edu.hk</t>
  </si>
  <si>
    <t>Lau, Clara Bik-San/AAF-3989-2020; zhang, ying/HJB-1230-2022; Zhang, Y J/HLG-1022-2023</t>
  </si>
  <si>
    <t xml:space="preserve">Lau, Clara Bik-San/0000-0002-7409-1270; </t>
  </si>
  <si>
    <t>ACADEMIC PRESS LTD- ELSEVIER SCIENCE LTD</t>
  </si>
  <si>
    <t>24-28 OVAL RD, LONDON NW1 7DX, ENGLAND</t>
  </si>
  <si>
    <t>1043-6618</t>
  </si>
  <si>
    <t>1096-1186</t>
  </si>
  <si>
    <t>PHARMACOL RES</t>
  </si>
  <si>
    <t>Pharmacol. Res.</t>
  </si>
  <si>
    <t>OCT</t>
  </si>
  <si>
    <t>10.1016/j.phrs.2022.106457</t>
  </si>
  <si>
    <t>4Z6SB</t>
  </si>
  <si>
    <t>WOS:000862334700006</t>
  </si>
  <si>
    <t>Fan, WS; Liu, F; Jia, QY; Du, HY; Chen, W; Ruan, JW; Lei, JJ; Li, DZ; Mower, JP; Zhu, AD</t>
  </si>
  <si>
    <t>Fan, Weishu; Liu, Fang; Jia, Qiaoya; Du, Haiyuan; Chen, Wu; Ruan, Jiwei; Lei, Jiajun; Li, De-Zhu; Mower, Jeffrey P.; Zhu, Andan</t>
  </si>
  <si>
    <t>Fragaria mitogenomes evolve rapidly in structure but slowly in sequence and incur frequent multinucleotide mutations mediated by microinversions</t>
  </si>
  <si>
    <t>NEW PHYTOLOGIST</t>
  </si>
  <si>
    <t>Fragaria; homologous noncoding sequences; mitochondrial genome; multinucleotide substitutions; mutation rates; structural variations</t>
  </si>
  <si>
    <t>CHLOROPLAST INTERGENIC REGIONS; MITOCHONDRIAL GENOMES; PLANT MITOCHONDRIAL; NUCLEOTIDE SUBSTITUTION; SYNONYMOUS SUBSTITUTIONS; PLASTID GENOMES; RELATIVE RATES; EVOLUTION; DNA; NUCLEAR</t>
  </si>
  <si>
    <t>Plant mitochondrial DNA has been described as evolving rapidly in structure but slowly in sequence. However, many of the noncoding portions of plant mitogenomes are not homologous among species, raising questions about the rate and spectrum of mutations in noncoding regions. Recent studies have suggested that the lack of homology in noncoding regions could be due to increased sequence divergence. We compared 30 kb of coding and 200 kb of noncoding DNA from 13 sequenced Fragaria mitogenomes, followed by analysis of the rate of sequence divergence, microinversion events and structural variations. Substitution rates in synonymous sites and nongenic sites are nearly identical, suggesting that the genome-wide point mutation rate is generally consistent. A surprisingly high number of large multinucleotide substitutions were detected in Fragaria mitogenomes, which may have resulted from microinversion events and could affect phylogenetic signal and local rate estimates. Fragaria mitogenomes preferentially accumulate deletions relative to insertions and substantial genomic arrangements, whereas mutation rates could positively associate with these sequence and structural changes among species. Together, these observations suggest that plant mitogenomes exhibit low point mutations genome-wide but exceptionally high structural variations, and our results favour a gain-and-loss model for the rapid loss of homology among plant mitogenomes.</t>
  </si>
  <si>
    <t>Fan, Weishu</t>
  </si>
  <si>
    <t>[Fan, Weishu; Liu, Fang; Jia, Qiaoya; Du, Haiyuan; Chen, Wu; Li, De-Zhu; Zhu, Andan] Chinese Acad Sci, Germplasm Bank Wild Species, Kunming Inst Bot, Kunming 650201, Yunnan, Peoples R China; [Liu, Fang; Du, Haiyuan; Chen, Wu] Univ Chinese Acad Sci, Beijing 100049, Peoples R China; [Jia, Qiaoya] Yunnan Univ, Sch Life Sci, Kunming 650500, Yunnan, Peoples R China; [Ruan, Jiwei] Yunnan Acad Agr Sci, Flower Res Inst, Kunming 650205, Yunnan, Peoples R China; [Lei, Jiajun] Shenyang Agr Univ, Coll Hort, Shenyang 110866, Liaoning, Peoples R China; [Mower, Jeffrey P.] Univ Nebraska, Ctr Plant Sci Innovat, Lincoln, NE 68588 USA; [Mower, Jeffrey P.] Univ Nebraska, Dept Agron &amp; Hort, Lincoln, NE 68583 USA</t>
  </si>
  <si>
    <t>Chinese Academy of Sciences; Kunming Institute of Botany, CAS; Chinese Academy of Sciences; University of Chinese Academy of Sciences, CAS; Yunnan University; Yunnan Academy of Agricultural Sciences; Shenyang Agricultural University; University of Nebraska System; University of Nebraska Lincoln; University of Nebraska System; University of Nebraska Lincoln</t>
  </si>
  <si>
    <t>Li, DZ; Zhu, AD (通讯作者)，Chinese Acad Sci, Germplasm Bank Wild Species, Kunming Inst Bot, Kunming 650201, Yunnan, Peoples R China.;Mower, JP (通讯作者)，Univ Nebraska, Ctr Plant Sci Innovat, Lincoln, NE 68588 USA.;Mower, JP (通讯作者)，Univ Nebraska, Dept Agron &amp; Hort, Lincoln, NE 68583 USA.</t>
  </si>
  <si>
    <t>dzl@mail.kib.ac.cn; jpmower@unl.edu; zhuandan@mail.kib.ac.cn</t>
  </si>
  <si>
    <t>Li, De-Zhu/G-8203-2011; Mower, Jeffrey/B-7875-2008</t>
  </si>
  <si>
    <t>Li, De-Zhu/0000-0002-4990-724X; Zhu, Andan/0000-0002-4417-565X; Mower, Jeffrey/0000-0002-1501-5809; Liu, Fang/0000-0002-4980-8700</t>
  </si>
  <si>
    <t>National Key Research and Development Programme of China [2018YFD1000107]; open research project of 'Cross-Cooperative Team' of the Germplasm Bank of Wild Species; University of Nebraska; National Science Foundation of China [31860534]; CAS 'Light of West China' Programme</t>
  </si>
  <si>
    <t>National Key Research and Development Programme of China; open research project of 'Cross-Cooperative Team' of the Germplasm Bank of Wild Species; University of Nebraska; National Science Foundation of China(National Natural Science Foundation of China (NSFC)); CAS 'Light of West China' Programme</t>
  </si>
  <si>
    <t>We thank Chumeng Zhu and Hong Wan for germplasm collections and plant care in the glasshouse. We also greatly appreciate Dr Jeff Palmer (Indiana University) for helpful discussions and constructive suggestions on microinversion analysis. This study was partially supported by the National Key Research and Development Programme of China (2018YFD1000107), the open research project of 'Cross-Cooperative Team' of the Germplasm Bank of Wild Species to AZ, the University of Nebraska to JPM, the National Science Foundation of China (no. 31860534) to JR and the CAS 'Light of West China' Programme to WF.</t>
  </si>
  <si>
    <t>0028-646X</t>
  </si>
  <si>
    <t>1469-8137</t>
  </si>
  <si>
    <t>NEW PHYTOL</t>
  </si>
  <si>
    <t>New Phytol.</t>
  </si>
  <si>
    <t>10.1111/nph.18334</t>
  </si>
  <si>
    <t>4W6SA</t>
  </si>
  <si>
    <t>WOS:000823138300001</t>
  </si>
  <si>
    <t>Song, B; Sun, L; Barrett, SCH; Moles, AT; Luo, YH; Armbruster, WS; Gao, YQ; Zhang, S; Zhang, ZQ; Sun, H</t>
  </si>
  <si>
    <t>Song, Bo; Sun, Lu; Barrett, Spencer C. H.; Moles, Angela T.; Luo, Ya-Huang; Armbruster, W. Scott; Gao, Yong-Qian; Zhang, Shuang; Zhang, Zhi-Qiang; Sun, Hang</t>
  </si>
  <si>
    <t>Global analysis of floral longevity reveals latitudinal gradients and biotic and abiotic correlates</t>
  </si>
  <si>
    <t>flower life span; global climate change; latitudinal variation; mating systems; pollen limitation; pollinator guilds; pollinator reliability</t>
  </si>
  <si>
    <t>R PACKAGE; HEMISPHERIC ASYMMETRIES; REPRODUCTIVE ECOLOGY; POLLEN LIMITATION; FLOWER LONGEVITY; POLLINATION; BIODIVERSITY; TEMPERATURE; PATTERNS; TRAITS</t>
  </si>
  <si>
    <t>The length of time a flower remains open and functional - floral longevity - governs important reproductive processes influencing pollination and mating and varies considerably among angiosperm species. However, little is known about large-scale biogeographic patterns and the correlates of floral longevity. Using published data on floral longevity from 818 angiosperm species in 134 families and 472 locations world-wide, we present the first global quantification of the latitudinal pattern of floral longevity and the relationships between floral longevity and a range of biotic and abiotic factors. Floral longevity exhibited a significant phylogenetic signal and was longer at higher latitudes in both northern and southern hemispheres, even after accounting for elevation. This latitudinal variation was associated with several biotic and abiotic variables. The mean temperature of the flowering season had the highest predictive power for floral longevity, followed by pollen number per flower. Surprisingly, compatibility status, flower size, pollination mode, and growth form had no significant effects on flower longevity. Our results suggest that physiological processes associated with floral maintenance play a key role in explaining latitudinal variation in floral longevity across global ecosystems, with potential implications for floral longevity under global climate change and species distributions.</t>
  </si>
  <si>
    <t>Song, Bo</t>
  </si>
  <si>
    <t>[Song, Bo; Sun, Lu; Luo, Ya-Huang; Sun, Hang] Chinese Acad Sci, Kunming Inst Bot, Key Lab Plant Divers &amp; Biogeog East Asia, Kunming 650201, Yunnan, Peoples R China; [Song, Bo] Chinese Acad Sci, Kunming Inst Bot, Yunnan Int Joint Lab Biodivers Cent Asia, Kunming 650201, Yunnan, Peoples R China; [Barrett, Spencer C. H.] Univ Toronto, Dept Ecol &amp; Evolutionary Biol, 25 Willcocks St, Toronto, ON M5S 3B2, Canada; [Moles, Angela T.] UNSW Sydney, Sch Biol Earth &amp; Environm Sci, Evolut &amp; Ecol Res Ctr, Sydney, NSW 2052, Australia; [Armbruster, W. Scott] Univ Portsmouth, Sch Biol Sci, Portsmouth PO1 2DY, Hants, England; [Armbruster, W. Scott] Univ Alaska Fairbanks, Inst Arctic Biol, Fairbanks, AK 99775 USA; [Gao, Yong-Qian] Yunnan Forestry Technol Coll, Kunming 650224, Yunnan, Peoples R China; [Zhang, Shuang] Chinese Acad Sci, Res Ctr Ecoenvironm Sci, State Key Lab Urban &amp; Reg Ecol, Beijing 100085, Peoples R China; [Zhang, Zhi-Qiang] Yunnan Univ, Sch Ecol &amp; Environm Sci, Inst Biodivers, Yunnan Key Lab Plant Reprod Adaptat &amp; Evolutionar, Kunming 650504, Yunnan, Peoples R China</t>
  </si>
  <si>
    <t>Chinese Academy of Sciences; Kunming Institute of Botany, CAS; Chinese Academy of Sciences; Kunming Institute of Botany, CAS; University of Toronto; University of New South Wales Sydney; University of Portsmouth; University of Alaska System; University of Alaska Fairbanks; Chinese Academy of Sciences; Research Center for Eco-Environmental Sciences (RCEES); Yunnan University</t>
  </si>
  <si>
    <t>Sun, H (通讯作者)，Chinese Acad Sci, Kunming Inst Bot, Key Lab Plant Divers &amp; Biogeog East Asia, Kunming 650201, Yunnan, Peoples R China.;Zhang, S (通讯作者)，Chinese Acad Sci, Res Ctr Ecoenvironm Sci, State Key Lab Urban &amp; Reg Ecol, Beijing 100085, Peoples R China.;Zhang, ZQ (通讯作者)，Yunnan Univ, Sch Ecol &amp; Environm Sci, Inst Biodivers, Yunnan Key Lab Plant Reprod Adaptat &amp; Evolutionar, Kunming 650504, Yunnan, Peoples R China.</t>
  </si>
  <si>
    <t>shuangzhang@rcees.ac.cn; zq.zhang@ynu.edu.cn; sunhang@mail.kib.ac.cn</t>
  </si>
  <si>
    <t>Zhi-Qiang, Zhang/GWZ-6955-2022; Armbruster, William Scott/B-4799-2013; Moles, Angela/C-3083-2008</t>
  </si>
  <si>
    <t>Zhi-Qiang, Zhang/0000-0002-6907-3481; Sun, Hang/0000-0001-5127-4579; Moles, Angela/0000-0003-2041-7762; Armbruster, William Scott/0000-0001-8057-4116; Luo, Ya-Huang/0000-0002-0073-419X; Zhang, Shuang/0000-0002-7367-4917; Sun, Lu/0000-0002-7688-6472</t>
  </si>
  <si>
    <t>Second Tibetan Plateau Scientific Expedition and Research program [2019QZKK0502]; Strategic Priority Research Program of the Chinese Academy of Sciences [XDA20050203]; National Natural Science Foundation of China [32071669, U1802232]; National Key Research and Development Program of China [2017YFC0505200]; Young Academic and Technical Leader Raising Foundation of Yunnan Province [2017HB062]; Ten-thousand Talents Program of Yunnan Province [YNWR-QNBJ-2018-208]</t>
  </si>
  <si>
    <t>Second Tibetan Plateau Scientific Expedition and Research program; Strategic Priority Research Program of the Chinese Academy of Sciences(Chinese Academy of Sciences); National Natural Science Foundation of China(National Natural Science Foundation of China (NSFC)); National Key Research and Development Program of China; Young Academic and Technical Leader Raising Foundation of Yunnan Province; Ten-thousand Talents Program of Yunnan Province</t>
  </si>
  <si>
    <t>We thank Qi Xu for data collection, and Prof. Jie Yang and Prof. Yang Niu for their constructive suggestions. This work was supported by the Second Tibetan Plateau Scientific Expedition and Research program (2019QZKK0502), the Strategic Priority Research Program of the Chinese Academy of Sciences (XDA20050203), the National Natural Science Foundation of China (32071669 and U1802232), the National Key Research and Development Program of China (2017YFC0505200), the Young Academic and Technical Leader Raising Foundation of Yunnan Province (2017HB062), and the Ten-thousand Talents Program of Yunnan Province (YNWR-QNBJ-2018-208).</t>
  </si>
  <si>
    <t>10.1111/nph.18271</t>
  </si>
  <si>
    <t>3L5DN</t>
  </si>
  <si>
    <t>WOS:000811797600001</t>
  </si>
  <si>
    <t>Jia, KH; Wang, ZX; Wang, LX; Li, GY; Zhang, W; Wang, XL; Xu, FJ; Jiao, SQ; Zhou, SS; Liu, H; Ma, YP; Bi, GQ; Zhao, W; El-Kassaby, YA; Porth, I; Li, GW; Zhang, RG; Mao, JF</t>
  </si>
  <si>
    <t>Jia, Kai-Hua; Wang, Zhao-Xuan; Wang, Longxin; Li, Guang-Yuan; Zhang, Wei; Wang, Xiao-Ling; Xu, Fang-Ji; Jiao, Si-Qian; Zhou, Shan-Shan; Liu, Hui; Ma, Yongpeng; Bi, Guiqi; Zhao, Wei; El-Kassaby, Yousry A.; Porth, Ilga; Li, Guowei; Zhang, Ren-Gang; Mao, Jian-Feng</t>
  </si>
  <si>
    <t>SubPhaser: a robust allopolyploid subgenome phasing method based on subgenome-specific k-mers</t>
  </si>
  <si>
    <t>allopolyploids; k-mer; phasing; subgenome; SubPhaser</t>
  </si>
  <si>
    <t>GENOME; DIVERSITY; POLYPLOIDY; EVOLUTION; EFFICIENT; RETROTRANSPOSONS; SOFTWARE; SEQUENCE; ORIGIN; TOOL</t>
  </si>
  <si>
    <t>With advanced sequencing technology, dozens of complex polyploid plant genomes have been characterized. However, for many polyploid species, their diploid ancestors are unknown or extinct, making it impossible to unravel the subgenomes and genome evolution directly. We developed a novel subgenome-phasing algorithm, SubPhaser, specifically designed for a neoallopolyploid or a homoploid hybrid. SubPhaser first searches for the subgenome-specific sequence (k-mer), then assigns homoeologous chromosomes into subgenomes, and further provides tools to annotate and investigate specific sequences. SubPhaser works well on neoallopolyploids and homoploid hybrids containing subgenome-specific sequences like wheat, but fails on autopolyploids lacking subgenome-specific sequences like alfalfa, indicating that SubPhaser can phase neoallopolyploid/homoploid hybrids with high accuracy, sensitivity and performance. This highly accurate, highly sensitive, ancestral data free chromosome phasing algorithm, SubPhaser, offers significant application value for subgenome phasing in neoallopolyploids and homoploid hybrids, and for the subsequent exploration of genome evolution and related genetic/epigenetic mechanisms.</t>
  </si>
  <si>
    <t>Jia, Kai-Hua</t>
  </si>
  <si>
    <t>[Jia, Kai-Hua; Xu, Fang-Ji; Li, Guowei] Shandong Acad Agr Sci, Inst Crop Germplasm Resources, Key Lab Crop Genet Improvement &amp; Ecol &amp; Physiol, Jinan 250100, Peoples R China; [Jia, Kai-Hua; Jiao, Si-Qian; Zhou, Shan-Shan; Liu, Hui; Zhao, Wei; Mao, Jian-Feng] Beijing Forestry Univ, Beijing Adv Innovat Ctr Tree Breeding Mol Design, Coll Biol Sci &amp; Technol,Natl Engn Res Ctr Tree Br, Minist Educ,Key Lab Genet &amp; Breeding Forest Trees, Beijing 100083, Peoples R China; [Wang, Zhao-Xuan] Shijiazhuang Peoples Med Coll, Shijiazhuang 050091, Hebei, Peoples R China; [Wang, Longxin] Univ Jinan, Sch Biol Sci &amp; Technol, Jinan 250022, Peoples R China; [Li, Guang-Yuan; Zhang, Wei; Zhang, Ren-Gang] Ori Shandong Gene Sci &amp; Technol Co Ltd, Dept Bioinformat, Weifang 261322, Peoples R China; [Wang, Xiao-Ling] BGI Shenzhen, Shenzhen 518083, Peoples R China; [Wang, Xiao-Ling] Univ Chinese Acad Sci, BGI Educ Ctr, Shenzhen 518083, Peoples R China; [Ma, Yongpeng] Chinese Acad Sci, Kunming Inst Bot, Yunnan Key Lab Integrat Conservat Plant Species E, Kunming 650201, Yunnan, Peoples R China; [Bi, Guiqi] Chinese Acad Agr Sci, Agr Genom Inst Shenzhen,Genome Anal Lab, Minist Agr &amp; Rural Affairs,Shenzhen Key Lab Agr S, Shenzhen Branch,Guangdong Lab Lingnan Modern Agr, Shenzhen 518124, Peoples R China; [El-Kassaby, Yousry A.] Univ British Columbia, Fac Forestry, Dept Forest &amp; Conservat Sci, Vancouver, BC V6T 1Z4, Canada; [Porth, Ilga] Univ Laval, Fac Foresterie Geog &amp; Geomat, Dept Sci Bois &amp; Foret, Quebec City, PQ G1V 0A6, Canada</t>
  </si>
  <si>
    <t>Shandong Academy of Agricultural Sciences; Beijing Forestry University; University of Jinan; Beijing Genomics Institute (BGI); Chinese Academy of Sciences; University of Chinese Academy of Sciences, CAS; Chinese Academy of Sciences; Kunming Institute of Botany, CAS; China Construction Bank; Chinese Academy of Agricultural Sciences; Agriculture Genomes Institute at Shenzhen, CAAS; Guangdong Laboratory for Lingnan Modern Agriculture; Ministry of Agriculture &amp; Rural Affairs; University of British Columbia; Laval University</t>
  </si>
  <si>
    <t>Li, GW (通讯作者)，Shandong Acad Agr Sci, Inst Crop Germplasm Resources, Key Lab Crop Genet Improvement &amp; Ecol &amp; Physiol, Jinan 250100, Peoples R China.;Mao, JF (通讯作者)，Beijing Forestry Univ, Beijing Adv Innovat Ctr Tree Breeding Mol Design, Coll Biol Sci &amp; Technol,Natl Engn Res Ctr Tree Br, Minist Educ,Key Lab Genet &amp; Breeding Forest Trees, Beijing 100083, Peoples R China.;Zhang, RG (通讯作者)，Ori Shandong Gene Sci &amp; Technol Co Ltd, Dept Bioinformat, Weifang 261322, Peoples R China.</t>
  </si>
  <si>
    <t>ligw_saas@163.com; zhangrengang@ori-gene.cn; jianfeng.mao@bjfu.edu.cn</t>
  </si>
  <si>
    <t>Zhang, Ren-Gang/GWQ-4268-2022; Porth, Ilga M/N-4862-2015</t>
  </si>
  <si>
    <t>Porth, Ilga M/0000-0002-9344-6348; Jia, Kai-Hua/0000-0002-8134-5830; Liu, Hui/0000-0003-1980-5952</t>
  </si>
  <si>
    <t>Taishan Scholar Program [tsqn20161058]; Agricultural Science and Technology Innovation Project of SAAS [CXGC2022E13, CXGC2021A09]; National Natural Science Foundation of China [32171816, 31871665]; Foundations from Science Technology Department of Shandong [YDZX20203700001861]</t>
  </si>
  <si>
    <t>Taishan Scholar Program; Agricultural Science and Technology Innovation Project of SAAS; National Natural Science Foundation of China(National Natural Science Foundation of China (NSFC)); Foundations from Science Technology Department of Shandong</t>
  </si>
  <si>
    <t>This study was supported by the Taishan Scholar Program (no. tsqn20161058), the Agricultural Science and Technology Innovation Project of SAAS (CXGC2022E13, CXGC2021A09), the National Natural Science Foundation of China (32171816, 31871665) and the Foundations from Science Technology Department of Shandong (YDZX20203700001861). The authors declare no competing interests.</t>
  </si>
  <si>
    <t>JUL</t>
  </si>
  <si>
    <t>10.1111/nph.18173</t>
  </si>
  <si>
    <t>2G4AP</t>
  </si>
  <si>
    <t>WOS:000793936900001</t>
  </si>
  <si>
    <t>Lebreton, A; Tang, NW; Kuo, A; LaButti, K; Andreopoulos, W; Drula, E; Miyauchi, S; Barry, K; Clum, A; Lipzen, A; Mousain, D; Ng, V; Wang, R; Dai, YC; Henrissat, B; Grigoriev, IV; Guerin-Laguette, A; Yu, FQ; Martin, FM</t>
  </si>
  <si>
    <t>Lebreton, Annie; Tang, Nianwu; Kuo, Alan; LaButti, Kurt; Andreopoulos, William; Drula, Elodie; Miyauchi, Shingo; Barry, Kerrie; Clum, Alicia; Lipzen, Anna; Mousain, Daniel; Ng, Vivian; Wang, Ran; Dai, Yucheng; Henrissat, Bernard; Grigoriev, Igor V.; Guerin-Laguette, Alexis; Yu, Fuqiang; Martin, Francis M.</t>
  </si>
  <si>
    <t>Comparative genomics reveals a dynamic genome evolution in the ectomycorrhizal milk-cap (Lactarius) mushrooms</t>
  </si>
  <si>
    <t>comparative genomics; ectomycorrhizal fungi; proteases; Russulales; trait evolution</t>
  </si>
  <si>
    <t>SECTION DELICIOSI; MECHANISMS; PROTEIN; LECTIN; FUNGI; DIVERSIFICATION; IDENTIFICATION; GENES</t>
  </si>
  <si>
    <t>Ectomycorrhizal fungi play a key role in forests by establishing mutualistic symbioses with woody plants. Genome analyses have identified conserved symbiosis-related traits among ectomycorrhizal fungal species, but the molecular mechanisms underlying host specificity remain poorly known. We sequenced and compared the genomes of seven species of milk-cap fungi (Lactarius, Russulales) with contrasting host specificity. We also compared these genomes with those of symbiotic and saprotrophic Russulales species, aiming to identify genes involved in their ecology and host specificity. The size of Lactarius genomes is significantly larger than other Russulales species, owing to a massive accumulation of transposable elements and duplication of dispensable genes. As expected, their repertoire of genes coding for plant cell wall-degrading enzymes is restricted, but they retained a substantial set of genes involved in microbial cell wall degradation. Notably, Lactarius species showed a striking expansion of genes encoding proteases, such as secreted ectomycorrhiza-induced sedolisins. A high copy number of genes coding for small secreted LysM proteins and Lactarius-specific lectins were detected, which may be linked to host specificity. This study revealed a large diversity in the genome landscapes and gene repertoires within Russulaceae. The known host specificity of Lactarius symbionts may be related to mycorrhiza-induced species-specific genes, including secreted sedolisins.</t>
  </si>
  <si>
    <t>Lebreton, Annie</t>
  </si>
  <si>
    <t>[Lebreton, Annie; Dai, Yucheng; Martin, Francis M.] Beijing Forestry Univ, Beijing Adv Innovat Ctr Tree Breeding Mol Design, Beijing 100083, Peoples R China; [Lebreton, Annie; Tang, Nianwu; Martin, Francis M.] Univ Lorraine, Unit mixte Rech Interact Arbres Microorganismes, Ctr INRAE, INRAE, F-54280 Champenoux, France; [Tang, Nianwu; Wang, Ran; Yu, Fuqiang] Chinese Acad Sci, Kunming Inst Bot, Yunnan Key Lab Fungal Div &amp; Green Dev, Germplasm Bank Wild Species, Kunming 650201, Yunnan, Peoples R China; [Kuo, Alan; LaButti, Kurt; Barry, Kerrie; Clum, Alicia; Lipzen, Anna; Ng, Vivian; Grigoriev, Igor V.] Lawrence Berkeley Natl Lab, US Dept Energy Joint Genome Inst, Berkeley, CA 94720 USA; [Andreopoulos, William] Univ Calif Berkeley, US Dept Energy Joint Genome Inst, Berkeley, CA 94720 USA; [Drula, Elodie] Aix Marseille Univ, CNRS, F-13288 Marseille, France; [Drula, Elodie] INRAE, AFMB USC1408, F-13288 Marseille, France; [Miyauchi, Shingo] Max Planck Inst Plant Breeding Res, Dept Plant Microbe Interact, D-50829 Cologne, Germany; [Mousain, Daniel] INRAE, 11 rue Demians, F-30000 Nimes, France; [Henrissat, Bernard] Tech Univ Denmark, Dept Biotechnol &amp; Biomed DTU Bioengn, DK-2800 Lyngby, Denmark; [Henrissat, Bernard] King Abdulaziz Univ, Dept Biol Sci, Jeddah 21589, Saudi Arabia; [Grigoriev, Igor V.] Univ Calif Berkeley, Dept Plant &amp; Microbial Biol, Berkeley, CA 94720 USA; [Guerin-Laguette, Alexis] Mycotree C Southern Woods Nursery, 1002 Robinsons Rd,RD8, Christchurch 7678, New Zealand</t>
  </si>
  <si>
    <t>Beijing Forestry University; INRAE; Universite de Lorraine; Chinese Academy of Sciences; Kunming Institute of Botany, CAS; United States Department of Energy (DOE); Lawrence Berkeley National Laboratory; University of California System; University of California Berkeley; Centre National de la Recherche Scientifique (CNRS); UDICE-French Research Universities; Aix-Marseille Universite; INRAE; Max Planck Society; INRAE; Technical University of Denmark; King Abdulaziz University; University of California System; University of California Berkeley</t>
  </si>
  <si>
    <t>Martin, FM (通讯作者)，Beijing Forestry Univ, Beijing Adv Innovat Ctr Tree Breeding Mol Design, Beijing 100083, Peoples R China.;Tang, NW; Martin, FM (通讯作者)，Univ Lorraine, Unit mixte Rech Interact Arbres Microorganismes, Ctr INRAE, INRAE, F-54280 Champenoux, France.;Tang, NW; Yu, FQ (通讯作者)，Chinese Acad Sci, Kunming Inst Bot, Yunnan Key Lab Fungal Div &amp; Green Dev, Germplasm Bank Wild Species, Kunming 650201, Yunnan, Peoples R China.</t>
  </si>
  <si>
    <t>tangnianwu@hotmail.com; fqyu@mail.kib.ac.cn; francis.martin@inrae.fr</t>
  </si>
  <si>
    <t>Barry, Kerrie Whitelaw/AAA-5500-2020; TANG, Nianwu/AAJ-3159-2021</t>
  </si>
  <si>
    <t>Barry, Kerrie Whitelaw/0000-0002-8999-6785; Lipzen, Anna/0000-0003-2293-9329; Lebreton, Annie/0000-0002-8301-9983; miyauchi, shingo/0000-0002-0620-5547; Kuo, Alan/0000-0003-3514-3530; TANG, Nianwu/0000-0001-9410-3737; Andreopoulos, William/0000-0001-9097-1123</t>
  </si>
  <si>
    <t>Chinese Scholarship Council (CSC); Yunnan Key Program of Science and Technology [202102AE090034]; Laboratory of Excellence ARBRE [ANR-11-LABX-0002-01]; Region Lorraine; European Regional Development Fund; Beijing Advanced Innovation Centre funding for Tree Breeding by Molecular Design, Beijing Forestry University; US Department of Energy; Joint Genome Institute; DOE Office of Science User Facility; Office of Science of the US Department of Energy [DE-AC0205CH11231]</t>
  </si>
  <si>
    <t>Chinese Scholarship Council (CSC)(China Scholarship Council); Yunnan Key Program of Science and Technology; Laboratory of Excellence ARBRE; Region Lorraine(Region Grand-Est); European Regional Development Fund(European Commission); Beijing Advanced Innovation Centre funding for Tree Breeding by Molecular Design, Beijing Forestry University; US Department of Energy(United States Department of Energy (DOE)); Joint Genome Institute(United States Department of Energy (DOE)); DOE Office of Science User Facility(United States Department of Energy (DOE)); Office of Science of the US Department of Energy(United States Department of Energy (DOE))</t>
  </si>
  <si>
    <t>This work was partially supported by Chinese Scholarship Council (CSC) (to NT); Yunnan Key Program of Science and Technology (202102AE090034) (to FY); Laboratory of Excellence ARBRE (ANR-11-LABX-0002-01), the Region Lorraine and the European Regional Development Fund (to FMM); Beijing Advanced Innovation Centre funding for Tree Breeding by Molecular Design, Beijing Forestry University (to A Lebreton, YD and FMM). This work was also funded by the US Department of Energy, Joint Genome Institute, a DOE Office of Science User Facility, and supported by the Office of Science of the US Department of Energy under contract no. DE-AC0205CH11231 within the framework of the Mycorrhizal Genomics Initiative (10.46936/10.25585/60000842), Metatranscriptomics of Forest Soil Ecosystems project (10.46936/10. 25585/60000986) and the 1000 Fungal Genome project (10. 46936/10.25585/60001060). We would like to thank Xianghua Wang for her assistance in the identification of some Lactarius isolates, and Annegret Kohler, Emmanuelle Morin, Franc~ ois Bonnardel and Anne Imberty for helpful discussions and suggestions. Joey Spatafora, Laszlo Nagy, Jon Magnusson, Daniel Lindner and Pedro Crous are acknowledged for the access to unpublished JGI genomes.</t>
  </si>
  <si>
    <t>10.1111/nph.18143</t>
  </si>
  <si>
    <t>1T3FM</t>
  </si>
  <si>
    <t>WOS:000788267100001</t>
  </si>
  <si>
    <t>Li, LF; Chen, XL; Fang, DM; Dong, SS; Guo, X; Li, N; Campos-Dominguez, L; Wang, WG; Liu, Y; Lang, XA; Peng, Y; Tian, DK; Thomas, DC; Mu, WX; Liu, M; Wu, CY; Yang, T; Zhang, SZ; Yang, LL; Yang, JF; Liu, ZJ; Zhang, LS; Zhang, XT; Chen, F; Jiao, YN; Guo, YL; Hughes, M; Wang, W; Liu, XF; Zhong, CM; Li, AR; Sahu, SK; Yang, HM; Wu, EN; Sharbrough, J; Lisby, M; Liu, X; Xu, X; Soltis, DE; Van de Peer, Y; Kidner, C; Zhang, SZ; Liu, H</t>
  </si>
  <si>
    <t>Li, Lingfei; Chen, Xiaoli; Fang, Dongming; Dong, Shanshan; Guo, Xing; Li, Na; Campos-Dominguez, Lucia; Wang, Wenguang; Liu, Yang; Lang, Xiaoan; Peng, Yang; Tian, Daike; Thomas, Daniel C.; Mu, Weixue; Liu, Min; Wu, Chenyu; Yang, Ting; Zhang, Suzhou; Yang, Leilei; Yang, Jianfen; Liu, Zhong-Jian; Zhang, Liangsheng; Zhang, Xingtan; Chen, Fei; Jiao, Yuannian; Guo, Yalong; Hughes, Mark; Wang, Wei; Liu, Xiaofei; Zhong, Chunmei; Li, Airong; Sahu, Sunil Kumar; Yang, Huanming; Wu, Ernest; Sharbrough, Joel; Lisby, Michael; Liu, Xin; Xu, Xun; Soltis, Douglas E.; Van de Peer, Yves; Kidner, Catherine; Zhang, Shouzhou; Liu, Huan</t>
  </si>
  <si>
    <t>Genomes shed light on the evolution of Begonia, a mega-diverse genus</t>
  </si>
  <si>
    <t>Begonia; evolution; genomes; introgression; shade adaptation; whole-genome duplication</t>
  </si>
  <si>
    <t>SEQUENCE; PHYLOGENIES; IMPROVEMENT; POLYPLOIDY; PLANTS</t>
  </si>
  <si>
    <t>Clarifying the evolutionary processes underlying species diversification and adaptation is a key focus of evolutionary biology. Begonia (Begoniaceae) is one of the most species-rich angiosperm genera with c. 2000 species, most of which are shade-adapted. Here, we present chromosome-scale genome assemblies for four species of Begonia (B. loranthoides, B. masoniana, B. darthvaderiana and B. peltatifolia), and whole genome shotgun data for an additional 74 Begonia representatives to investigate lineage evolution and shade adaptation of the genus. The four genome assemblies range in size from 331.75 Mb (B. peltatifolia) to 799.83 Mb (B. masoniana), and harbor 22 059-23 444 protein-coding genes. Synteny analysis revealed a lineage-specific whole-genome duplication (WGD) that occurred just before the diversification of Begonia. Functional enrichment of gene families retained after WGD highlights the significance of modified carbohydrate metabolism and photosynthesis possibly linked to shade adaptation in the genus, which is further supported by expansions of gene families involved in light perception and harvesting. Phylogenomic reconstructions and genomics studies indicate that genomic introgression has also played a role in the evolution of Begonia. Overall, this study provides valuable genomic resources for Begonia and suggests potential drivers underlying the diversity and adaptive evolution of this mega-diverse clade.</t>
  </si>
  <si>
    <t>Li, Lingfei</t>
  </si>
  <si>
    <t>[Li, Lingfei; Dong, Shanshan; Li, Na; Liu, Yang; Lang, Xiaoan; Peng, Yang; Zhang, Suzhou; Yang, Leilei; Yang, Jianfen; Zhang, Shouzhou] Shenzhen &amp; Chinese Acad Sci, Key Lab Southern Subtrop Plant Divers, Fairy Lake Bot Garden, Shenzhen 518004, Peoples R China; [Chen, Xiaoli; Fang, Dongming; Guo, Xing; Liu, Yang; Mu, Weixue; Liu, Min; Wu, Chenyu; Yang, Ting; Sahu, Sunil Kumar; Yang, Huanming; Liu, Xin; Xu, Xun; Liu, Huan] BGI Shenzhen, State Key Lab Agr Genom, Shenzhen 518083, Peoples R China; [Campos-Dominguez, Lucia; Hughes, Mark; Kidner, Catherine] Univ Edinburgh, Inst Mol Plant Sci, Daniel Rutherford Bldg Max Born Crescent, Edinburgh EH9 3BF, Midlothian, Scotland; [Campos-Dominguez, Lucia; Kidner, Catherine] Royal Bot Garden Edinburgh, 20a Inverleith Row, Edinburgh EH3 5LR, Midlothian, Scotland; [Wang, Wenguang] Chinese Acad Sci, Xishuangbanna Trop Bot Garden, Mengla 666303, Yunnan, Peoples R China; [Lang, Xiaoan] Nanning Bot Garden, Nanning 530021, Peoples R China; [Tian, Daike] Chinese Acad Sci, Shanghai Chenshan Bot Garden, Shanghai Chenshan Plant Sci Res Ctr, Shanghai 201602, Peoples R China; [Thomas, Daniel C.] Singapore Bot Gardens, Singapore 259569, Singapore; [Liu, Zhong-Jian; Zhang, Liangsheng; Zhang, Xingtan] Fujian Agr &amp; Forestry Univ, Key Lab Natl Forestry &amp; Grassland Adm Orchid Cons, Fuzhou 350002, Peoples R China; [Chen, Fei; Van de Peer, Yves] Nanjing Agr Univ, Acad Adv Interdisciplinary Studies, Coll Hort, Nanjing 210095, Peoples R China; [Jiao, Yuannian; Guo, Yalong; Wang, Wei] Univ Chinese Acad Sci, Beijing 100049, Peoples R China; [Jiao, Yuannian; Guo, Yalong; Wang, Wei] Chinese Acad Sci, Inst Bot, State Key Lab Systemat &amp; Evolutionary Bot, Beijing 100093, Peoples R China; [Liu, Xiaofei] Guangdong Acad Agr Sci, Environm Hort Res Inst, Guangzhou 510640, Peoples R China; [Zhong, Chunmei] South China Agr Univ, Coll Forestry &amp; Landscape Architecture, Key Lab Energy Plants Resource &amp; Utilizat, Minist Agr, Guangzhou 510642, Peoples R China; [Li, Airong] Chinese Acad Sci, Kunming Inst Bot, CAS Key Lab Plant Divers &amp; Biogeog East Asia, Kunming 650201, Yunnan, Peoples R China; [Wu, Ernest] Univ British Columbia, Dept Biol, Vancouver, BC V6T 1Z4, Canada; [Sharbrough, Joel] New Mexico Inst Min &amp; Technol, Biol Dept, Socorro, NM 87801 USA; [Lisby, Michael; Liu, Huan] Univ Copenhagen, Dept Biol, DK-2100 Copenhagen, Denmark; [Liu, Xin] BGI Shenzhen, BGI Fuyang, Fuyang 236009, Peoples R China; [Xu, Xun] BGI Shenzhen, Guangdong Prov Key Lab Genome Read &amp; Write, Shenzhen 518083, Peoples R China; [Soltis, Douglas E.] Univ Florida, Florida Museum Nat Hist, Gainesville, FL 32611 USA; [Van de Peer, Yves] Univ Ghent, Dept Plant Biotechnol &amp; Bioinformat, B-9052 Ghent, Belgium; [Van de Peer, Yves] Ctr Plant Syst Biol VIB, B-9052 Ghent, Belgium; [Van de Peer, Yves] Univ Pretoria, Ctr Microbial Ecol &amp; Genom CMEG, Dept Biochem Genet &amp; Microbiol, ZA-0028 Hatfield, South Africa</t>
  </si>
  <si>
    <t>Beijing Genomics Institute (BGI); University of Edinburgh; Chinese Academy of Sciences; Xishuangbanna Tropical Botanical Garden, CAS; Chinese Academy of Sciences; Shanghai Institutes for Biological Sciences, CAS; Fujian Agriculture &amp; Forestry University; Nanjing Agricultural University; Chinese Academy of Sciences; University of Chinese Academy of Sciences, CAS; Chinese Academy of Sciences; Institute of Botany, CAS; Guangdong Academy of Agricultural Sciences; Ministry of Agriculture &amp; Rural Affairs; South China Agricultural University; Chinese Academy of Sciences; Kunming Institute of Botany, CAS; University of British Columbia; New Mexico Institute of Mining Technology; University of Copenhagen; Beijing Genomics Institute (BGI); Beijing Genomics Institute (BGI); State University System of Florida; University of Florida; Ghent University; Flanders Institute for Biotechnology (VIB); University of Pretoria</t>
  </si>
  <si>
    <t>Zhang, SZ (通讯作者)，Shenzhen &amp; Chinese Acad Sci, Key Lab Southern Subtrop Plant Divers, Fairy Lake Bot Garden, Shenzhen 518004, Peoples R China.;Liu, H (通讯作者)，BGI Shenzhen, State Key Lab Agr Genom, Shenzhen 518083, Peoples R China.;Liu, H (通讯作者)，Univ Copenhagen, Dept Biol, DK-2100 Copenhagen, Denmark.</t>
  </si>
  <si>
    <t>shouzhouz@szbg.ac.cn; liuhuan@genomics.cn</t>
  </si>
  <si>
    <t>Sahu, Sunil Kumar/I-5261-2019; Jiao, Yuannian/AAZ-7054-2021; YANG, LEI/GQH-4271-2022; Lisby, Michael/K-9814-2014</t>
  </si>
  <si>
    <t>Sahu, Sunil Kumar/0000-0002-4742-9870; Jiao, Yuannian/0000-0002-8987-2782; Li, Lingfei/0000-0001-5115-5166; Zhang, Liangsheng/0000-0003-1919-3677; Campos-Dominguez, Lucia/0000-0002-8998-3394; dong, shanshan/0000-0002-2557-3361; Lisby, Michael/0000-0002-4830-5247; Liu, Yang/0000-0002-5942-839X; Zhang, Shouzhou/0000-0001-9070-0593; Hughes, Mark/0000-0002-2168-0514</t>
  </si>
  <si>
    <t>National Key R&amp;D Program of China [2019YFC1711000]; Shenzhen Municipal Government of China [JCYJ20170817145512476]; Shenzhen Urban Administration [201917]; Fairy Lake Botanical Garden [FLSF-2021-01]; Public Welfare Forestry Industry Project of State Forestry Administration of China [201504322]; National Natural Science Foundation of China [31601784]; European Research Council (ERC) under the European Union's Horizon 2020 research and innovation program [833522]; Ghent University [BOF.MET.2021.0005.01]</t>
  </si>
  <si>
    <t>National Key R&amp;D Program of China; Shenzhen Municipal Government of China; Shenzhen Urban Administration; Fairy Lake Botanical Garden; Public Welfare Forestry Industry Project of State Forestry Administration of China; National Natural Science Foundation of China(National Natural Science Foundation of China (NSFC)); European Research Council (ERC) under the European Union's Horizon 2020 research and innovation program(European Research Council (ERC)); Ghent University(Ghent University)</t>
  </si>
  <si>
    <t>We thank Dr Cecilia Koo Botanic Conservation Center (KBCC, Taiwan), Wenke Dong, Kai Xie, Zhongxuan Wang, Taijiu Zhou for providing materials; Hongbin Wang, Qi Chen (Sun Yat-sen University) for kindly providing equipment for photosynthesis; Jianjun Jin (Kunming Institute of Botany, Chinese Academy of Sciences, China) for assistance with plastome assembly; Xiaoquan Wang, Hongyan Shan, Daming Zhang (Institute of Botany, Chinese Academy of Sciences, China), Zhiqiang Wu, Li Wang (Agricultural Genomics Institute at Shenzhen, Chinese Academy of Agricultural Sciences) and Hong Wu (South China Agricultural University) for suggestions and constructive discussions and advice. This work was supported by funding from the National Key R&amp;D Program of China (2019YFC1711000), the Shenzhen Municipal Government of China (JCYJ20170817145512476), the Shenzhen Urban Administration (201917), the Fairy Lake Botanical Garden (FLSF-2021-01), the Public Welfare Forestry Industry Project of State Forestry Administration of China (201504322), and the National Natural Science Foundation of China (31601784). This work is part of the 10KP project. YVdP acknowledges funding from the European Research Council (ERC) under the European Union's Horizon 2020 research and innovation program (grant agreement 833522) and from Ghent University (Methusalem funding, BOF.MET.2021.0005.01).</t>
  </si>
  <si>
    <t>10.1111/nph.17949</t>
  </si>
  <si>
    <t>ZL0WP</t>
  </si>
  <si>
    <t>WOS:000752964900001</t>
  </si>
  <si>
    <t>Wu, G; Miyauchi, S; Morin, E; Kuo, A; Drula, E; Varga, T; Kohler, A; Feng, B; Cao, Y; Lipzen, A; Daum, C; Hundley, H; Pangilinan, J; Johnson, J; Barry, K; LaButti, K; Ng, V; Ahrendt, S; Min, B; Choi, IG; Park, H; Plett, JM; Magnuson, J; Spatafora, JW; Nagy, LG; Henrissat, B; Grigoriev, IV; Yang, ZL; Xu, JP; Martin, FM</t>
  </si>
  <si>
    <t>Wu, Gang; Miyauchi, Shingo; Morin, Emmanuelle; Kuo, Alan; Drula, Elodie; Varga, Torda; Kohler, Annegret; Feng, Bang; Cao, Yang; Lipzen, Anna; Daum, Christopher; Hundley, Hope; Pangilinan, Jasmyn; Johnson, Jenifer; Barry, Kerrie; LaButti, Kurt; Ng, Vivian; Ahrendt, Steven; Min, Byoungnam; Choi, In-Geol; Park, Hongjae; Plett, Jonathan M.; Magnuson, Jon; Spatafora, Joseph W.; Nagy, Laszlo G.; Henrissat, Bernard; Grigoriev, Igor V.; Yang, Zhu-Liang; Xu, Jianping; Martin, Francis M.</t>
  </si>
  <si>
    <t>Evolutionary innovations through gain and loss of genes in the ectomycorrhizal Boletales</t>
  </si>
  <si>
    <t>Boletales; brown-rot fungi; CAZymes; comparative genomics; ectomycorrhizal fungi; trait evolution</t>
  </si>
  <si>
    <t>R/BIOCONDUCTOR PACKAGE; PHYLOGENETIC ANALYSIS; HOST-SPECIFICITY; FUNGI; GENUS; DIVERSITY</t>
  </si>
  <si>
    <t>We aimed to identify genomic traits of transitions to ectomycorrhizal ecology within the Boletales by comparing the genomes of 21 symbiotrophic species with their saprotrophic brown-rot relatives. Gene duplication rate is constant along the backbone of Boletales phylogeny with large loss events in several lineages, while gene family expansion sharply increased in the late Miocene, mostly in the Boletaceae. Ectomycorrhizal Boletales have a reduced set of plant cell-wall-degrading enzymes (PCWDEs) compared with their brown-rot relatives. However, the various lineages retain distinct sets of PCWDEs, suggesting that, over their evolutionary history, symbiotic Boletales have become functionally diverse. A smaller PCWDE repertoire was found in Sclerodermatineae. The gene repertoire of several lignocellulose oxidoreductases (e.g. laccases) is similar in brown-rot and ectomycorrhizal species, suggesting that symbiotic Boletales are capable of mild lignocellulose decomposition. Transposable element (TE) proliferation contributed to the higher evolutionary rate of genes encoding effector-like small secreted proteins, proteases, and lipases. On the other hand, we showed that the loss of secreted CAZymes was not related to TE activity but to DNA decay. This study provides novel insights on our understanding of the mechanisms influencing the evolutionary diversification of symbiotic boletes.</t>
  </si>
  <si>
    <t>Wu, Gang</t>
  </si>
  <si>
    <t>[Wu, Gang; Feng, Bang; Yang, Zhu-Liang] Chinese Acad Sci, Kunming Inst Bot, CAS Key Lab Plant Div &amp; Biogeog East Asia, Kunming 650201, Yunnan, Peoples R China; [Wu, Gang; Miyauchi, Shingo; Morin, Emmanuelle; Kohler, Annegret; Martin, Francis M.] Univ Lorraine, Ctr INRAE Grand Est Nancy, INRAE, UMR Interact Arbres Microorganismes, F-54280 Champenoux, France; [Wu, Gang; Feng, Bang; Yang, Zhu-Liang] Yunnan Key Lab Fungal Divers &amp; Green Dev, Kunming 650201, Yunnan, Peoples R China; [Kuo, Alan; Lipzen, Anna; Daum, Christopher; Hundley, Hope; Pangilinan, Jasmyn; Johnson, Jenifer; Barry, Kerrie; LaButti, Kurt; Ng, Vivian; Ahrendt, Steven; Min, Byoungnam; Grigoriev, Igor V.] Lawrence Berkeley Natl Lab, US Dept Energy DOE, Joint Genome Inst JGI, Berkeley, CA 94720 USA; [Drula, Elodie; Henrissat, Bernard] INRAE, Architecture &amp; Fonct Macromol Biol USC1408, F-13009 Marseille, France; [Varga, Torda] Biol Res Ctr, Synthet &amp; Syst Biol Unit, H-6726 Szeged, Hungary; [Cao, Yang] Yunnan Inst Trop Crops, Jinghong 666100, Yunnan, Peoples R China; [Min, Byoungnam; Choi, In-Geol] Korea Univ, Dept Biotechnol, Coll Life Sci &amp; Biotechnol, Seoul 02841, South Korea; [Park, Hongjae] Czech Acad Sci, Inst Hydrobiol, Dept Aquat Microbial Ecol, Ctr Biol, Ceske Budejovice 37005, Czech Republic; [Plett, Jonathan M.] Western Sydney Univ, Hawkesbury Inst Environm, Richmond, NSW 2753, Australia; [Magnuson, Jon] Pacific Northwest Natl Lab, Chem &amp; Biol Proc Dev Grp, Richland, WA 99354 USA; [Spatafora, Joseph W.] Oregon State Univ, Dept Bot &amp; Plant Pathol, Corvallis, OR 97331 USA; [Nagy, Laszlo G.] Eotvos Lorand Univ, Inst Biol, Dept Plant Anat, H-1117 Budapest, Hungary; [Henrissat, Bernard] Aix Marseille Univ, CNRS, Architecture &amp; Fonct Macromol Biol, F-13009 Marseille, France; [Henrissat, Bernard] King Abdulaziz Univ, Dept Biol Sci, Jeddah 21589, Saudi Arabia; [Grigoriev, Igor V.] Univ Calif Berkeley, Dept Plant &amp; Microbial Biol, Berkeley, CA 94720 USA; [Xu, Jianping] McMaster Univ, Dept Biol, Hamilton, ON L8S 4K1, Canada; [Martin, Francis M.] Beijing Forestry Univ, Beijing Adv Innovat Ctr Tree Breeding Mol Design, Beijing 100083, Peoples R China</t>
  </si>
  <si>
    <t>Chinese Academy of Sciences; Kunming Institute of Botany, CAS; INRAE; Universite de Lorraine; United States Department of Energy (DOE); Lawrence Berkeley National Laboratory; INRAE; Eotvos Lorand Research Network; Hungarian Academy of Sciences; Hungarian Biological Research Center; Korea University; Czech Academy of Sciences; Biology Centre of the Czech Academy of Sciences; Western Sydney University; United States Department of Energy (DOE); Pacific Northwest National Laboratory; Oregon State University; Eotvos Lorand University; Centre National de la Recherche Scientifique (CNRS); UDICE-French Research Universities; Aix-Marseille Universite; King Abdulaziz University; University of California System; University of California Berkeley; McMaster University; Beijing Forestry University</t>
  </si>
  <si>
    <t>Wu, G (通讯作者)，Chinese Acad Sci, Kunming Inst Bot, CAS Key Lab Plant Div &amp; Biogeog East Asia, Kunming 650201, Yunnan, Peoples R China.;Wu, G; Martin, FM (通讯作者)，Univ Lorraine, Ctr INRAE Grand Est Nancy, INRAE, UMR Interact Arbres Microorganismes, F-54280 Champenoux, France.;Wu, G (通讯作者)，Yunnan Key Lab Fungal Divers &amp; Green Dev, Kunming 650201, Yunnan, Peoples R China.;Martin, FM (通讯作者)，Beijing Forestry Univ, Beijing Adv Innovat Ctr Tree Breeding Mol Design, Beijing 100083, Peoples R China.</t>
  </si>
  <si>
    <t>wugang@mail.kib.ac.cn; francis.martin@inrae.fr</t>
  </si>
  <si>
    <t>Barry, Kerrie Whitelaw/AAA-5500-2020; Park, Hongjae/AAC-2925-2021; Henrissat, Bernard/J-2475-2012</t>
  </si>
  <si>
    <t>Barry, Kerrie Whitelaw/0000-0002-8999-6785; Lipzen, Anna/0000-0003-2293-9329; Henrissat, Bernard/0000-0002-3434-8588; feng, bang/0000-0001-7237-2899; morin, emmanuelle/0000-0002-7268-972X; Cao, Yang/0000-0002-1449-7244; Kuo, Alan/0000-0003-3514-3530; WU, Gang/0000-0002-0076-5957; miyauchi, shingo/0000-0002-0620-5547</t>
  </si>
  <si>
    <t>Strategic Priority Research Program of Chinese Academy of Sciences [XDB31000000]; Laboratory of Excellence ARBRE [11-LABX-0002-01]; Beijing Advanced Innovation Center for Tree Breeding by Molecular Design; Region Lorraine; European Regional Development Fund; International Partnership Program of Chinese Academy of Sciences [151853KYSB20170026]; National Natural Science Foundation of China [31970015]; Yunnan Ten Thousand Talents Program Plan Young &amp; Elite Talents project; Youth Innovation Promotion Association of the Chinese Academy of Sciences [2017436]; Yunling Scholars Funds of the Ten-Thousand-Talents Program of Yunnan Provincial Government; Momentum Program of the Hungarian Academy of Sciences [LP2019/13-2019]; National Research, Development and Innovation Office [GINOP-2.3.2-15-2016-00052]; Natural Science Foundation of Yunnan Province [2017FB025]; US Department of Energy Joint Genome Institute, a DOE Office of Science User Facility; Office of Science of the US Department of Energy [DE-AC02-05CH11231, 305]; Metatranscriptomics of Forest Soil Ecosystems project (CSP) [570]; 1000 Fungal Genome project (CSP) [1974]; China Scholarship Council</t>
  </si>
  <si>
    <t>Strategic Priority Research Program of Chinese Academy of Sciences(Chinese Academy of Sciences); Laboratory of Excellence ARBRE; Beijing Advanced Innovation Center for Tree Breeding by Molecular Design; Region Lorraine(Region Grand-Est); European Regional Development Fund(European Commission); International Partnership Program of Chinese Academy of Sciences; National Natural Science Foundation of China(National Natural Science Foundation of China (NSFC)); Yunnan Ten Thousand Talents Program Plan Young &amp; Elite Talents project; Youth Innovation Promotion Association of the Chinese Academy of Sciences; Yunling Scholars Funds of the Ten-Thousand-Talents Program of Yunnan Provincial Government; Momentum Program of the Hungarian Academy of Sciences; National Research, Development and Innovation Office(National Research, Development &amp; Innovation Office (NRDIO) - Hungary); Natural Science Foundation of Yunnan Province(Natural Science Foundation of Yunnan Province); US Department of Energy Joint Genome Institute, a DOE Office of Science User Facility(United States Department of Energy (DOE)); Office of Science of the US Department of Energy(United States Department of Energy (DOE)); Metatranscriptomics of Forest Soil Ecosystems project (CSP); 1000 Fungal Genome project (CSP); China Scholarship Council(China Scholarship Council)</t>
  </si>
  <si>
    <t>This work was supported by the Strategic Priority Research Program of Chinese Academy of Sciences (grant no. XDB31000000 to ZLY), the Laboratory of Excellence ARBRE (grant no. ANR-11-LABX-0002-01), the Beijing Advanced Innovation Center for Tree Breeding by Molecular Design, the Region Lorraine, and the European Regional Development Fund (to FMM). We also acknowledge grants from the International Partnership Program of Chinese Academy of Sciences (grant no. 151853KYSB20170026 to ZLY), the National Natural Science Foundation of China (grant no. 31970015 to GW), the Yunnan Ten Thousand Talents Program Plan Young &amp; Elite Talents project (to GW), the Youth Innovation Promotion Association of the Chinese Academy of Sciences (grant no. 2017436 to GW), the Yunling Scholars Funds of the Ten-Thousand-Talents Program of Yunnan Provincial Government (to ZLY), the Momentum Program of the Hungarian Academy of Sciences (grant no. LP2019/13-2019 to LGN), the National Research, Development and Innovation Office (contract no. GINOP-2.3.2-15-2016-00052 to LGN), and the Natural Science Foundation of Yunnan Province (grant no. 2017FB025 to YC). This work was also funded by the US Department of Energy Joint Genome Institute, a DOE Office of Science User Facility, and supported by the Office of Science of the US Department of Energy under contract no. DE-AC02-05CH11231 within the framework of the Mycorrhizal Genomics Initiative (CSP no. 305), Metatranscriptomics of Forest Soil Ecosystems project (CSP no. 570), and the 1000 Fungal Genome project (CSP no. 1974). GW would like to thank the China Scholarship Council for supporting his research stay at INRAE and thank Dr Hong Luo for his advice in performing genomic DNA isolation.</t>
  </si>
  <si>
    <t>10.1111/nph.17858</t>
  </si>
  <si>
    <t>DEC 2021</t>
  </si>
  <si>
    <t>YB9VJ</t>
  </si>
  <si>
    <t>WOS:000728229300001</t>
  </si>
  <si>
    <t>Zhang, YQ; Hu, YL; Liu, SS; He, HQ; Sun, RJ; Lu, G; Xiao, GZ</t>
  </si>
  <si>
    <t>Zhang, Yunqin; Hu, Yanlei; Liu, Shanshan; He, Haiqing; Sun, Roujing; Lu, Gang; Xiao, Guozhi</t>
  </si>
  <si>
    <t>Total synthesis of Lentinus giganteus glycans with antitumor activities via stereoselective alpha-glycosylation and orthogonal one-pot glycosylation strategies</t>
  </si>
  <si>
    <t>CHEMICAL SCIENCE</t>
  </si>
  <si>
    <t>1,2-CIS O-GLYCOSYLATION; SELECTIVE SYNTHESIS; CHEMICAL-SYNTHESIS; OLIGOSACCHARIDE; GALACTOSYLATION; POLYSACCHARIDE; ALKYNYLBENZOATES; CONJUGATION; ANTIBODIES; CATALYSIS</t>
  </si>
  <si>
    <t>The accessibility to long, branched and complex glycans containing many 1,2-cis glycosidic linkages with precise structures remains a challenging task in chemical synthesis. Reported here is an efficient, stereoselective and orthogonal one-pot synthesis of a tetradecasaccharide and shorter sequences from Lentinus giganteus polysaccharides with antitumor activities. The synthetic strategy consists of: (1) newly developed merging reagent modulation and remote anchimeric assistance (RMRAA) alpha-(1 -&gt; 6)-galactosylation in a highly stereoselective manner, (2) DMF-modulated stereoselective alpha-(1 -&gt; 3)-glucosylation, (3) RMRAA stereoselective alpha-(1 -&gt; 6)-glucosylation, (4) several orthogonal one-pot glycosylations on the basis of N-phenyltrifluoroacetimidate (PTFAI) glycosylation, Yu glycosylation and ortho-(1-phenylvinyl)benzoate (PVB) glycosylation to streamline oligosaccharide synthesis, and (5) convergent [7 + 7] glycosylation for the final assembly of the target tetradecasaccharide. In particular, this new RMRAA alpha-galactosylation method has mild reaction conditions, broad substrate scopes and significantly shortened step counts for the heptasaccharide synthesis in comparison with 4,6-di-tert-butylsilyene (DTBS) directed alpha-galactosylation. Furthermore, DFT calculations shed light on the origins of remote anchimeric assistance effects (3,4-OBz &gt; 3,4-OAc &gt; 4-OBz &gt; 3-OBz) of acyl groups.</t>
  </si>
  <si>
    <t>Zhang, Yunqin</t>
  </si>
  <si>
    <t>[Zhang, Yunqin; Liu, Shanshan; He, Haiqing; Sun, Roujing; Xiao, Guozhi] Chinese Acad Sci, State Key Lab Phytochem &amp; Plant Resources West Ch, Kunming Inst Bot, Univ Chinese Acad Sci, 132 Lanhei Rd, Kunming 650201, Yunnan, Peoples R China; [Hu, Yanlei; Lu, Gang] Shandong Univ, Sch Chem &amp; Chem Engn, Minist Educ, Key Lab Colloid &amp; Interface Chem, Jinan 250100, Shandong, Peoples R China</t>
  </si>
  <si>
    <t>Chinese Academy of Sciences; Kunming Institute of Botany, CAS; University of Chinese Academy of Sciences, CAS; Shandong University</t>
  </si>
  <si>
    <t>Xiao, GZ (通讯作者)，Chinese Acad Sci, State Key Lab Phytochem &amp; Plant Resources West Ch, Kunming Inst Bot, Univ Chinese Acad Sci, 132 Lanhei Rd, Kunming 650201, Yunnan, Peoples R China.;Lu, G (通讯作者)，Shandong Univ, Sch Chem &amp; Chem Engn, Minist Educ, Key Lab Colloid &amp; Interface Chem, Jinan 250100, Shandong, Peoples R China.</t>
  </si>
  <si>
    <t>ganglu@sdu.edu; xiaoguozhi@mail.kib.ac.cn</t>
  </si>
  <si>
    <t>He, Haiqing/0000-0002-3724-0660; Xiao, Guozhi/0000-0002-4724-4390</t>
  </si>
  <si>
    <t>Key Project of the Natural Science Foundation of Yunnan Province [202101AS070030]; National Natural Science Foundation of China [21973055]; Young Talents Project of High-level Talent Introduction Program of Yunnan Province; CAS Pioneer Hundred Talents Program [2017-128]; State Key Laboratory of Phytochemistry and Plant Resources in West China [P2021-ZZ02]; Kunming Institute of Botany; Natural Science Foundation of Shandong Province [ZR2019MB049]; Taishan Scholar of Shandong Province; Qilu Young Scholar of Shandong University; China Postdoctoral Science Foundation [70]; General Fund [2021, E11W4212]; CAS Special Research Assistant Project [2021]</t>
  </si>
  <si>
    <t>Key Project of the Natural Science Foundation of Yunnan Province; National Natural Science Foundation of China(National Natural Science Foundation of China (NSFC)); Young Talents Project of High-level Talent Introduction Program of Yunnan Province; CAS Pioneer Hundred Talents Program; State Key Laboratory of Phytochemistry and Plant Resources in West China; Kunming Institute of Botany; Natural Science Foundation of Shandong Province(Natural Science Foundation of Shandong Province); Taishan Scholar of Shandong Province; Qilu Young Scholar of Shandong University; China Postdoctoral Science Foundation(China Postdoctoral Science Foundation); General Fund; CAS Special Research Assistant Project</t>
  </si>
  <si>
    <t>G. X. acknowledges the.nancial support from the Key Project of the Natural Science Foundation of Yunnan Province (No. 202101AS070030), the National Natural Science Foundation of China (21907097), the Young Talents Project of High-level Talent Introduction Program of Yunnan Province, the CAS Pioneer Hundred Talents Program (No. 2017-128), the State Key Laboratory of Phytochemistry and Plant Resources in West China (P2021-ZZ02) and the Kunming Institute of Botany. G. L. acknowledges the.nancial support from the National Natural Science Foundation of China (No. 21973055), the Natural Science Foundation of Shandong Province (ZR2019MB049), the Taishan Scholar of Shandong Province (No. tsqn201812013) and the Qilu Young Scholar of Shandong University. DFT calculations were performed at the HPC Cloud Platform of Shandong University. Y. Z. acknowledges the.nancial support from the China Postdoctoral Science Foundation, No. 70 General Fund, 2021 (No. E11W4212), and the CAS Special Research Assistant Project (2021).</t>
  </si>
  <si>
    <t>ROYAL SOC CHEMISTRY</t>
  </si>
  <si>
    <t>THOMAS GRAHAM HOUSE, SCIENCE PARK, MILTON RD, CAMBRIDGE CB4 0WF, CAMBS, ENGLAND</t>
  </si>
  <si>
    <t>2041-6520</t>
  </si>
  <si>
    <t>2041-6539</t>
  </si>
  <si>
    <t>CHEM SCI</t>
  </si>
  <si>
    <t>Chem. Sci.</t>
  </si>
  <si>
    <t>JUL 6</t>
  </si>
  <si>
    <t>10.1039/d2sc02176e</t>
  </si>
  <si>
    <t>2R6FK</t>
  </si>
  <si>
    <t>WOS:000806467100001</t>
  </si>
  <si>
    <t>Chen, SS; Yang, L; Ou, X; Li, JY; Zi, CT; Wang, H; Hu, JM; Liu, Y</t>
  </si>
  <si>
    <t>Chen, Sisi; Yang, Liu; Ou, Xia; Li, Jin-Yu; Zi, Cheng-Ting; Wang, Hao; Hu, Jiang-Miao; Liu, Ye</t>
  </si>
  <si>
    <t>A new polysaccharide platform constructs self-adjuvant nanovaccines to enhance immune responses</t>
  </si>
  <si>
    <t>JOURNAL OF NANOBIOTECHNOLOGY</t>
  </si>
  <si>
    <t>Polysaccharide; Self-adjuvant; Nanovaccine; SARS-CoV-2; HIV</t>
  </si>
  <si>
    <t>STRUCTURAL-CHARACTERIZATION; DENDRITIC CELLS; DRUG-DELIVERY; NANOPARTICLES; PARTICLES; CHITOSAN; GLYCOGEN; DESIGN</t>
  </si>
  <si>
    <t>Background: Nanovaccines have shown the promising potential in controlling and eradicating the threat of infectious diseases worldwide. There has been a great need in developing a versatile strategy to conveniently construct diverse types of nanovaccines and induce potent immune responses. To that end, it is critical for obtaining a potent self-adjuvant platform to assemble with different types of antigens into nanovaccines. Results: In this study, we identified a new natural polysaccharide from the rhizomes of Bletilla striata (PRBS), and used this polysaccharide as a platform to construct diverse types of nanovaccines with potent self-adjuvant property. In the construction process of SARS-CoV-2 nanovaccine, PRBS molecules and RBD protein antigens were assembled into similar to 300 nm nanoparticles by hydrogen bond. For HIV nanovaccine, hydrophobic effect dominantly drove the co-assembly between PRBS molecules and Env expression plasmid into similar to 350 nm nanospheres. Importantly, PRBS can potently activate the behaviors and functions of multiple immune cells such as macrophages, B cells and dendritic cells. Depending on PRBS-mediated immune activation, these self-adjuvant nanovaccines can elicit significantly stronger antigen-specific antibody and cellular responses in vivo, in comparison with their corresponding traditional vaccine forms. Moreover, we also revealed the construction models of PRBS-based nanovaccines by analyzing multiple assembly parameters such as bond energy, bond length and interaction sites. Conclusions: PRBS, a newly-identified natural polysaccharide which can co-assemble with different types of antigens and activate multiple critical immune cells, has presented a great potential as a versatile platform to develop potent self-adjuvant nanovaccines.</t>
  </si>
  <si>
    <t>Chen, Sisi</t>
  </si>
  <si>
    <t>[Chen, Sisi; Liu, Ye] Chinese Acad Med Sci &amp; Peking Union Med Coll, Inst Med Biol, Kunming 650000, Yunnan, Peoples R China; [Yang, Liu; Li, Jin-Yu; Hu, Jiang-Miao] Chinese Acad Sci, Kunming Inst Bot, State Key Lab Phytochem &amp; Plant Resources West Ch, Kunming 650201, Yunnan, Peoples R China; [Yang, Liu; Li, Jin-Yu; Hu, Jiang-Miao] Chinese Acad Sci, Kunming Inst Bot, Yunnan Key Lab Nat Med Chem, Kunming 650201, Yunnan, Peoples R China; [Ou, Xia] Kunming Univ Sci &amp; Technol, Sch Med, Kunming 650201, Yunnan, Peoples R China; [Zi, Cheng-Ting] Yunnan Agr Univ, Coll Sci, Kunming 650201, Yunnan, Peoples R China; [Wang, Hao] CAS Ctr Excellence Nanosci, Natl Ctr Nanosci &amp; Technol, CAS Key Lab Biomed Effects Nanomat &amp; Nanosafety, Beijing 100190, Peoples R China</t>
  </si>
  <si>
    <t>Chinese Academy of Medical Sciences - Peking Union Medical College; Institute of Medical Biology - CAMS; Peking Union Medical College; Chinese Academy of Sciences; Kunming Institute of Botany, CAS; Chinese Academy of Sciences; Kunming Institute of Botany, CAS; Kunming University of Science &amp; Technology; Yunnan Agricultural University; Chinese Academy of Sciences; National Center for Nanoscience &amp; Technology - China</t>
  </si>
  <si>
    <t>Liu, Y (通讯作者)，Chinese Acad Med Sci &amp; Peking Union Med Coll, Inst Med Biol, Kunming 650000, Yunnan, Peoples R China.;Hu, JM (通讯作者)，Chinese Acad Sci, Kunming Inst Bot, State Key Lab Phytochem &amp; Plant Resources West Ch, Kunming 650201, Yunnan, Peoples R China.;Hu, JM (通讯作者)，Chinese Acad Sci, Kunming Inst Bot, Yunnan Key Lab Nat Med Chem, Kunming 650201, Yunnan, Peoples R China.;Wang, H (通讯作者)，CAS Ctr Excellence Nanosci, Natl Ctr Nanosci &amp; Technol, CAS Key Lab Biomed Effects Nanomat &amp; Nanosafety, Beijing 100190, Peoples R China.</t>
  </si>
  <si>
    <t>wanghao@nanoctr.cn; hujiangmiao@mail.kib.ac.cn; liuye@imbcams.com.cn</t>
  </si>
  <si>
    <t>CHEN, SI/GZL-4800-2022</t>
  </si>
  <si>
    <t>Hu, Jiang-Miao/0000-0002-9013-8489</t>
  </si>
  <si>
    <t>Basic Research Program of Yunnan Province [202101AS070051]; Leading Medical Talents Program of Health Commission of Yunnan Province [L-2018013]; Young and Middle Aged Academic and Technical Leaders Program of Yunnan Province [202005AC160010]; National Natural Science Foundation of China [21874033]; Kunming Science and Technology Bureau [2020-1-N-038]; Chinese Academy of Medical Sciences (CAMS) Innovation Fund for Medical Science [2021-I2M-2-043]; National Basic Research Program of China [2020YFA0710700]; science and technology projects of Chinese Academy of Sciences [KFJ-FP-201905]; technology transfer into Yunnan project [202003AD150005]</t>
  </si>
  <si>
    <t>Basic Research Program of Yunnan Province; Leading Medical Talents Program of Health Commission of Yunnan Province; Young and Middle Aged Academic and Technical Leaders Program of Yunnan Province; National Natural Science Foundation of China(National Natural Science Foundation of China (NSFC)); Kunming Science and Technology Bureau; Chinese Academy of Medical Sciences (CAMS) Innovation Fund for Medical Science; National Basic Research Program of China(National Basic Research Program of China); science and technology projects of Chinese Academy of Sciences; technology transfer into Yunnan project</t>
  </si>
  <si>
    <t>The Basic Research Program of Yunnan Province (202101AS070051), Leading Medical Talents Program of Health Commission of Yunnan Province (L-2018013), the Young and Middle Aged Academic and Technical Leaders Program of Yunnan Province (202005AC160010), the National Natural Science Foundation of China (21874033), Kunming Science and Technology Bureau (2020-1-N-038), the Chinese Academy of Medical Sciences (CAMS) Innovation Fund for Medical Science (2021-I2M-2-043,), the National Basic Research Program of China (2020YFA0710700), for financial supports. Poverty alleviation through science and technology projects of Chinese Academy of Sciences (KFJ-FP-201905), and technology transfer into Yunnan project (202003AD150005).</t>
  </si>
  <si>
    <t>1477-3155</t>
  </si>
  <si>
    <t>J NANOBIOTECHNOL</t>
  </si>
  <si>
    <t>J. Nanobiotechnol.</t>
  </si>
  <si>
    <t>JUL 14</t>
  </si>
  <si>
    <t>10.1186/s12951-022-01533-3</t>
  </si>
  <si>
    <t>Biotechnology &amp; Applied Microbiology; Nanoscience &amp; Nanotechnology</t>
  </si>
  <si>
    <t>Biotechnology &amp; Applied Microbiology; Science &amp; Technology - Other Topics</t>
  </si>
  <si>
    <t>2X8WO</t>
  </si>
  <si>
    <t>gold, Green Submitted, Green Published</t>
  </si>
  <si>
    <t>WOS:000825479500005</t>
  </si>
  <si>
    <t>Li, XM; Sun, HF; Ning, ZM; Yang, WJ; Cai, Y; Yin, RH; Zhao, JH</t>
  </si>
  <si>
    <t>Li, Xiaomei; Sun, Huifang; Ning, Zimo; Yang, Wenjiao; Cai, Ying; Yin, Ronghua; Zhao, Jinhua</t>
  </si>
  <si>
    <t>Mild acid hydrolysis on Fucan sulfate from Stichopus herrmanni: Structures, depolymerization mechanism and anticoagulant activity</t>
  </si>
  <si>
    <t>FOOD CHEMISTRY</t>
  </si>
  <si>
    <t>Fucansulfate; Mildacidhydrolysis; Oligosaccharide; Anticoagulantactivity; Seacucumber</t>
  </si>
  <si>
    <t>SEA-CUCUMBER; REPEATING UNIT; FUCOIDAN; OLIGOSACCHARIDES; POLYSACCHARIDES</t>
  </si>
  <si>
    <t>Fucan sulfate (FS) from sea cucumbers possesses linear sequences with repeating units that differ principally in the pattern of sulfation and position of glycosidic linkage. FS from Stichopus herrmanni (ShFS) was preliminarily identified as the relatively simple structure {-3)-L-Fuc2S-(alpha 1-}n. Herein, mild acid hydrolysis was employed on ShFS to yield 21 oligosaccharides. Analyses on their structures complemented the features of ShFS to refine its spectral signal assignments. Combining with the methylation analysis, unit L-Fuc2S4S was determined as the micro-component in its intact structure. The irregularity came from minor sulfation on O-4. Temperature and acid concentration were the critical parameters to the depolymerization and formation of oligosaccharides. Meanwhile, a three-step cleavage of the hydrolysis mechanism involving the partial O-2 de-sulfation and pref-erential cleavage between Fuc0S and Fuc2S4S was proposed. Bioactivity assays revealed that the Mw 15-16 kDa conferred the potent anticoagulation via inhibiting the thrombin activity mediated by heparin cofactor II.</t>
  </si>
  <si>
    <t>Sun, Huifang</t>
  </si>
  <si>
    <t>[Sun, Huifang; Ning, Zimo; Yin, Ronghua; Zhao, Jinhua] South Cent Univ Nationalities, Sch Pharmaceut Sci, Wuhan 430074, Peoples R China; [Li, Xiaomei; Sun, Huifang; Yang, Wenjiao; Cai, Ying; Yin, Ronghua; Zhao, Jinhua] Chinese Acad Sci, Kunming Inst Bot, State Key Lab Phytochemistry &amp; Plant Resources Wes, Kunming 650201, Peoples R China; [Li, Xiaomei; Yang, Wenjiao] Chinese Acad Sci, Xinjiang Tech Inst Phys &amp; Chem, Urumqi 830000, Peoples R China; [Ning, Zimo; Yin, Ronghua; Zhao, Jinhua] South Cent Univ Nationalities, Natl Demonstrat Ctr Expt Ethnopharmacol Educ, Wuhan 430074, Peoples R China</t>
  </si>
  <si>
    <t>South Central Minzu University; Chinese Academy of Sciences; Kunming Institute of Botany, CAS; Chinese Academy of Sciences; Xinjiang Technical Institute of Physics &amp; Chemistry, CAS; South Central Minzu University</t>
  </si>
  <si>
    <t>Yin, RH; Zhao, JH (通讯作者)，South Cent Univ Nationalities, Sch Pharmaceut Sci, Wuhan 430074, Peoples R China.</t>
  </si>
  <si>
    <t>yinronghua@mail.kib.ac.cn; zhaojhscu@163.com</t>
  </si>
  <si>
    <t>li, xiao/HKV-8405-2023</t>
  </si>
  <si>
    <t>National Natural Science Foundation of China [82073725, 81703374]</t>
  </si>
  <si>
    <t>Acknowledgments This work was funded in part by the National Natural Science Foundation of China (82073725 and 81703374) .</t>
  </si>
  <si>
    <t>0308-8146</t>
  </si>
  <si>
    <t>1873-7072</t>
  </si>
  <si>
    <t>FOOD CHEM</t>
  </si>
  <si>
    <t>Food Chem.</t>
  </si>
  <si>
    <t>NOV 30</t>
  </si>
  <si>
    <t>10.1016/j.foodchem.2022.133559</t>
  </si>
  <si>
    <t>Chemistry, Applied; Food Science &amp; Technology; Nutrition &amp; Dietetics</t>
  </si>
  <si>
    <t>Chemistry; Food Science &amp; Technology; Nutrition &amp; Dietetics</t>
  </si>
  <si>
    <t>2U2EU</t>
  </si>
  <si>
    <t>WOS:000822974700001</t>
  </si>
  <si>
    <t>Zhang, HX; Wang, ZZ; Du, ZZ</t>
  </si>
  <si>
    <t>Zhang, Hong-Xia; Wang, Zhong-Ze; Du, Zhi-Zhi</t>
  </si>
  <si>
    <t>Sensory-guided isolation and identification of new sweet-tasting dammarane-type saponins from Jiaogulan (Gynostemma pentaphyllum) herbal tea</t>
  </si>
  <si>
    <t>Gynostemma pentaphyllum; Gypenosides; Natural sweetener; Sensory evaluation; Sweetness intensity</t>
  </si>
  <si>
    <t>TRITERPENOID SAPONINS; GLYCOSIDES; RECEPTORS; BITTER; HPLC</t>
  </si>
  <si>
    <t>The purpose of this study was to elucidate the chemical basis for the sweet property produced by Gynostemma pentaphyllum and find new natural high-potency (HP) sweeteners. Sixteen new compounds (gypenosides YN 1-16) were obtained by sensory-guided isolation and identification, in which fifteen of them were sweet-tasting constituents with sweetness intensities 10-100 times higher than that of sucrose evaluated by human sensory panel test. Their structures were established by 1D and 2D nuclear magnetic resonance spectra, mass spectros-copy, infrared spectroscopy, UV-visible spectroscopy, and chemical method. Gypenoside YN 4 was the sweetest compound with a concentration of 15.504 +/- 1.343 mg/kg, while gypenoside YN 12 has the highest concen-tration (1397.674 +/- 12.948 mg/kg), as shown by ultra-performance liquid chromatography-tandem mass spectrometry (UPLC-MS/MS). Structure-activity relationship analysis implied that the compounds' sweetness intensity was associated with side-chain substitutions at C-20 or the number of glucosyl groups at C-3. These new plant-derived natural products may be potential natural sweeteners.</t>
  </si>
  <si>
    <t>Zhang, Hong-Xia</t>
  </si>
  <si>
    <t>[Zhang, Hong-Xia; Wang, Zhong-Ze; Du, Zhi-Zhi] Chinese Acad Sci, Kunming Inst Bot, Dept Econ Plants &amp; Biotechnol, Yunnan Key Lab Wild Plant Resources, Kunming 650201, Peoples R China; [Zhang, Hong-Xia] Southwest Forestry Univ, Coll Chem Engn, Key Lab Highly Efficient Utilizat Forest Biomass R, Natl Forestry &amp; Grassland Adm, Kunming 650224, Peoples R China; [Wang, Zhong-Ze] Univ Chinese Acad Sci, Beijing 100049, Peoples R China</t>
  </si>
  <si>
    <t>Chinese Academy of Sciences; Kunming Institute of Botany, CAS; Southwest Forestry University - China; Chinese Academy of Sciences; University of Chinese Academy of Sciences, CAS</t>
  </si>
  <si>
    <t>Du, ZZ (通讯作者)，Chinese Acad Sci, Kunming Inst Bot, Dept Econ Plants &amp; Biotechnol, Yunnan Key Lab Wild Plant Resources, Kunming 650201, Peoples R China.</t>
  </si>
  <si>
    <t>duzhizhi@mail.kib.ac.cn</t>
  </si>
  <si>
    <t>Yunnan Provincial Scientific Research Project of FangGuanFu~ [2019-1-N-25318000002120]; Yunnan Key Laboratory for Wild Plant Resources, Kunming Institute of Botany, Chinese Academy of Sciences, China [E16H781261]</t>
  </si>
  <si>
    <t>Yunnan Provincial Scientific Research Project of FangGuanFu~; Yunnan Key Laboratory for Wild Plant Resources, Kunming Institute of Botany, Chinese Academy of Sciences, China</t>
  </si>
  <si>
    <t>This work was sponsored by grants from Yunnan Provincial Scientific Research Project of FangGuanFu (2019-1-N-25318000002120) and Research Project (E16H781261) funded by Yunnan Key Laboratory for Wild Plant Resources, Kunming Institute of Botany, Chinese Academy of Sciences, China. We thank Dr. Wen-Yun Chen for identification of the plant specimens. The authors sincerely appreciate the language editing and polishing by Dr. Fiona Worthy. The authors would like to thank the efforts of all panelists participating in the sensory tests.</t>
  </si>
  <si>
    <t>10.1016/j.foodchem.2022.132981</t>
  </si>
  <si>
    <t>1Q9YL</t>
  </si>
  <si>
    <t>WOS:000803035900008</t>
  </si>
  <si>
    <t>Hu, GL; Dong, D; Du, SZ; Peng, XR; Wu, MK; Shi, QQ; Hu, K; Hong, DF; Wang, XY; Zhou, L; Nian, Y; Qiu, MH</t>
  </si>
  <si>
    <t>Hu, Guilin; Dong, Ding; Du, Shuzong; Peng, Xingrong; Wu, Mingkun; Shi, Qiangqiang; Hu, Kun; Hong, Defu; Wang, Xiaoyuan; Zhou, Lin; Nian, Yin; Qiu, Minghua</t>
  </si>
  <si>
    <t>Discovery of novel coffee diterpenoids with inhibitions on Ca(v)3.1 low voltage-gated Ca2+ channel</t>
  </si>
  <si>
    <t>Coffea arabica L; Roasted coffee; Coffee diterpenoid; Cafestol; Kahweol; T-type Ca2+ channels; Ca(v)3.1 low voltage-gated Ca2+ channel; Ca(v)3.1 inhibitors</t>
  </si>
  <si>
    <t>CALCIUM-CHANNELS; CAFESTOL; KAHWEOL; PHYSIOLOGY; ESTERS; NOMENCLATURE; PHARMACOLOGY; APOPTOSIS; FURANS</t>
  </si>
  <si>
    <t>Seven new (1-4, 6-8) diterpenoids with rare skeletons and seven known ones (9, 12, 17, 18 and 23-25) were isolated from roasted beans of Coffea arabica L. Together with previously obtained diterpenoids, a total of 26 molecules (1-25, 4a) were evaluated their activities on Ca(v)3.1 low voltage-gated Ca2+ channel. Compounds 1, 3, 6, 7, 12, 13, 17, 19 and 24 exhibited noticeable Ca(v)3.1 inhibitions (41.2%-96.1%) at 10 mu M. The IC50 values of 1, 6, 7, 12, 13, 17 and 24 are 2.9, 2.3, 0.68, 14.8, 11.6, 6.1 and 6.8 mu M, respectively. The ring moiety at C-18 and C-19, and esterification of OH-17 with long-chain fatty acids seem important for their activities. Further studies indicated that 1 and cafestol may act on different binding sits with the Ca(v)3.1 blocker Z944, which is in clinical trial. Significantly, the present study initially shows that coffee diterpenoids are potential natural resources for Ca(v)3.1 inhibitors.</t>
  </si>
  <si>
    <t>Hu, Guilin</t>
  </si>
  <si>
    <t>[Hu, Guilin; Peng, Xingrong; Wu, Mingkun; Shi, Qiangqiang; Hu, Kun; Hong, Defu; Wang, Xiaoyuan; Zhou, Lin; Nian, Yin; Qiu, Minghua] Chinese Acad Sci, Kunming Inst Bot, State Key Lab Phytochem &amp; Plant Resources West Ch, Kunming 650201, Yunnan, Peoples R China; [Hu, Guilin; Dong, Ding; Du, Shuzong; Wu, Mingkun; Shi, Qiangqiang; Hong, Defu; Nian, Yin; Qiu, Minghua] Univ Chinese Acad Sci, Beijing 100049, Peoples R China; [Dong, Ding; Du, Shuzong] Chinese Acad Sci, Kunming Inst Zool, Key Lab Anim Models &amp; Human Dis Mech, Kunming 650223, Yunnan, Peoples R China; [Dong, Ding; Du, Shuzong] Chinese Acad Sci, Kunming Inst Zool, Ion Channel Res &amp; Drug Dev Ctr, Kunming 650223, Yunnan, Peoples R China</t>
  </si>
  <si>
    <t>Chinese Academy of Sciences; Kunming Institute of Botany, CAS; Chinese Academy of Sciences; University of Chinese Academy of Sciences, CAS; Chinese Academy of Sciences; Kunming Institute of Zoology; Chinese Academy of Sciences; Kunming Institute of Zoology</t>
  </si>
  <si>
    <t>Nian, Y; Qiu, MH (通讯作者)，Chinese Acad Sci, Kunming Inst Bot, State Key Lab Phytochem &amp; Plant Resources West Ch, Kunming 650201, Yunnan, Peoples R China.;Nian, Y; Qiu, MH (通讯作者)，Univ Chinese Acad Sci, Beijing 100049, Peoples R China.</t>
  </si>
  <si>
    <t>nianyin@mail.kib.ac.cn; mhchiu@mail.kib.ac.cn</t>
  </si>
  <si>
    <t>National Natural Science Foundation of China, China [31670364, U1902206, 32070393]; Special Program of Introducing Sci-Tech Projects [202003AD 150006]; Special Fund Project of Pu'er municipal government, China; Foundation of State Key Laboratory of Phyto-chemistry and Plant Resources in West China [P2020-ZZ03, P2020-KF10]; Natural Science Foundation of Yunnan Province [202001AS07004]; Yunnan Science Fund for Distinguished Young Scholars [202001AV070034]; CASLight of West ChinaProgram (2021)</t>
  </si>
  <si>
    <t>National Natural Science Foundation of China, China(National Natural Science Foundation of China (NSFC)); Special Program of Introducing Sci-Tech Projects; Special Fund Project of Pu'er municipal government, China; Foundation of State Key Laboratory of Phyto-chemistry and Plant Resources in West China; Natural Science Foundation of Yunnan Province(Natural Science Foundation of Yunnan Province); Yunnan Science Fund for Distinguished Young Scholars; CASLight of West ChinaProgram (2021)</t>
  </si>
  <si>
    <t>This study was supported financially by the National Natural Science Foundation of China, China (Nos. 31670364, U1902206 and 32070393) , Special Program of Introducing Sci-Tech Projects to Yunnan (202003AD 150006) , Special Fund Project of Pu'er municipal government, China (2018) , Foundation of State Key Laboratory of Phyto-chemistry and Plant Resources in West China (P2020-ZZ03, P2020-KF10) , Natural Science Foundation of Yunnan Province (202001AS07004) , Yunnan Science Fund for Distinguished Young Scholars (202001AV070034) , CASLight of West ChinaProgram (2021) .</t>
  </si>
  <si>
    <t>MAY 15</t>
  </si>
  <si>
    <t>10.1016/j.foodchem.2021.131923</t>
  </si>
  <si>
    <t>YE5YG</t>
  </si>
  <si>
    <t>WOS:000741200300008</t>
  </si>
  <si>
    <t>Tanaka, T; Yasumatsu, M; Hirotani, M; Matsuo, Y; Li, N; Zhu, HT; Saito, Y; Ishimaru, K; Zhang, YJ</t>
  </si>
  <si>
    <t>Tanaka, Takashi; Yasumatsu, Miho; Hirotani, Mayu; Matsuo, Yosuke; Li, Na; Zhu, Hong-Tao; Saito, Yoshinori; Ishimaru, Kanji; Zhang, Ying-Jun</t>
  </si>
  <si>
    <t>New degradation mechanism of black tea pigment theaflavin involving condensation with epigallocatechin-3-O-gallate</t>
  </si>
  <si>
    <t>Black tea; Theaflavin; Epigallocatechin-3-O-gallate; Theanaphthoquinone; Thearubigin</t>
  </si>
  <si>
    <t>EPICATECHIN GALLATE; ENZYMATIC OXIDATION; THEASINENSIN-A; THEARUBIGINS; POLYPHENOL; EXTRACT; CATECHINS; FRACTION; TANNINS; DIMERS</t>
  </si>
  <si>
    <t>Theanaphthoquinone (TNQ) is the initial and main oxidation product of theaflavin, a representative black tea pigment. Nevertheless, TNQ is virtually undetected in the high-performance liquid chromatography analysis of black tea leaves using photodiode array detection. To elucidate the degradation mechanism of theaflavin in the black tea production process, this study investigated the reaction of TNQ with epigallocatechin-3-O-gallate (EGCg), which is the most abundant polyphenol in tea leaves. In citrate-phosphate buffer solution at pH 6 and room temperature, TNQ reacted nonenzymatically with EGCg to afford three products, whose structures were determined on the basis of spectroscopic data. The results indicated that the double bond of the ortho-naphthoquinone moiety in TNQ reacted with the autoxidation product of EGCg. This study demonstrates novel reactions occurring in the process of theaflavin degradation, which might be involved in the formation of thearubigins, the major black tea pigments composing oligomeric catechin oxidation products.</t>
  </si>
  <si>
    <t>Tanaka, Takashi</t>
  </si>
  <si>
    <t>[Tanaka, Takashi; Matsuo, Yosuke; Saito, Yoshinori] Nagasaki Univ, Grad Sch Biomed Sci, 1-14 Bunkyo Machi, Nagasaki 8528521, Japan; [Yasumatsu, Miho; Hirotani, Mayu] Nagasaki Univ, Sch Pharmaceut Sci, 1-14 Bunkyo Machi, Nagasaki 8528521, Japan; [Li, Na; Zhu, Hong-Tao; Zhang, Ying-Jun] Chinese Acad Sci, Kunming Inst Bot, State Key Lab Phytochem &amp; Plant Resources West Ch, Kunming 650201, Yunnan, Peoples R China; [Ishimaru, Kanji] Saga Univ, Fac Agr, Dept Appl Biol Sci, 1 Honjo, Saga 8408502, Japan</t>
  </si>
  <si>
    <t>Nagasaki University; Nagasaki University; Chinese Academy of Sciences; Kunming Institute of Botany, CAS; Saga University</t>
  </si>
  <si>
    <t>Tanaka, T (通讯作者)，Nagasaki Univ, Grad Sch Biomed Sci, 1-14 Bunkyo Machi, Nagasaki 8528521, Japan.;Zhang, YJ (通讯作者)，Chinese Acad Sci, Kunming Inst Bot, State Key Lab Phytochem &amp; Plant Resources West Ch, Kunming 650201, Yunnan, Peoples R China.</t>
  </si>
  <si>
    <t>t-tanaka@nagasaki-u.ac.jp; zhangyj@mail.kib.ac.cn</t>
  </si>
  <si>
    <t>zhang, ying/HJB-1230-2022; Zhang, Y J/HLG-1022-2023; Matsuo, Yosuke/I-1968-2018</t>
  </si>
  <si>
    <t>Matsuo, Yosuke/0000-0002-6462-9727</t>
  </si>
  <si>
    <t>JSPS Bilateral Open Partnership Joint Research; JSPS KAKENHI [20K07102]</t>
  </si>
  <si>
    <t>JSPS Bilateral Open Partnership Joint Research; JSPS KAKENHI(Ministry of Education, Culture, Sports, Science and Technology, Japan (MEXT)Japan Society for the Promotion of ScienceGrants-in-Aid for Scientific Research (KAKENHI))</t>
  </si>
  <si>
    <t>This work was supported by JSPS Bilateral Open Partnership Joint Research, and by JSPS KAKENHI Grant Number 20K07102. The authors are grateful to Mr. N. Tsuda, Mr. K. Chifuku, and H. Iwata (Center for Industry, University and Government Cooperation, Nagasaki University) for recording NMR and MS data. We also thank Nagasaki Agriculture and Forestry Technical Development Center, Higashisonogi Tea Research Station, for supplying fresh green tea leaves.</t>
  </si>
  <si>
    <t>FEB 15</t>
  </si>
  <si>
    <t>10.1016/j.foodchem.2021.131326</t>
  </si>
  <si>
    <t>WL6JC</t>
  </si>
  <si>
    <t>WOS:000710508700011</t>
  </si>
  <si>
    <t>Guo, C; Luo, Y; Gao, LM; Yi, TS; Li, HT; Yang, JB; Li, DZ</t>
  </si>
  <si>
    <t>Guo, Cen; Luo, Yang; Gao, Lian-Ming; Yi, Ting-Shuang; Li, Hong-Tao; Yang, Jun-Bo; Li, De-Zhu</t>
  </si>
  <si>
    <t>Phylogenomics and the flowering plant tree of life</t>
  </si>
  <si>
    <t>JOURNAL OF INTEGRATIVE PLANT BIOLOGY</t>
  </si>
  <si>
    <t>Review; Early Access</t>
  </si>
  <si>
    <t>angiosperms; hybridization; incomplete lineage sorting; orthology inference; phylogenetic conflicts; reduced representation sequencing; whole-genome sequencing; whole-genome duplication</t>
  </si>
  <si>
    <t>SYSTEMATIC-ERRORS; RNA-SEQ; SEQUENCE CAPTURE; SEED PLANTS; DATA SETS; GENOME; EVOLUTION; RADSEQ; TOOL; CLASSIFICATION</t>
  </si>
  <si>
    <t>The advances accelerated by next-generation sequencing and long-read sequencing technologies continue to provide an impetus for plant phylogenetic study. In the past decade, a large number of phylogenetic studies adopting hundreds to thousands of genes across a wealth of clades have emerged and ushered plant phylogenetics and evolution into a new era. In the meantime, a roadmap for researchers when making decisions across different approaches for their phylogenomic research design is imminent. This review focuses on the utility of genomic data (from organelle genomes, to both reduced representation sequencing and whole-genome sequencing) in phylogenetic and evolutionary investigations, describes the baseline methodology of experimental and analytical procedures, and summarizes recent progress in flowering plant phylogenomics at the ordinal, familial, tribal, and lower levels. We also discuss the challenges, such as the adverse impact on orthology inference and phylogenetic reconstruction raised from systematic errors, and underlying biological factors, such as whole-genome duplication, hybridization/introgression, and incomplete lineage sorting, together suggesting that a bifurcating tree may not be the best model for the tree of life. Finally, we discuss promising avenues for future plant phylogenomic studies.</t>
  </si>
  <si>
    <t>Guo, Cen</t>
  </si>
  <si>
    <t>[Guo, Cen; Yi, Ting-Shuang; Li, Hong-Tao; Yang, Jun-Bo; Li, De-Zhu] Chinese Acad Sci, Kunming Inst Bot, Germplasm Bank Wild Species, Kunming 650201, Peoples R China; [Luo, Yang; Gao, Lian-Ming; Yi, Ting-Shuang; Li, De-Zhu] Chinese Acad Sci, Kunming Inst Bot, CAS Key Lab Plant Divers &amp; Biogeog East Asia, Kunming 650201, Peoples R China; [Gao, Lian-Ming; Li, De-Zhu] Chinese Acad Sci, Kunming Inst Bot, Lijiang Forest Divers Natl Observat &amp; Res Stn, Lijiang 674100, Peoples R China; [Li, De-Zhu] Univ Chinese Acad Sci, Kunming Coll Life Sci, Kunming 650201, Peoples R China</t>
  </si>
  <si>
    <t>Chinese Academy of Sciences; Kunming Institute of Botany, CAS; Chinese Academy of Sciences; Kunming Institute of Botany, CAS; Chinese Academy of Sciences; Kunming Institute of Botany, CAS; Chinese Academy of Sciences; University of Chinese Academy of Sciences, CAS</t>
  </si>
  <si>
    <t>Li, DZ (通讯作者)，Chinese Acad Sci, Kunming Inst Bot, Germplasm Bank Wild Species, Kunming 650201, Peoples R China.;Li, DZ (通讯作者)，Chinese Acad Sci, Kunming Inst Bot, CAS Key Lab Plant Divers &amp; Biogeog East Asia, Kunming 650201, Peoples R China.;Li, DZ (通讯作者)，Chinese Acad Sci, Kunming Inst Bot, Lijiang Forest Divers Natl Observat &amp; Res Stn, Lijiang 674100, Peoples R China.;Li, DZ (通讯作者)，Univ Chinese Acad Sci, Kunming Coll Life Sci, Kunming 650201, Peoples R China.</t>
  </si>
  <si>
    <t>dzl@mail.kib.ac.cn</t>
  </si>
  <si>
    <t>Priority Research Program of the Chinese Academy of Sciences (CAS) [XDB31000000]; Large-scale Scientific Facilities of the CAS [2017-LSF-GBOWS-2]</t>
  </si>
  <si>
    <t>Priority Research Program of the Chinese Academy of Sciences (CAS); Large-scale Scientific Facilities of the CAS</t>
  </si>
  <si>
    <t>We are indebted to William J. Baker (Royal Botanic Gardens Kew), Gregory W. Stull (Kunming Institute of Botany), and another anonymous reviewer for their constructive comments on the earlier draft of the manuscript. This work was supported by the Priority Research Program of the Chinese Academy of Sciences (CAS) (Grant No. XDB31000000) and Large-scale Scientific Facilities of the CAS (Grant No. 2017-LSF-GBOWS-2).</t>
  </si>
  <si>
    <t>1672-9072</t>
  </si>
  <si>
    <t>1744-7909</t>
  </si>
  <si>
    <t>J INTEGR PLANT BIOL</t>
  </si>
  <si>
    <t>J. Integr. Plant Biol.</t>
  </si>
  <si>
    <t>10.1111/jipb.13415</t>
  </si>
  <si>
    <t>DEC 2022</t>
  </si>
  <si>
    <t>7L3GL</t>
  </si>
  <si>
    <t>WOS:000905858600001</t>
  </si>
  <si>
    <t>Ma, CR; Li, RY; Sun, Y; Zhang, M; Li, S; Xu, YX; Song, J; Li, J; Qi, JF; Wang, L; Wu, JQ</t>
  </si>
  <si>
    <t>Ma, Canrong; Li, Ruoyue; Sun, Yan; Zhang, Mou; Li, Sen; Xu, Yuxing; Song, Juan; Li, Jing; Qi, Jinfeng; Wang, Lei; Wu, Jianqiang</t>
  </si>
  <si>
    <t>ZmMYC2s play important roles in maize responses to simulated herbivory and jasmonate</t>
  </si>
  <si>
    <t>Article; Early Access</t>
  </si>
  <si>
    <t>benzoxazinoid; defense; insect; JA signaling; maize; MYC2; volatile terpene</t>
  </si>
  <si>
    <t>DEFENSE RESPONSES; HDMBOA-GLC; ZEA-MAYS; MYC2; ACID; BIOSYNTHESIS; ACCUMULATION; ATTRACTS; REVEALS; SIGNAL</t>
  </si>
  <si>
    <t>Both herbivory and jasmonic acid (JA) activate the biosynthesis of defensive metabolites in maize, but the mechanism underlying this remains unclear. We generated maize mutants in which ZmMYC2a and ZmMYC2b, two transcription factor genes important in JA signaling, were individually or both knocked out. Genetic and biochemical analyses were used to elucidate the functions of ZmMYC2 proteins in the maize response to simulated herbivory and JA. Compared with the wild-type (WT) maize, the double mutant myc2ab was highly susceptible to insects, and the levels of benzoxazinoids and volatile terpenes, and the levels of their biosynthesis gene transcripts, were much lower in the mutants than in the WT maize after simulated insect feeding or JA treatment. Moreover, ZmMYC2a and ZmMYC2b played a redundant role in maize resistance to insects and JA signaling. Transcriptome and Cleavage Under Targets and Tagmentation-Sequencing (CUT&amp;Tag-Seq) analysis indicated that ZmMYC2s physically targeted 60% of the JA-responsive genes, even though only 33% of these genes were transcriptionally ZmMYC2-dependent. Importantly, CUT&amp;Tag-Seq and dual luciferase assays revealed that ZmMYC2s transactivate the benzoxazinoid and volatile terpene biosynthesis genes IGPS1/3, BX10/11/12/14, and TPS10/2/3/4/5/8 by directly binding to their promoters. Furthermore, several transcription factors physically targeted by ZmMYC2s were identified, and these are likely to function in the regulation of benzoxazinoid biosynthesis. This work reveals the transcriptional regulatory landscapes of both JA signaling and ZmMYC2s in maize and provides comprehensive mechanistic insight into how JA signaling modulates defenses in maize responses to herbivory through ZmMYC2s.</t>
  </si>
  <si>
    <t>Ma, Canrong</t>
  </si>
  <si>
    <t>[Ma, Canrong; Li, Ruoyue; Sun, Yan; Zhang, Mou; Li, Sen; Xu, Yuxing; Song, Juan; Li, Jing; Qi, Jinfeng; Wang, Lei; Wu, Jianqiang] Chinese Acad Sci, Kunming Inst Bot, Dept Econ Plants &amp; Biotechnol, Yunnan Key Lab Wild Plant Resources, Kunming 650201, Peoples R China; [Ma, Canrong; Xu, Yuxing; Song, Juan; Li, Jing; Qi, Jinfeng; Wang, Lei; Wu, Jianqiang] Univ Chinese Acad Sci, Chinese Acad Sci Ctr Excellence Biot Interact, Beijing 100049, Peoples R China</t>
  </si>
  <si>
    <t>Chinese Academy of Sciences; Kunming Institute of Botany, CAS; Chinese Academy of Sciences; University of Chinese Academy of Sciences, CAS</t>
  </si>
  <si>
    <t>Wang, L; Wu, JQ (通讯作者)，Chinese Acad Sci, Kunming Inst Bot, Dept Econ Plants &amp; Biotechnol, Yunnan Key Lab Wild Plant Resources, Kunming 650201, Peoples R China.;Wang, L; Wu, JQ (通讯作者)，Univ Chinese Acad Sci, Chinese Acad Sci Ctr Excellence Biot Interact, Beijing 100049, Peoples R China.</t>
  </si>
  <si>
    <t>leiwang@mail.kib.ac.cn; wujianqiang@mail.kib.ac.cn</t>
  </si>
  <si>
    <t>; Li, Sen/A-8910-2016</t>
  </si>
  <si>
    <t>Qi, Jinfeng/0000-0001-6689-915X; Song, Juan/0000-0002-6030-8037; Li, Sen/0000-0002-5457-3483</t>
  </si>
  <si>
    <t>Chinese Academy of Sciences [XDPB16]; National Natural Science Foundation of China [31770301, 31901897]; Yunnan Innovation Team Project [202105AE160013]; General and Key Project of Applied Basic Research Program of Yunnan [2019FI007, 202201AS070053]</t>
  </si>
  <si>
    <t>Chinese Academy of Sciences(Chinese Academy of Sciences); National Natural Science Foundation of China(National Natural Science Foundation of China (NSFC)); Yunnan Innovation Team Project; General and Key Project of Applied Basic Research Program of Yunnan</t>
  </si>
  <si>
    <t>Dr. Jingxiong Zhang (Kunming Institute of Botany, Chinese Academy of Sciences) is thanked for help with figures. This study was supported by the Strategic Priority Research Program of Chinese Academy of Sciences (XDPB16), National Natural Science Foundation of China (31770301, 31901897), the Yunnan Innovation Team Project (202105AE160013), and the General and Key Project of Applied Basic Research Program of Yunnan (2019FI007, 202201AS070053).</t>
  </si>
  <si>
    <t>10.1111/jipb.13404</t>
  </si>
  <si>
    <t>7L3GO</t>
  </si>
  <si>
    <t>WOS:000905858900001</t>
  </si>
  <si>
    <t>Li, S; Shi, YR; Huang, H; Tong, Y; Wu, SH; Wang, YH</t>
  </si>
  <si>
    <t>Li, Shan; Shi, Yuru; Huang, Hui; Tong, Yan; Wu, Shaohua; Wang, Yuhua</t>
  </si>
  <si>
    <t>Fermentation Blues: Analyzing the Microbiota of Traditional Indigo Vat Dyeing in Hunan, China</t>
  </si>
  <si>
    <t>MICROBIOLOGY SPECTRUM</t>
  </si>
  <si>
    <t>traditional indigo fermentation; specific plant mixture; indigo reduction; Pseudomonas; Alkalibacterium; fungal diversity</t>
  </si>
  <si>
    <t>INDICIREDUCENS SP NOV.; OBLIGATE ALKALIPHILE; GEN. NOV.; REDUCTION; DIVERSITY; MEDIATORS; DYNAMICS; LIQUOR; FUNGI; ACID</t>
  </si>
  <si>
    <t>Chemical reducing agents included in modern indigo dyeing to initiate indigo reduction can be harmful to both human health and the environment. Given that traditional indigo dyeing involves natural fermentation in a dye vat using natural organic additives without the use of toxic chemicals and that changes in the microbiota during traditional indigo fermentation potently affect the onset of indigo reduction, elucidation of these microbial community transitions could help develop methods to control the initiation of indigo reduction. Traditional indigo dyeing through anaerobic fermentation has recently gained worldwide attention in efforts to address concerns regarding the sustainability of industrial indigo dyeing and the impact of toxic reducing agents such as sodium dithionite (Na2S2O4) on human health and the ecological environment. Intriguingly, changes in the microbiota during indigo fermentation are known to potently affect the onset of indigo reduction, and thus elucidation of the microbial community transitions could help develop methods to control the initiation of indigo reduction. Here, we investigated the microbiota associated with the traditional indigo dyeing practiced in Hunan, China. Specifically, we identified the bacterial and fungal components of the microbiota at distinct stages in the indigo fermentation process by analyzing 16S rRNA gene and internal transcribed spacer sequences. Our analyses revealed two substantial changes in the microbiota during the traditional indigo fermentation process. The first change, which was probably caused by the introduction of Chinese liquor (featuring a high alcohol concentration), resulted in decreased bacterial diversity and increased proportions of Pseudomonas, Stenotrophomonas, and Bacillaceae family members. The second change, which could be attributed to the addition of specific plant species, led to an increase in the abundance of Alkalibacterium, Amphibacillus, the obligate anaerobe Turicibacter, the facultative anaerobe Enterococcus, and ZOR0006, as well as to a decrease in the pH and redox potential values. Our results indicate that the specific plant mixture included in the procedure here could be used as an effective additive to accelerate the initiation of indigo reduction during the fermentation process. To the best of our knowledge, this is the first report revealing the fungal diversity during the indigo fermentation process and, furthermore, showing that the fungal diversity has remained in transition despite the relatively stable bacterial diversity in the proper indigo fermentation process. Although traditional indigo fermentation in China is challenging to manage, we can benefit from local knowledge of the fermentation process, and understanding the scientific bases of traditional indigo fermentation will facilitate the development of environmentally friendly procedures. IMPORTANCE Chemical reducing agents included in modern indigo dyeing to initiate indigo reduction can be harmful to both human health and the environment. Given that traditional indigo dyeing involves natural fermentation in a dye vat using natural organic additives without the use of toxic chemicals and that changes in the microbiota during traditional indigo fermentation potently affect the onset of indigo reduction, elucidation of these microbial community transitions could help develop methods to control the initiation of indigo reduction. This study on the microbiota associated with the traditional indigo dyeing practiced in Hunan, China, has identified the bacterial and fungal communities at distinct stages of the indigo fermentation process. Notably, the addition of specific plant species might yield the desired microbial communities and appropriate fermentation conditions, which could be used as an effective additive to accelerate the initiation of indigo reduction. This study has also revealed the fungal diversity during the indigo fermentation process for the first time and shown that the fungal diversity has remained in transition despite the relatively stable bacterial diversity. Thus, this work provides new insights into the traditional indigo fermentation process used in China and substantially enhances current efforts devoted to designing environmentally friendly methods for industrial indigo dyeing.</t>
  </si>
  <si>
    <t>Li, Shan</t>
  </si>
  <si>
    <t>[Li, Shan; Wu, Shaohua] Yunnan Univ, Yunnan Inst Microbiol, Sch Life Sci, Key Lab Microbial Resources,Minist Educ, Kunming, Yunnan, Peoples R China; [Li, Shan; Shi, Yuru; Huang, Hui; Tong, Yan; Wang, Yuhua] Chinese Acad Sci, Kunming Inst Bot, Yunnan Key Lab Wild Plant Resources, Dept Econ Plants &amp; Biotechnol, Kunming, Yunnan, Peoples R China</t>
  </si>
  <si>
    <t>Yunnan University; Chinese Academy of Sciences; Kunming Institute of Botany, CAS</t>
  </si>
  <si>
    <t>Wu, SH (通讯作者)，Yunnan Univ, Yunnan Inst Microbiol, Sch Life Sci, Key Lab Microbial Resources,Minist Educ, Kunming, Yunnan, Peoples R China.;Wang, YH (通讯作者)，Chinese Acad Sci, Kunming Inst Bot, Yunnan Key Lab Wild Plant Resources, Dept Econ Plants &amp; Biotechnol, Kunming, Yunnan, Peoples R China.</t>
  </si>
  <si>
    <t>shwu123@126.com; wangyuhua@mail.kib.ac.cn</t>
  </si>
  <si>
    <t>Esquel Group; Strategic Priority Research Program of Chinese Academy of Sciences [XDA20050204, XDA19050301, XDA19050303]; Second Tibetan Plateau Scientific Expedition and Research Project of China [2019QZKK0502]</t>
  </si>
  <si>
    <t>Esquel Group; Strategic Priority Research Program of Chinese Academy of Sciences(Chinese Academy of Sciences); Second Tibetan Plateau Scientific Expedition and Research Project of China</t>
  </si>
  <si>
    <t>We are grateful to the local people in Gaobu Village, Hunan Province, who prepared the dyeing vat and shared traditional knowledge related to the indigo dyeing processes. We also thank the Esquel Group for some financial support.; The study was supported by the Kunming Institute of Botany (KIB) through Grants XDA20050204, XDA19050301, and XDA19050303 from the Strategic Priority Research Program of Chinese Academy of Sciences and Grant2019QZKK0502 from the Second Tibetan Plateau Scientific Expedition and Research Project of China.</t>
  </si>
  <si>
    <t>AMER SOC MICROBIOLOGY</t>
  </si>
  <si>
    <t>1752 N ST NW, WASHINGTON, DC 20036-2904 USA</t>
  </si>
  <si>
    <t>2165-0497</t>
  </si>
  <si>
    <t>MICROBIOL SPECTR</t>
  </si>
  <si>
    <t>Microbiol. Spectr.</t>
  </si>
  <si>
    <t>10.1128/spectrum.01663-22</t>
  </si>
  <si>
    <t>Microbiology</t>
  </si>
  <si>
    <t>2F8JT</t>
  </si>
  <si>
    <t>WOS:000813151600002</t>
  </si>
  <si>
    <t>Gong, S; Feng, B; Jian, SP; Wang, GS; Ge, ZW; Yang, ZL</t>
  </si>
  <si>
    <t>Gong, Sai; Feng, Bang; Jian, Si-Peng; Wang, Geng Shen; Ge, Zai-Wei; Yang, Zhu Liang</t>
  </si>
  <si>
    <t>Elevation Matters More than Season in Shaping the Heterogeneity of Soil and Root Associated Ectomycorrhizal Fungal Community</t>
  </si>
  <si>
    <t>ectomycorrhizal fungi; altitude; season; spatiotemporal variation; Baima Snow Mountain</t>
  </si>
  <si>
    <t>NITROGEN ACQUISITION; ALTITUDINAL GRADIENT; RANGE OVERLAP; DIVERSITY; FOREST; TEMPERATURE; DYNAMICS; PATTERNS; BACTERIAL; ABUNDANCE</t>
  </si>
  <si>
    <t>Ectomycorrhizal (EcM) fungi play important roles in forest ecosystems, and their richness and composition can change along with elevation and season changes. However, no study has estimated the relative importance of altitudinal and seasonal heterogeneity in predicting the distribution of EcM fungal communities by simultaneously considering different sample types (root versus soil). In this study, we collected root and soil samples along a &gt; 1,500-m elevation gradient during wet and dry seasons from Baima Snow Mountain, located in the Mountains of Southwest China, one of the 34 biodiversity hot spots, and we analyzed them using next-generation sequencing. Regardless of the sample type, similar EcM fungal richness pattern with increasing elevation (decline in the forest zone, and an increase at the alpine meadow zone) and strong community turnovers among different elevational zones and between two seasons were detected, and changes of EcM fungal community similarity on 400-m altitude gradient were equivalent to the community turnover between dry and wet seasons. Elevation and edaphic factors were shown to have the largest effects on EcM fungal community. The heterogeneity of richness and community composition was stronger among different elevational zones than across different seasons, mainly because the elevation variations in the EcM fungal community were shaped by the combined effects of different environmental factors, while seasonal changes were mainly controlled by temperature and fast-changing soil nutrients. IMPORTANCE Altitude and season represent two important environmental gradients that shape the structure of biome, including the heterogeneity of EcM fungi. Previous studies have separately considered the influences of altitude and season on EcM fungal communities, but the relative importance of altitude and season is still unknown. The present study revealed that elevation influences the heterogeneity of EcM fungal community more than season; this may be because the variability of environmental factors is higher across different elevations than that across seasons.</t>
  </si>
  <si>
    <t>Gong, Sai</t>
  </si>
  <si>
    <t>[Gong, Sai; Feng, Bang; Jian, Si-Peng; Wang, Geng Shen; Ge, Zai-Wei; Yang, Zhu Liang] Chinese Acad Sci, Kunming Inst Bot, CAS Key Lab Plant Divers &amp; Biogeog East Asia, Kunming, Yunnan, Peoples R China; [Gong, Sai; Feng, Bang; Jian, Si-Peng; Wang, Geng Shen; Ge, Zai-Wei; Yang, Zhu Liang] Chinese Acad Sci, Kunming Inst Bot, Yunnan Key Lab Fungal Divers &amp; Green Dev, Kunming, Yunnan, Peoples R China; [Gong, Sai; Wang, Geng Shen] Univ Chinese Acad Sci, Beijing, Peoples R China</t>
  </si>
  <si>
    <t>Chinese Academy of Sciences; Kunming Institute of Botany, CAS; Chinese Academy of Sciences; Kunming Institute of Botany, CAS; Chinese Academy of Sciences; University of Chinese Academy of Sciences, CAS</t>
  </si>
  <si>
    <t>Feng, B; Yang, ZL (通讯作者)，Chinese Acad Sci, Kunming Inst Bot, CAS Key Lab Plant Divers &amp; Biogeog East Asia, Kunming, Yunnan, Peoples R China.;Feng, B; Yang, ZL (通讯作者)，Chinese Acad Sci, Kunming Inst Bot, Yunnan Key Lab Fungal Divers &amp; Green Dev, Kunming, Yunnan, Peoples R China.</t>
  </si>
  <si>
    <t>fengbang@mail.kib.ac.cn; fungi@mail.kib.ac.cn</t>
  </si>
  <si>
    <t>feng, bang/0000-0001-7237-2899</t>
  </si>
  <si>
    <t>Strategic Priority Research Program of Chinese Academy of Sciences [XDB31000000]; National Natural Science Foundation of China [31770030]; Yunnan Ten Thousand Talents Plan, Young Elite Talents [YNWR-QNBJ-2018-052]; Yunnan Applied Basic Research Project [2018FB023]</t>
  </si>
  <si>
    <t>Strategic Priority Research Program of Chinese Academy of Sciences(Chinese Academy of Sciences); National Natural Science Foundation of China(National Natural Science Foundation of China (NSFC)); Yunnan Ten Thousand Talents Plan, Young Elite Talents; Yunnan Applied Basic Research Project</t>
  </si>
  <si>
    <t>This work was supported by the Strategic Priority Research Program of Chinese Academy of Sciences [grant number: XDB31000000], National Natural Science Foundation of China [grant number: 31770030], Yunnan Ten Thousand Talents Plan, Young &amp; Elite Talents [grant number: YNWR-QNBJ-2018-052], and Yunnan Applied Basic Research Project [grant number: 2018FB023].</t>
  </si>
  <si>
    <t>e01950-21</t>
  </si>
  <si>
    <t>ZO8ZC</t>
  </si>
  <si>
    <t>WOS:000766015800154</t>
  </si>
  <si>
    <t>Li, X; Tian, LY; Li, BQ; Chen, HF; Zhao, GJ; Qin, XS; Liu, YY; Yang, YP; Xu, JC</t>
  </si>
  <si>
    <t>Li, Xiong; Tian, Liyan; Li, Boqun; Chen, Huafang; Zhao, Gaojuan; Qin, Xiangshi; Liu, Yuanyuan; Yang, Yongping; Xu, Jianchu</t>
  </si>
  <si>
    <t>Polyaspartic acid enhances the Cd phytoextraction efficiency of Bidens pilosa by remolding the rhizospheric environment and reprogramming plant metabolism</t>
  </si>
  <si>
    <t>CHEMOSPHERE</t>
  </si>
  <si>
    <t>Heavy metal; Phytoremediation; Soil chelator; Plant metabolomics; Rhizobacteria</t>
  </si>
  <si>
    <t>SOLANUM-NIGRUM; CADMIUM; ACCUMULATION; MECHANISMS; SEEDLINGS; L.</t>
  </si>
  <si>
    <t>The green soil chelator polyaspartic acid (PASP) can enhance heavy metal phytoextraction efficiency, but the potential mechanisms are not clearly understood from the whole soil-plant system. In this study, we explored the effects and potential mechanisms of PASP addition in soils on plant growth and cadmium (Cd) uptake in the Cd hyperaccumulator Bidens pilosa by analysing variations in chemical elements, rhizospheric microbial community, and plant metabolomics. The results showed that PASP significantly promoted the biomass yield and Cd con-centration in B. pilosa, leading to an increase in the total accumulated Cd by 46.4% and 76.4% in shoots and 124.7% and 197.3% in roots under 3 and 6 mg kg-1 PASP addition, respectively. The improved soil-available nutrients and enriched plant growth-promoting rhizobacteria (e.g., Sphingopyxis, Sphingomonas, Cupriavidus, Achromobacter, Nocardioides, and Rhizobium) were probably responsible for the enhanced plant growth after PASP addition. The increase in Cd uptake by plants could be due to the improved rhizosphere-available Cd, which was directly activated by PASP and affected by the induced rhizobacteria involved in immobilizing/ mobilizing Cd (e.g., Sphingomonas, Cupriavidus, Achromobacter, and Rhizobium). Notably, PASP and/or these potassium (K)-solubilizing rhizobacteria (i.e., Sphingomonas, Cupriavidus, and Rhizobium) highly activated rhizosphere-available K to enhance plant growth and Cd uptake in B. pilosa. Plant physiological and metabolomic results indicated that multiple processes involving antioxidant enzymes, amino acids, organic acids, and lipids contributed to Cd detoxification in B. pilosa. This study provides novel insights into understanding how soil chelators drive heavy metal transfer in soil-plant systems.</t>
  </si>
  <si>
    <t>Li, Xiong</t>
  </si>
  <si>
    <t>[Li, Xiong; Chen, Huafang; Zhao, Gaojuan; Xu, Jianchu] Chinese Acad Sci, Kunming Inst Bot, Ctr Mt Futures, Kunming 650201, Peoples R China; [Li, Xiong; Chen, Huafang; Zhao, Gaojuan; Xu, Jianchu] Chinese Acad Sci, Kunming Inst Bot, Dept Econ Plants &amp; Biotechnol, Yunnan Key Lab Wild Plant Resources, Kunming 650201, Peoples R China; [Li, Xiong; Qin, Xiangshi; Liu, Yuanyuan; Yang, Yongping] Chinese Acad Sci, Kunming Inst Bot, Germplasm Bank Wild Species, Kunming 650201, Peoples R China; [Tian, Liyan] Yunnan Normal Univ, Sch Energy &amp; Environm Sci, Kunming 650500, Peoples R China; [Li, Boqun] Chinese Acad Sci, Kunming Inst Bot, Sci &amp; Technol Informat Ctr, Kunming 650201, Peoples R China; [Yang, Yongping] Chinese Acad Sci, Xishuangbanna Trop Bot Garden, Xishuangbanna 666303, Peoples R China; [Yang, Yongping; Xu, Jianchu] 132 Lanhei Rd, Kunming 650201, Peoples R China</t>
  </si>
  <si>
    <t>Chinese Academy of Sciences; Kunming Institute of Botany, CAS; Chinese Academy of Sciences; Kunming Institute of Botany, CAS; Chinese Academy of Sciences; Kunming Institute of Botany, CAS; Yunnan Normal University; Chinese Academy of Sciences; Kunming Institute of Botany, CAS; Chinese Academy of Sciences; Xishuangbanna Tropical Botanical Garden, CAS</t>
  </si>
  <si>
    <t>Yang, YP; Xu, JC (通讯作者)，132 Lanhei Rd, Kunming 650201, Peoples R China.</t>
  </si>
  <si>
    <t>yangyp@mail.kib.ac.cn; jxu@mail.kib.ac.cn</t>
  </si>
  <si>
    <t>liu, yuanyuan/GWZ-5838-2022; liu, 园园/HJI-4438-2023</t>
  </si>
  <si>
    <t>Li, Xiong/0000-0002-1754-8721; yang, yong ping/0000-0002-0327-2664</t>
  </si>
  <si>
    <t>Youth Innovation Promotion Associa-tion CAS [2020387]; Key Project of Yunnan Provincial Science and Technology Department [202101AS070045]; Strategic Priority Research Program of Chinese Academy of Sciences [XDA2602020]</t>
  </si>
  <si>
    <t>Youth Innovation Promotion Associa-tion CAS; Key Project of Yunnan Provincial Science and Technology Department; Strategic Priority Research Program of Chinese Academy of Sciences(Chinese Academy of Sciences)</t>
  </si>
  <si>
    <t>Acknowledgments This work was funded by the Youth Innovation Promotion Associa-tion CAS (2020387) , the Key Project of Yunnan Provincial Science and Technology Department (202101AS070045) , and the Strategic Priority Research Program of Chinese Academy of Sciences (XDA2602020) .</t>
  </si>
  <si>
    <t>PERGAMON-ELSEVIER SCIENCE LTD</t>
  </si>
  <si>
    <t>THE BOULEVARD, LANGFORD LANE, KIDLINGTON, OXFORD OX5 1GB, ENGLAND</t>
  </si>
  <si>
    <t>0045-6535</t>
  </si>
  <si>
    <t>1879-1298</t>
  </si>
  <si>
    <t>Chemosphere</t>
  </si>
  <si>
    <t>10.1016/j.chemosphere.2022.136068</t>
  </si>
  <si>
    <t>4C6ZG</t>
  </si>
  <si>
    <t>WOS:000846598100004</t>
  </si>
  <si>
    <t>Yang, JY; Huang, YQ; Zhao, GJ; Li, BQ; Qin, XS; Xu, JC; Li, X</t>
  </si>
  <si>
    <t>Yang, Jingya; Huang, Yingqi; Zhao, Gaojuan; Li, Boqun; Qin, Xiangshi; Xu, Jianchu; Li, Xiong</t>
  </si>
  <si>
    <t>Phytoremediation potential evaluation of three rhubarb species and comparative analysis of their rhizosphere characteristics in a Cd- and Pb-contaminated soil</t>
  </si>
  <si>
    <t>Rheum; Cd accumulator; Phytoextraction; Rhizosphere effect; Plant growth-promoting rhizobacteria</t>
  </si>
  <si>
    <t>HEAVY-METALS; ACCUMULATION CHARACTERISTICS; BACTERIAL ENDOPHYTES; MICROBIAL COMMUNITY; CADMIUM; GROWTH; MICROORGANISMS; PHOSPHORUS; COPPER; PLANTS</t>
  </si>
  <si>
    <t>Screening or breeding exceptional plant species for heavy metal phytoremediation is as important as adopting feasible measures to enhance phytoremediation efficiency, which are largely based on clarifying the mechanisms of heavy metal tolerance and accumulation by plants. In this study, cadmium (Cd) and lead (Pb) tolerance and accumulation characteristics of Rheum officinale, R. palmatum, and R. tanguticum were analysed to assess their phytoremediation potential. The seed germination test indicated that these three rhubarb species could tolerate 10 mg L-1 Cd and 100 mg L-1 Pb. However, when sown in Cd-and Pb-contaminated soil, all three rhubarb species exhibited a relatively high Cd accumulation capacity but a considerably low Pb accumulation capacity according to the bioconcentration factors of Cd (0.42-0.47 in shoots and 0.11-0.15 in roots) and Pb (0.004-0.008 in shoots and 0.007-0.013 in roots). The high Cd translocation factors (3.04-4.24) indicated that these three rhubarb species were suitable for Cd phytoextraction. The changes in rhizospheric physicochemical indices were generally similar among the three rhubarb plants in comparison with those of the unplanted soil. However, differential indicator rhizobacteria were identified for the three rhubarb plants, which may be primarily attributed to their different root system characteristics. These enriched rhizobacteria included many plant growth-promoting bacteria, and several of them were also involved in regulating heavy metal uptake by plants, indicating that three rhubarb species likely recruit differentially beneficial rhizobacteria to maintain plant growth and vitality and to regulate heavy metal uptake in the Cd-and Pb-polluted soil. This study identifies new candidate plant resources for the phytoremediation of Cd-polluted soils and provides novel insights into understanding the interactions among heavy metals, rhizobacteria, and plants.</t>
  </si>
  <si>
    <t>Yang, Jingya</t>
  </si>
  <si>
    <t>[Yang, Jingya; Huang, Yingqi; Zhao, Gaojuan; Xu, Jianchu; Li, Xiong] Chinese Acad Sci, Kunming Inst Bot, Dept Econ Plants &amp; Biotechnol, Yunnan Key Lab Wild Plant Resources, Kunming 650201, Yunnan, Peoples R China; [Yang, Jingya; Huang, Yingqi; Zhao, Gaojuan; Xu, Jianchu; Li, Xiong] Chinese Acad Sci, Honghe Ctr Mt Futures, Kunming Inst Bot, Honghe 654400, Peoples R China; [Yang, Jingya; Huang, Yingqi] Univ Chinese Acad Sci, Beijing 100049, Peoples R China; [Li, Boqun] Chinese Acad Sci, Sci &amp; Technol Informat Ctr, Kunming Inst Bot, Kunming 650201, Yunnan, Peoples R China; [Qin, Xiangshi; Li, Xiong] Chinese Acad Sci, Kunming Inst Bot, Germplasm Bank Wild Species, Kunming 650201, Yunnan, Peoples R China</t>
  </si>
  <si>
    <t>Chinese Academy of Sciences; Kunming Institute of Botany, CAS; Chinese Academy of Sciences; Kunming Institute of Botany, CAS; Chinese Academy of Sciences; University of Chinese Academy of Sciences, CAS; Chinese Academy of Sciences; Kunming Institute of Botany, CAS; Chinese Academy of Sciences; Kunming Institute of Botany, CAS</t>
  </si>
  <si>
    <t>Xu, JC; Li, X (通讯作者)，132 Lanhei Rd, Kunming 650201, Yunnan, Peoples R China.</t>
  </si>
  <si>
    <t>jxu@mail.kib.ac.cn; lixiong@mail.kib.ac.cn</t>
  </si>
  <si>
    <t>Li, Xiong/0000-0002-1754-8721</t>
  </si>
  <si>
    <t>Youth Innovation Promotion Association CAS [2020387]; National Natural Science Foundation of China [31800226]</t>
  </si>
  <si>
    <t>Youth Innovation Promotion Association CAS; National Natural Science Foundation of China(National Natural Science Foundation of China (NSFC))</t>
  </si>
  <si>
    <t>Acknowledgements We thank the Germplasm Bank of Wild Species for providing the seeds. This work was financially supported by the Youth Innovation Promotion Association CAS (2020387) and the National Natural Science Foundation of China (31800226) .</t>
  </si>
  <si>
    <t>10.1016/j.chemosphere.2022.134045</t>
  </si>
  <si>
    <t>0L3DA</t>
  </si>
  <si>
    <t>WOS:000781357100001</t>
  </si>
  <si>
    <t>He, Y; Liu, D; He, XH; Wang, YL; Liu, JW; Shi, XF; Chater, CCC; Yu, FQ</t>
  </si>
  <si>
    <t>He, Yan; Liu, Dong; He, Xinhua; Wang, Yanliang; Liu, Jianwei; Shi, Xiaofei; Chater, Caspar C. C.; Yu, Fuqiang</t>
  </si>
  <si>
    <t>Characteristics of bacterial and fungal communities and their impact during cow manure and agroforestry biowaste co-composting</t>
  </si>
  <si>
    <t>JOURNAL OF ENVIRONMENTAL MANAGEMENT</t>
  </si>
  <si>
    <t>Cow manure; Agroforestry biowastes; Antibiotic resistance gene; Dominant taxa; Pathogenic microorganisms</t>
  </si>
  <si>
    <t>INITIAL C/N RATIO; ACTINOBACTERIA POPULATIONS; TEMPERATURE; CELLULOSE; DIVERSITY; EMISSIONS; MATURITY; INSIGHTS; SLUDGE; GENES</t>
  </si>
  <si>
    <t>Microbial communities and environmental conditions are both of great importance for efficient utilization of agroforestry resources. Nevertheless, knowledge about the role of soluble nutrients and enzymatic properties, and their inner links with microbial communities remain limited. This is especially the case for the cocomposting of agricultural and forestry biowaste. Here, we investigate the succession of key microbes during co-composting (sawdust + cow manure, SA; straw + cow manure, ST), employing amplicon sequencing, enzyme assays, and physicochemical analyses. N-fixing bacteria (Pseudomonas) and C-degrading fungi (Acaulium) have been identified as dominant taxa during such co-composting. Although eight antibiotic resistance genes were found to persist during composting, pathogenic microbes declined with composting time. NO3--N content was screened as a determinant structuring the bacterial and fungal communities, with importance also shown for C-degrading enzymes such as cellulose, laccase, and pemxidase activity. These results identify the key microbial taxa and their main interactive environmental factors, which are potentially valuable for the development of a mixed microbial inoculant to accelerate the maturation of agroforestry biowastes composting.</t>
  </si>
  <si>
    <t>He, Yan</t>
  </si>
  <si>
    <t>[He, Yan; Liu, Dong; He, Xinhua; Wang, Yanliang; Liu, Jianwei; Shi, Xiaofei; Yu, Fuqiang] Chinese Acad Sci, Kunming Inst Bot, Yunnan Key Lab Fungal Divers &amp; Green Dev, Germplasm Bank Wild Species, Kunming 650201, Yunnan, Peoples R China; [He, Xinhua] Univ Calif Davis, Dept Land Air &amp; Water Resources, Davis, CA 95616 USA; [He, Xinhua] Univ Western Australia, Sch Biol Sci, Perth, WA 6009, Australia; [Shi, Xiaofei] Guizhou Kangqunyuan Biotechnol Co LTD, Liupanshui 553600, Guizhou, Peoples R China; [Chater, Caspar C. C.] Royal Bot Gardens, Richmond TW9 3AE, Surrey, England</t>
  </si>
  <si>
    <t>Chinese Academy of Sciences; Kunming Institute of Botany, CAS; University of California System; University of California Davis; University of Western Australia; Royal Botanic Gardens, Kew</t>
  </si>
  <si>
    <t>Liu, D; Yu, FQ (通讯作者)，Chinese Acad Sci, Kunming Inst Bot, Yunnan Key Lab Fungal Divers &amp; Green Dev, Germplasm Bank Wild Species, Kunming 650201, Yunnan, Peoples R China.</t>
  </si>
  <si>
    <t>liudongc@mail.kib.ac.cn; fqyu@mail.kib.ac.cn</t>
  </si>
  <si>
    <t>He, Xinhua/D-6920-2011</t>
  </si>
  <si>
    <t>He, Xinhua/0000-0002-5570-3454; Chater, Caspar/0000-0003-2058-2020</t>
  </si>
  <si>
    <t>Chinese Academy of Sciences [XDA26050302]; National Key R&amp;D Program of China [2021YFD1600404]; Poverty Alleviation through Science and Technology Projects of the Chinese Academy of Sciences [KFJ-FP-201905]; Technology Transfer into Yunnan Project [202003AD150005]</t>
  </si>
  <si>
    <t>Chinese Academy of Sciences(Chinese Academy of Sciences); National Key R&amp;D Program of China; Poverty Alleviation through Science and Technology Projects of the Chinese Academy of Sciences; Technology Transfer into Yunnan Project</t>
  </si>
  <si>
    <t>This work was supported by the Strategic Priority Research Program of the Chinese Academy of Sciences (XDA26050302) , National Key R &amp; D Program of China (2021YFD1600404) , Poverty Alleviation through Science and Technology Projects of the Chinese Academy of Sciences (KFJ-FP-201905) , Technology Transfer into Yunnan Project (202003AD150005) .</t>
  </si>
  <si>
    <t>0301-4797</t>
  </si>
  <si>
    <t>1095-8630</t>
  </si>
  <si>
    <t>J ENVIRON MANAGE</t>
  </si>
  <si>
    <t>J. Environ. Manage.</t>
  </si>
  <si>
    <t>10.1016/j.jenvman.2022.116377</t>
  </si>
  <si>
    <t>5T4DS</t>
  </si>
  <si>
    <t>WOS:000875820000005</t>
  </si>
  <si>
    <t>Li, WQ; Wang, WL; Chen, JH; Zhang, ZM</t>
  </si>
  <si>
    <t>Li, Wenqing; Wang, Wenli; Chen, Jiahui; Zhang, Zhiming</t>
  </si>
  <si>
    <t>Assessing effects of the Returning Farmland to Forest Program on vegetation cover changes at multiple spatial scales: The case of northwest Yunnan, China</t>
  </si>
  <si>
    <t>Afforestation; Natural village participation; Land cover mapping; Multiple levels; Monoculture</t>
  </si>
  <si>
    <t>LAND CONVERSION PROGRAM; LOESS PLATEAU; ECOSYSTEM SERVICES; GREEN PROGRAM; PROTECTION PROGRAM; SOUTHWEST CHINA; NEURAL-NETWORKS; CLIMATE-CHANGE; LIPING COUNTY; CONSERVATION</t>
  </si>
  <si>
    <t>Chinese state authorities have successfully accelerated afforestation over large areas through the Returning Farmland to Forest Program (RFFP). However, variation in the implementation of the RFFP among villages may lead to uncertainty in forest transitions at multiple spatial levels. Here, we combined remote sensing analysis with field quadrats and questionnaire surveys to assess the RFFP's effectiveness in increasing vegetation cover at the Lancang watershed, township and natural village levels in Weixi County, a biodiversity hotspot in northwest Yunnan. From 2000 to 2010 and 2010 to 2014, forest coverage increased, and areas of shrubland and agricultural land decreased at both watershed and township levels, which reflected a positive impact of the RFFP. However, the new forests established under the RFFP in the study area mostly consisted of monocultures of walnut and pine trees, a situation that could threaten local biodiversity. Changes in forest and shrub coverage varied among natural villages-gain and loss trends both occurred, indicating a limited impact of the RFFP. Nonparticipating RFFP households also abandoned cropland, and agricultural land area in these villages declined over the study period. At the watershed and township levels, RFFP greatly promoted increases in forest coverage. Elevation, the behavior of village officials and household livelihoods were often the most relevant factors at the natural village level. Interactions among these multiple drivers resulted in cross-scale heterogeneity of vegetation cover changes in northwest Yunnan. Future forest policies need to be tailored to specific regions and be based on assessments of local natural and socioeconomic conditions.</t>
  </si>
  <si>
    <t>Li, Wenqing</t>
  </si>
  <si>
    <t>[Li, Wenqing; Wang, Wenli; Zhang, Zhiming] Yunnan Univ, Sch Ecol &amp; Environm Sci &amp; Yunnan, Key Lab Plateau Mt Ecol &amp; Restorat Degraded Envir, Kunming 650091, Yunnan, Peoples R China; [Li, Wenqing; Chen, Jiahui] Chinese Acad Sci, Kunming Inst Bot, CAS Key Lab Plant Divers &amp; Biogeog East Asia, Kunming 650201, Yunnan, Peoples R China</t>
  </si>
  <si>
    <t>Zhang, ZM (通讯作者)，Yunnan Univ, Sch Ecol &amp; Environm Sci &amp; Yunnan, Key Lab Plateau Mt Ecol &amp; Restorat Degraded Envir, Kunming 650091, Yunnan, Peoples R China.</t>
  </si>
  <si>
    <t>zhiming_zhang76@hotmail.com</t>
  </si>
  <si>
    <t>zhang, zhi ming/0000-0002-8037-0559; li, wenqing/0000-0003-0995-337X</t>
  </si>
  <si>
    <t>Biodiversity Survey and Assessment Project of the Ministry of Ecology and Environment, China [2019HJ2096001006]; National Natural Science Foundation of China [NSFC 41761040]; Second Tibetan Plateau Scientific Expe-dition and Research program [2019QZKK0308]</t>
  </si>
  <si>
    <t>Biodiversity Survey and Assessment Project of the Ministry of Ecology and Environment, China; National Natural Science Foundation of China(National Natural Science Foundation of China (NSFC)); Second Tibetan Plateau Scientific Expe-dition and Research program</t>
  </si>
  <si>
    <t>This work was supported by the Biodiversity Survey and Assessment Project of the Ministry of Ecology and Environment, China (No.2019HJ2096001006) ; the National Natural Science Foundation of China (NSFC 41761040) ; the Second Tibetan Plateau Scientific Expe-dition and Research program (No. 2019QZKK0308) . The authors thank all the individuals who helped us conduct our work and provided helpful suggestions on this manuscript.</t>
  </si>
  <si>
    <t>10.1016/j.jenvman.2021.114303</t>
  </si>
  <si>
    <t>YF9OM</t>
  </si>
  <si>
    <t>WOS:000742128900010</t>
  </si>
  <si>
    <t>Zhang, L; Huang, YW; Huang, JL; Ya, JD; Zhe, MQ; Zeng, CX; Zhang, ZR; Zhang, SB; Li, DZ; Li, HT; Yang, JB</t>
  </si>
  <si>
    <t>Zhang, Le; Huang, Yi-Wei; Huang, Jia-Lin; Ya, Ji-Dong; Zhe, Meng-Qing; Zeng, Chun-Xia; Zhang, Zhi-Rong; Zhang, Shi-Bao; Li, De-Zhu; Li, Hong-Tao; Yang, Jun-Bo</t>
  </si>
  <si>
    <t>DNA barcoding of Cymbidium by genome skimming: Call for next-generation nuclear barcodes</t>
  </si>
  <si>
    <t>MOLECULAR ECOLOGY RESOURCES</t>
  </si>
  <si>
    <t>Cymbidium; high-throughput sequencing; plant nuclear DNA barcoding; plastid genome; species identification</t>
  </si>
  <si>
    <t>INTERNAL TRANSCRIBED SPACER; CHINA EVIDENCE; RIBOSOMAL DNA; PHYLOGENETIC-RELATIONSHIPS; CHLOROPLAST CAPTURE; SPECIES IDENTIFICATION; GENE ORGANIZATION; ORCHIDACEAE; EPIDENDROIDEAE; MITOCHONDRIAL</t>
  </si>
  <si>
    <t>Cymbidium is an orchid genus that has undergone rapid radiation and has high ornamental, economic, ecological and cultural importance, but its classification based on morphology is controversial. The plastid genome (plastome), as an extension of plant standard DNA barcodes, has been widely used as a potential molecular marker for identifying recently diverged species or complicated plant groups. In this study, we newly generated 237 plastomes of 50 species (at least two individuals per species) by genome skimming, covering 71.4% of members of the genus Cymbidium. Sequence-based analyses (barcoding gaps and automatic barcode gap discovery) and tree-based analyses (maximum likelihood, Bayesian inference and multirate Poisson tree processes model) were conducted for species identification of Cymbidium. Our work provides a comprehensive DNA barcode reference library for Cymbidium species identification. The results show that compared with standard DNA barcodes (rbcL + matK) as well as the plastid trnH-psbA, the species identification rate of the plastome increased moderately from 58% to 68%. At the same time, we propose an optimized identification strategy for Cymbidium species. The plastome cannot completely resolve the species identification of Cymbidium, the main reasons being incomplete lineage sorting, artificial cultivation, natural hybridization and chloroplast capture. To further explore the potential use of nuclear data in identifying species, the Skmer method was adopted and the identification rate increased to 72%. It appears that nuclear genome data have a vital role in species identification and are expected to be used as next-generation nuclear barcodes.</t>
  </si>
  <si>
    <t>Zhang, Le</t>
  </si>
  <si>
    <t>[Zhang, Le; Huang, Yi-Wei; Ya, Ji-Dong; Zhe, Meng-Qing; Zeng, Chun-Xia; Zhang, Zhi-Rong; Li, De-Zhu; Li, Hong-Tao; Yang, Jun-Bo] Chinese Acad Sci, Kunming Inst Bot, Germplasm Bank Wild Species, Kunming, Yunnan, Peoples R China; [Huang, Yi-Wei; Zhe, Meng-Qing; Li, De-Zhu; Li, Hong-Tao] Univ Chinese Acad Sci, Kunming Coll Life Sci, Kunming, Yunnan, Peoples R China; [Huang, Jia-Lin] Yuxi Normal Univ, Yuxi, Yunnan, Peoples R China; [Zhang, Shi-Bao] Chinese Acad Sci, Kunming Inst Bot, Key Lab Econ Plants &amp; Biotechnol, Kunming, Yunnan, Peoples R China</t>
  </si>
  <si>
    <t>Chinese Academy of Sciences; Kunming Institute of Botany, CAS; Chinese Academy of Sciences; University of Chinese Academy of Sciences, CAS; Yuxi Normal University; Chinese Academy of Sciences; Kunming Institute of Botany, CAS</t>
  </si>
  <si>
    <t>Li, DZ; Li, HT; Yang, JB (通讯作者)，132 Lanhei Rd, Kunming 650201, Yunnan, Peoples R China.</t>
  </si>
  <si>
    <t>dzl@mail.kib.ac.cn; llhongtao@mail.kib.ac.cn; jbyang@mail.kib.ac.cn</t>
  </si>
  <si>
    <t>Li, Hong Tao/0000-0002-1290-0917</t>
  </si>
  <si>
    <t>Strategic Priority Research Program of the Chinese Academy of Sciences [XDB31000000]; Large-scale Scientific Facilities of the Chinese Academy of Sciences [2017-LSF-GBOWS-2]; Key R &amp; D program of Yunnan Province, China [202103AC100003]; Project for Innovation Team of Yunnan Province [202105AE160012]</t>
  </si>
  <si>
    <t>Strategic Priority Research Program of the Chinese Academy of Sciences(Chinese Academy of Sciences); Large-scale Scientific Facilities of the Chinese Academy of Sciences; Key R &amp; D program of Yunnan Province, China; Project for Innovation Team of Yunnan Province</t>
  </si>
  <si>
    <t>This study was funded by the Strategic Priority Research Program of the Chinese Academy of Sciences (Grant No. XDB31000000) to D-ZL and J-BY, Large-scale Scientific Facilities of the Chinese Academy of Sciences (Grant No. 2017-LSF-GBOWS-2) to D-ZL and J-BY, the Key R &amp; D program of Yunnan Province, China (Grant No. 202103AC100003) to H-TL and the Project for Innovation Team of Yunnan Province (Grant No. 202105AE160012) to S-BZ. The authors are grateful to Prof. Xiao-Hua Jin (Institute of Botany, CAS), and to Prof. Wen-Bin Yu (Xishuangbanna Tropical Botanical Garden, CAS) for kindly providing the samples. We would like to thank Prof. Yun-Heng Ji (Kunming Institute of Botany, CAS) for his help with data analysis and his advice. We also thank Jing Yang, Zheng-Shan He, Chun-Yan Lin, Ji-Xiong Yang and other supporting staff from the Molecular Biology Experiment Center of GBOWS. Thanks to Drs Benjamin Sibbett and Pierre Taberlet and two anonymous reviewers for their comments and suggestions.; Strategic Priority Research Program of the Chinese Academy of Sciences, Grant/ Award Number: XDB31000000; Large-scale Scientific Facilities of the Chinese Academy of Sciences, Grant/Award Number: 2017--LSF- -GBOWS--2; Key R &amp; D program of Yunnan Province, China, Grant/Award Number: 202103AC100003; Project for Innovation Team of Yunnan Province, Grant/Award Number: 202105AE160012</t>
  </si>
  <si>
    <t>1755-098X</t>
  </si>
  <si>
    <t>1755-0998</t>
  </si>
  <si>
    <t>MOL ECOL RESOUR</t>
  </si>
  <si>
    <t>Mol. Ecol. Resour.</t>
  </si>
  <si>
    <t>10.1111/1755-0998.13719</t>
  </si>
  <si>
    <t>Biochemistry &amp; Molecular Biology; Ecology; Evolutionary Biology</t>
  </si>
  <si>
    <t>Biochemistry &amp; Molecular Biology; Environmental Sciences &amp; Ecology; Evolutionary Biology</t>
  </si>
  <si>
    <t>7M1HW</t>
  </si>
  <si>
    <t>WOS:000878862400001</t>
  </si>
  <si>
    <t>Yu, XQ; Jiang, YZ; Folk, RA; Zhao, JL; Fu, CN; Fang, L; Peng, H; Yang, JB; Yang, SX</t>
  </si>
  <si>
    <t>Yu, Xiang-Qin; Jiang, Yin-Zi; Folk, Ryan A.; Zhao, Jian-Li; Fu, Chao-Nan; Fang, Liang; Peng, Hua; Yang, Jun-Bo; Yang, Shi-Xiong</t>
  </si>
  <si>
    <t>Species discrimination in Schima (Theaceae): Next-generation super-barcodes meet evolutionary complexity</t>
  </si>
  <si>
    <t>plastid genome; super-barcodes; recently diverged; Schima; standard barcodes</t>
  </si>
  <si>
    <t>CHLOROPLAST CAPTURE; DNA; TAXONOMY; CONSEQUENCES; IDENTIFICATION; HYBRIDIZATION; DISCOVERY; INSIGHTS; PROGRESS; GENOMES</t>
  </si>
  <si>
    <t>Plastid genome and nuclear ribosomal DNA (nrDNA) arrays, proposed recently as super-barcodes, might provide additional discriminatory power and overcome the limitations of traditional barcoding loci, yet super-barcodes need to be tested for their effectiveness in more plant groups. Morphological homoplasy among Schima species makes the genus a model for testing the efficacy of super-barcodes. In this study, we generated multiple data sets comprising standard DNA barcodes (matK, rbcL, trnH-psbA, nrITS) and super-barcodes (plastid genome, nrDNA arrays) across 58 individuals from 12 out of 13 species of Schima from China. No samples were correctly assigned to species using standard DNA barcodes and nrDNA arrays, while only 27.27% of species with multiple accessions were distinguished using the plastid genome and its partitioned data sets-the lowest estimated rate of super-barcode success in the literature so far. For Schima and other taxa with similarly recently divergence and low levels of genetic variation, incomplete lineage sorting, hybridization or taxonomic oversplitting are all possible causes of the failure. Taken together, our study suggests that by no means are super-barcodes immune to the challenges imposed by evolutionary complexity. We therefore call for developing multilocus nuclear markers for species discrimination in plant groups.</t>
  </si>
  <si>
    <t>Yu, Xiang-Qin</t>
  </si>
  <si>
    <t>[Yu, Xiang-Qin; Jiang, Yin-Zi; Fu, Chao-Nan; Peng, Hua; Yang, Shi-Xiong] Kunming Inst Bot, CAS Key Lab Plant Div &amp; Biogeog East Asia, Kunming, Yunnan, Peoples R China; [Jiang, Yin-Zi] Univ Chinese Acad Sci, Coll Life Sci, Beijing, Peoples R China; [Folk, Ryan A.] Mississippi State Univ, Dept Biol Sci, Starkville, MS USA; [Zhao, Jian-Li] Yunnan Univ, Yunnan Key Lab Plant Reprod Adaptat &amp; Evolutiona, Kunming, Yunnan, Peoples R China; [Zhao, Jian-Li] Yunnan Univ, Inst Biodivers, Sch Ecol &amp; Environm Sci, Kunming, Yunnan, Peoples R China; [Fang, Liang] Jiujiang Univ, Coll Life Sci, Jiujiang, Peoples R China; [Yang, Jun-Bo] Chinese Acad Sci, Kunming Inst Bot, Germplasm Bank Wild Species, Kunming, Yunnan, Peoples R China</t>
  </si>
  <si>
    <t>Chinese Academy of Sciences; Kunming Institute of Botany, CAS; Chinese Academy of Sciences; University of Chinese Academy of Sciences, CAS; Mississippi State University; Yunnan University; Yunnan University; Jiujiang University; Chinese Academy of Sciences; Kunming Institute of Botany, CAS</t>
  </si>
  <si>
    <t>Yang, JB (通讯作者)，Chinese Acad Sci, Kunming Inst Bot, Germplasm Bank Wild Species, Kunming, Yunnan, Peoples R China.;Yu, XQ; Yang, SX (通讯作者)，Chinese Acad Sci, CAS Key Lab Plant Div &amp; Biogeog East Asia, Kunming Inst Bot, Kunming, Yunnan, Peoples R China.</t>
  </si>
  <si>
    <t>yuxiangqin@mail.kib.ac.cn; jbyang@mail.kib.ac.cn; shxyang@mail.kib.ac.cn</t>
  </si>
  <si>
    <t>Yu, Xiangqin/0000-0001-5245-343X</t>
  </si>
  <si>
    <t>National Natural Science Foundation of China [32070369]; Strategic Priority Research Program of Chinese Academy of Sciences [XDB31000000]; Chinese Academy of Sciences [2017-LSFGBOWS-02]; Youth Innovation Promotion Association CAS [2021393]</t>
  </si>
  <si>
    <t>National Natural Science Foundation of China(National Natural Science Foundation of China (NSFC)); Strategic Priority Research Program of Chinese Academy of Sciences(Chinese Academy of Sciences); Chinese Academy of Sciences(Chinese Academy of Sciences); Youth Innovation Promotion Association CAS</t>
  </si>
  <si>
    <t>National Natural Science Foundation of China, Grant/Award Number: 32070369; the Strategic Priority Research Program of Chinese Academy of Sciences, Grant/Award Number: XDB31000000; the Large--scale Scientific Facilities of the Chinese Academy of Sciences, Grant/Award Number: 2017--LSFGBOWS--02; the Youth Innovation Promotion Association CAS, Grant/Award Number: 2021393</t>
  </si>
  <si>
    <t>10.1111/1755-0998.13683</t>
  </si>
  <si>
    <t>5A6QZ</t>
  </si>
  <si>
    <t>WOS:000826239400001</t>
  </si>
  <si>
    <t>Fu, CN; Mo, ZQ; Yang, JB; Cai, J; Ye, LJ; Zou, JY; Qin, HT; Zheng, W; Hollingsworth, PM; Li, DZ; Gao, LM</t>
  </si>
  <si>
    <t>Fu, Chao-Nan; Mo, Zhi-Qiong; Yang, Jun-Bo; Cai, Jie; Ye, Lin-Jiang; Zou, Jia-Yun; Qin, Han-Tao; Zheng, Wei; Hollingsworth, Peter M.; Li, De-Zhu; Gao, Lian-Ming</t>
  </si>
  <si>
    <t>Testing genome skimming for species discrimination in the large and taxonomically difficult genus Rhododendron</t>
  </si>
  <si>
    <t>Himalaya-Hengduan Mountains; infrageneric phylogenetic resolution; next generation DNA barcoding; Rhododendron; species discrimination</t>
  </si>
  <si>
    <t>PHYLOGENETIC-RELATIONSHIPS; SECTIONAL RELATIONSHIPS; CHLOROPLAST GENOME; DNA BARCODES; ERICACEAE; HYBRIDIZATION; YUNNAN; DIVERSITY; PATTERNS; AGASTUM</t>
  </si>
  <si>
    <t>Standard plant DNA barcodes based on 2-3 plastid regions, and nrDNA ITS show variable levels of resolution, and fail to discriminate among species in many plant groups. Genome skimming to recover complete plastid genome sequences and nrDNA arrays has been proposed as a solution to address these resolution limitations. However, few studies have empirically tested what gains are achieved in practice. Of particular interest is whether adding substantially more plastid and nrDNA characters will lead to an increase in discriminatory power, or whether the resolution limitations of standard plant barcodes are fundamentally due to plastid genomes and nrDNA not tracking species boundaries. To address this, we used genome skimming to recover near-complete plastid genomes and nuclear ribosomal DNA from Rhododendron species and compared discrimination success with standard plant barcodes. We sampled 218 individuals representing 145 species of this species-rich and taxonomically difficult genus, focusing on the global biodiversity hotspots of the Himalaya-Hengduan Mountains. Only 33% of species were distinguished using ITS+matK+rbcL+trnH-psbA. In contrast, 55% of species were distinguished using plastid genome and nrDNA sequences. The vast majority of this increase is due to the additional plastid characters. Thus, despite previous studies showing an asymptote in discrimination success beyond 3-4 plastid regions, these results show that a demonstrable increase in discriminatory power is possible with extensive plastid genome data. However, despite these gains, many species remain unresolved, and these results also reinforce the need to access multiple unlinked nuclear loci to obtain transformative gains in species discrimination in plants.</t>
  </si>
  <si>
    <t>Fu, Chao-Nan</t>
  </si>
  <si>
    <t>[Fu, Chao-Nan; Mo, Zhi-Qiong; Ye, Lin-Jiang; Zou, Jia-Yun; Qin, Han-Tao; Zheng, Wei; Li, De-Zhu; Gao, Lian-Ming] Chinese Acad Sci, Kunming Inst Bot, CAS Key Lab Plant Divers &amp; Biogeog East Asia, Kunming 650201, Yunnan, Peoples R China; [Fu, Chao-Nan; Yang, Jun-Bo; Cai, Jie; Li, De-Zhu] Chinese Acad Sci, Kunming Inst Bot, Germplasm Bank Wild Species, Kunming, Yunnan, Peoples R China; [Mo, Zhi-Qiong; Ye, Lin-Jiang; Zou, Jia-Yun; Qin, Han-Tao; Zheng, Wei; Li, De-Zhu] Univ Chinese Acad Sci, Beijing, Peoples R China; [Hollingsworth, Peter M.] Royal Bot Garden Edinburgh, Edinburgh EH3 5LR, Midlothian, Scotland; [Gao, Lian-Ming] Chinese Acad Sci, Kunming Inst Bot, Lijiang Forest Ecosyst Natl Observat &amp; Res Stn, Lijiang, Yunnan, Peoples R China</t>
  </si>
  <si>
    <t>Chinese Academy of Sciences; Kunming Institute of Botany, CAS; Chinese Academy of Sciences; Kunming Institute of Botany, CAS; Chinese Academy of Sciences; University of Chinese Academy of Sciences, CAS; Chinese Academy of Sciences; Kunming Institute of Botany, CAS</t>
  </si>
  <si>
    <t>Li, DZ; Gao, LM (通讯作者)，Chinese Acad Sci, Kunming Inst Bot, CAS Key Lab Plant Divers &amp; Biogeog East Asia, Kunming 650201, Yunnan, Peoples R China.;Hollingsworth, PM (通讯作者)，Royal Bot Garden Edinburgh, Edinburgh EH3 5LR, Midlothian, Scotland.</t>
  </si>
  <si>
    <t>PHollingsworth@rbge.org.uk; dzl@mail.kib.ac.cn; gaolm@mail.kib.ac.cn</t>
  </si>
  <si>
    <t>Li, De-Zhu/G-8203-2011; Gao, Lianming/H-4527-2011; Gao, Lian-Ming/AAU-2613-2021</t>
  </si>
  <si>
    <t>Li, De-Zhu/0000-0002-4990-724X; Gao, Lianming/0000-0001-9047-2658; Gao, Lian-Ming/0000-0001-9047-2658; Zou, Jia-Yun/0000-0001-6927-2782</t>
  </si>
  <si>
    <t>Large-scale Scientific Facilities of the Chinese Academy of Sciences [2017-LSFGBOWS-02]; National Natural Science Foundation of China [91631101, 31670213]; Program of Science and Technology Talents Training of Yunnan Province, China [2017HA014]; Strategic Priority Research Program of Chinese Academy of Sciences [XDB31000000]; Special Research Assistant Funding Project of the Chinese Academy of Sciences [E0295111Q1]</t>
  </si>
  <si>
    <t>Large-scale Scientific Facilities of the Chinese Academy of Sciences; National Natural Science Foundation of China(National Natural Science Foundation of China (NSFC)); Program of Science and Technology Talents Training of Yunnan Province, China; Strategic Priority Research Program of Chinese Academy of Sciences(Chinese Academy of Sciences); Special Research Assistant Funding Project of the Chinese Academy of Sciences</t>
  </si>
  <si>
    <t>Large--scale Scientific Facilities of the Chinese Academy of Sciences, Grant/ Award Number: 2017--LSFGBOWS--02; National Natural Science Foundation of China, Grant/Award Number: 31670213 and 91631101; Program of Science and Technology Talents Training of Yunnan Province, China, Grant/Award Number: 2017HA014; Strategic Priority Research Program of Chinese Academy of Sciences, Grant/Award Number: XDB31000000; Special Research Assistant Funding Project of the Chinese Academy of Sciences, Grant/Award Number: E0295111Q1</t>
  </si>
  <si>
    <t>JAN</t>
  </si>
  <si>
    <t>10.1111/1755-0998.13479</t>
  </si>
  <si>
    <t>AUG 2021</t>
  </si>
  <si>
    <t>XP8TA</t>
  </si>
  <si>
    <t>WOS:000682983700001</t>
  </si>
  <si>
    <t>He, ZC; Lin, J; Chen, C; Chen, YZ; Yang, ST; Cai, XH; He, YY; Liu, SB</t>
  </si>
  <si>
    <t>He, Zhicheng; Lin, Jian; Chen, Cheng; Chen, Yuanzhi; Yang, Shuting; Cai, Xianghai; He, YingYing; Liu, Shubai</t>
  </si>
  <si>
    <t>Identification of BGN and THBS2 as metastasis-specific biomarkers and poor survival key regulators in human colon cancer by integrated analysis</t>
  </si>
  <si>
    <t>CLINICAL AND TRANSLATIONAL MEDICINE</t>
  </si>
  <si>
    <t>BGN; biomarker; colon cancer; EMT; metastasis; THBS2</t>
  </si>
  <si>
    <t>EPITHELIAL-MESENCHYMAL TRANSITIONS; CONSENSUS MOLECULAR SUBTYPES; COLORECTAL-CANCER; THROMBOSPONDIN-2 EXPRESSION; BIGLYCAN; INVASION; STATISTICS; MIGRATION; REVEALS; GENES</t>
  </si>
  <si>
    <t>Background Colon cancer is the second leading cause of death worldwide. Exploring key regulators in colon cancer metastatic progression could lead to better outcomes for patients. Methods Initially, the transcriptional profiles of 681 colonrectal cancer (CRC) cases were used to discover signature genes that were significantly correlated with colon cancer metastasis. These signature genes were then validated using another independent 210 CRC cases' transcriptomics and proteomics profiles, and Kaplan-Meier regression analyses were used to screen the key regulators with patients' survival. Immunohistochemical staining was used to confirm the biomarkers, and transit knockdown was used to explore their implications on colon cancer cells migration and invasion abilities. The impact on the key signalling molecules in epithelial-mesenchymal transition (EMT) process that drive tumour metastasis was tested using Western blot. The response to clinical standard therapeutic drugs was compared to clinical prognosis of key regulators using an ROC plotter. Results Five genes (BGN, THBS2, SPARC, CDH11 and SPP1) were initially identified as potential biomarkers and therapeutic targets of colon cancer metastasis. The most significant signatures associated with colon cancer metastasis were determined to be BGN and THBS2. Furthermore, highly expression of BGN and THBS2 in tumours was linked to a worse survival rate. BGN and THBS2 knockdown significantly reduced colon cancer cells migration and invasion, as well as down-regulating three EMT-related proteins (Snail, Vimentin and N-cadherin), and increasing the proliferation inhibitory effect of 5-fluorouracil, irinotecan and oxaliplatin treatment. Conclusions CRC metastatic progression, EMT phenotypic transition and poor survival time have been linked to BGN and THBS2. They could be utilized as potential diagnostic and therapeutic targets for colon cancer metastatic patients with a better prognosis.</t>
  </si>
  <si>
    <t>He, Zhicheng</t>
  </si>
  <si>
    <t>[He, Zhicheng; Lin, Jian; Chen, Cheng; Chen, Yuanzhi; Yang, Shuting; Cai, Xianghai; Liu, Shubai] Chinese Acad Sci, Kunming Inst Bot, State Key Lab Phytochem &amp; Plant Resources West Ch, 132 Blue Black St, Kunming 650201, Yunnan, Peoples R China; [He, Zhicheng; Lin, Jian; Chen, Cheng; Chen, Yuanzhi] Univ Chinese Acad Sci, Beijing, Peoples R China; [Yang, Shuting] Yunnan Univ, Sch Life Sci, Kunming, Yunnan, Peoples R China; [He, YingYing] Yunnan Univ, Sch Chem Sci &amp; Technol, Kunming, Yunnan, Peoples R China</t>
  </si>
  <si>
    <t>Chinese Academy of Sciences; Kunming Institute of Botany, CAS; Chinese Academy of Sciences; University of Chinese Academy of Sciences, CAS; Yunnan University; Yunnan University</t>
  </si>
  <si>
    <t>Liu, SB (通讯作者)，Chinese Acad Sci, Kunming Inst Bot, State Key Lab Phytochem &amp; Plant Resources West Ch, 132 Blue Black St, Kunming 650201, Yunnan, Peoples R China.;He, YY (通讯作者)，Yunnan Univ, Sch Chem Sci &amp; Technol, Kunming, Yunnan, Peoples R China.</t>
  </si>
  <si>
    <t>yingying.he10@gmail.com; liushubai@mail.kib.ac.cn</t>
  </si>
  <si>
    <t>Chinese Academic of Science [E0241211H1]; State Key Laboratory of Phytochemistry and Plant Resources in West China; Kunming Institute of Botany; Chinese Academy of Sciences [Y8677211K1, Y8690211Z1]</t>
  </si>
  <si>
    <t>Chinese Academic of Science; State Key Laboratory of Phytochemistry and Plant Resources in West China; Kunming Institute of Botany; Chinese Academy of Sciences(Chinese Academy of Sciences)</t>
  </si>
  <si>
    <t>This work was supported by the grant for outstanding talent from abroad by Chinese Academic of Science and startup support funding (E0241211H1) and State Key Laboratory of Phytochemistry and Plant Resources in West China, Kunming Institute of Botany, the Chinese Academy of Sciences (Y8677211K1 and Y8690211Z1) to Dr. Shubai Liu.</t>
  </si>
  <si>
    <t>JOHN WILEY &amp; SONS LTD</t>
  </si>
  <si>
    <t>CHICHESTER</t>
  </si>
  <si>
    <t>THE ATRIUM, SOUTHERN GATE, CHICHESTER PO19 8SQ, W SUSSEX, ENGLAND</t>
  </si>
  <si>
    <t>2001-1326</t>
  </si>
  <si>
    <t>CLIN TRANSL MED</t>
  </si>
  <si>
    <t>Clin. Transl. Med.</t>
  </si>
  <si>
    <t>e973</t>
  </si>
  <si>
    <t>10.1002/ctm2.973</t>
  </si>
  <si>
    <t>Oncology; Medicine, Research &amp; Experimental</t>
  </si>
  <si>
    <t>Oncology; Research &amp; Experimental Medicine</t>
  </si>
  <si>
    <t>6E3CG</t>
  </si>
  <si>
    <t>WOS:000883257200001</t>
  </si>
  <si>
    <t>Wang, H; Liu, SG; Li, HY; Tao, XH; Wang, HC; Qi, JF; Zhang, ZJ</t>
  </si>
  <si>
    <t>Wang, Hang; Liu, Shengen; Li, Hongyi; Tao, Xinhua; Wang, Haocai; Qi, Jinfeng; Zhang, Zhijian</t>
  </si>
  <si>
    <t>Large-scale homogenization of soil bacterial communities in response to agricultural practices in paddy fields, China</t>
  </si>
  <si>
    <t>SOIL BIOLOGY &amp; BIOCHEMISTRY</t>
  </si>
  <si>
    <t>Land use; Bacterial community; beta-diversity; Paddy field; Spatial scale dependence</t>
  </si>
  <si>
    <t>GRASSLANDS; DIVERSITY; PATTERNS; BETA; BIOGEOGRAPHY; CONVERSION; FOREST</t>
  </si>
  <si>
    <t>The transformation of natural habitats into cropland is a major issue in ecological conservation. Of particular concern is the large-scale biotic homogenization (reduced beta-diversity) of soil microbial communities. Paddy fields represent the largest anthropogenic ecosystem in the world; however, bacterial homogenization and reduced biodiversity in paddy fields caused by intensive modern agricultural practices have yet to be explored. Here, samples were collected from 257 sites in four typical rice-growing regions across a 4,000-km transect in China, including both paddy fields and adjacent natural habitats. These four regions follow a unique gradient of rice cultivation management, from modern mechanical to traditional manual practices. Distance-decay patterns of bacterial communities in paddy fields revealed reduced beta-diversity compared to surrounding natural habitats. Modern rice farming practices (plowing with machines) caused stronger homogenization of soil bacterial communities than traditional farming (plowing by hand). Among the four paddy regions, plowing by hand retained the highest soil bacterial beta-diversity. Moreover, a significant inverse correlation was observed between bacterial beta-diversity and the agricultural mechanization level. Among multiple environmental factors, dramatic spatial homogenization of soil physicochemical properties, particularly soil nutrient contents, and reduced dispersal limitation caused by modern farming activities both strongly predict a reduction of bacterial beta-diversity in modern paddy fields.</t>
  </si>
  <si>
    <t>Wang, Hang</t>
  </si>
  <si>
    <t>[Wang, Hang; Li, Hongyi; Tao, Xinhua; Zhang, Zhijian] Zhejiang Univ, Coll Environm &amp; Resource Sci, 866 Yuhangtang Ave, Hangzhou 310058, Peoples R China; [Wang, Hang; Wang, Haocai] Southwest Forestry Univ, Natl Plateau Wetlands Res Ctr, Yunnan Key Lab Plateau Wetland Conservat Restorat, Kunming 650224, Yunnan, Peoples R China; [Wang, Hang] Chinese Acad Sci, Inst Urban Environm, Key Lab Urban Environm &amp; Hlth, Xiamen 361021, Peoples R China; [Liu, Shengen] China Three Gorges Univ, Coll Biol &amp; Pharmaceut Sci, Yichang 443000, Peoples R China; [Liu, Shengen] Inst Appl Ecol, CAS Key Lab Forest Ecol &amp; Management, Huitong Expt Stn Forest Ecol, Shenyang 110164, Peoples R China; [Li, Hongyi] Shanghai Personal Biotechnol Co Ltd, Shanghai 200231, Peoples R China; [Qi, Jinfeng] Chinese Acad Sci, Kunming Inst Bot, Dept Econ Plants &amp; Biotechnol, Yunnan Key Lab Wild Plant Resources, Kunming 650201, Yunnan, Peoples R China; [Zhang, Zhijian] Zhejiang Univ, China Acad West Reg Dev, Hangzhou 310058, Peoples R China</t>
  </si>
  <si>
    <t>Zhejiang University; Southwest Forestry University - China; Chinese Academy of Sciences; Institute of Urban Environment, CAS; China Three Gorges University; Chinese Academy of Sciences; Shenyang Institute of Applied Ecology, CAS; Chinese Academy of Sciences; Kunming Institute of Botany, CAS; Zhejiang University</t>
  </si>
  <si>
    <t>Zhang, ZJ (通讯作者)，Zhejiang Univ, Coll Environm &amp; Resource Sci, 866 Yuhangtang Ave, Hangzhou 310058, Peoples R China.</t>
  </si>
  <si>
    <t>zhangzhijian@zju.edu.cn</t>
  </si>
  <si>
    <t>Liu, Shengen/K-1553-2019</t>
  </si>
  <si>
    <t>Liu, Shengen/0000-0002-4730-5202; Wang, Hang/0000-0003-0881-0553</t>
  </si>
  <si>
    <t>National Natural Science Foundation of China [41673081, 41877346, 31772179, 32101491]; Yunnan Applied Basic Research Projects [2019FB036]; Yunnan Province Young Talents Project [YNWR-QNBJ-2018-235]</t>
  </si>
  <si>
    <t>National Natural Science Foundation of China(National Natural Science Foundation of China (NSFC)); Yunnan Applied Basic Research Projects; Yunnan Province Young Talents Project</t>
  </si>
  <si>
    <t>This work was supported by National Natural Science Foundation of China (41673081, 41877346, 31772179, and 32101491) , Yunnan Applied Basic Research Projects (2019FB036) , and Yunnan Province Young Talents Project (YNWR-QNBJ-2018-235) .</t>
  </si>
  <si>
    <t>0038-0717</t>
  </si>
  <si>
    <t>1879-3428</t>
  </si>
  <si>
    <t>SOIL BIOL BIOCHEM</t>
  </si>
  <si>
    <t>Soil Biol. Biochem.</t>
  </si>
  <si>
    <t>10.1016/j.soilbio.2021.108490</t>
  </si>
  <si>
    <t>Soil Science</t>
  </si>
  <si>
    <t>Agriculture</t>
  </si>
  <si>
    <t>XA7VV</t>
  </si>
  <si>
    <t>WOS:000720850600006</t>
  </si>
  <si>
    <t>Zomer, RJ; Xu, JC; Trabucco, A</t>
  </si>
  <si>
    <t>Zomer, Robert J.; Xu, Jianchu; Trabucco, Antonio</t>
  </si>
  <si>
    <t>Version 3 of the Global Aridity Index and Potential Evapotranspiration Database</t>
  </si>
  <si>
    <t>SCIENTIFIC DATA</t>
  </si>
  <si>
    <t>Article; Data Paper</t>
  </si>
  <si>
    <t>CLIMATE-CHANGE MITIGATION; YUNNAN PROVINCE; BIODIVERSITY; IMPACTS; DRYLANDS; MODEL; WATER</t>
  </si>
  <si>
    <t>The Global Aridity Index and Potential Evapotranspiration Database - Version 3 (Global-AI_PET_v3) provides high-resolution (30 arc-seconds) global hydro-climatic data averaged (1970-2000) monthly and yearly, based upon the FAO Penman-Monteith Reference Evapotranspiration (ET0) equation. An overview of the methods used to implement the Penman-Monteith equation geospatially and a technical evaluation of the results is provided. Results were compared for technical validation with weather station data from the FAO CLIMWAT 2.0 for CROPWAT (ET0: r(2) = 0.85; AI: r(2) = 0.90) and the U.K. Climate Research Unit: Time Series v 4.04 (ET0: r(2) = 0.89; AI: r(2) = 0.83), while showing significant differences to an earlier version of the database. The current version of the Global-AI_PET_v3 supersedes previous versions, showing a higher correlation to real world weather station data. Developed using the generally agreed upon standard methodology for estimation of reference ET0, this database and notably, the accompanying source code, provide a robust tool for a variety of scientific applications in an era of rapidly changing climatic conditions.</t>
  </si>
  <si>
    <t>Zomer, Robert J.</t>
  </si>
  <si>
    <t>[Zomer, Robert J.; Xu, Jianchu] Chinese Acad Sci, Kunming Inst Bot, Ctr Mt Futures, Kunming 650201, Yunnan, Peoples R China; [Zomer, Robert J.; Xu, Jianchu] World Agroforestry ICRAF, CIFOR ICRAF China Program, Kunming, Yunnan, Peoples R China; [Trabucco, Antonio] Euromediterranean Ctr Climate Change, IAFES Div, Sassari, Italy</t>
  </si>
  <si>
    <t>Chinese Academy of Sciences; Kunming Institute of Botany, CAS; Centro Euro-Mediterraneo sui Cambiamenti Climatici (CMCC)</t>
  </si>
  <si>
    <t>Xu, JC (通讯作者)，Chinese Acad Sci, Kunming Inst Bot, Ctr Mt Futures, Kunming 650201, Yunnan, Peoples R China.;Xu, JC (通讯作者)，World Agroforestry ICRAF, CIFOR ICRAF China Program, Kunming, Yunnan, Peoples R China.</t>
  </si>
  <si>
    <t>J.C.Xu@cgiar.org</t>
  </si>
  <si>
    <t>Trabucco, Antonio/0000-0002-0743-3680; Zomer, Robert/0000-0002-2259-3359</t>
  </si>
  <si>
    <t>Chinese Academy of Science (CAS) President's International Fellowship Initiative [2020vca0025]; NSFC-CGIAR Project [31861143002]; Yunnan Provincial Science and Technology Department, Key Project [202101AS070045]; European Union [101003881 NEXOGENESIS]; CGIAR-CSI [203008.000.002 515-01-01]</t>
  </si>
  <si>
    <t>Chinese Academy of Science (CAS) President's International Fellowship Initiative; NSFC-CGIAR Project(CGIAR); Yunnan Provincial Science and Technology Department, Key Project; European Union(European Commission); CGIAR-CSI</t>
  </si>
  <si>
    <t>This research was supported by the Chinese Academy of Science (CAS) President's International Fellowship Initiative (Grant No. 2020vca0025). Additional support provided by by NSFC-CGIAR Project (Grant No. 31861143002), the Yunnan Provincial Science and Technology Department, Key Project (Grant No. 202101AS070045), the European Union's Horizon 2020 Research and Innovation Programme (Grant Agreement No: 101003881 NEXOGENESIS) and a mini-grant provided by CGIAR- CSI (funding from IFPRI Project No. 203008.000.002 515-01-01).</t>
  </si>
  <si>
    <t>2052-4463</t>
  </si>
  <si>
    <t>SCI DATA</t>
  </si>
  <si>
    <t>Sci. Data</t>
  </si>
  <si>
    <t>JUL 15</t>
  </si>
  <si>
    <t>10.1038/s41597-022-01493-1</t>
  </si>
  <si>
    <t>2Y6XZ</t>
  </si>
  <si>
    <t>WOS:000826038500007</t>
  </si>
  <si>
    <t>Peng, XW; Hu, X; Zhang, YJ; Xu, H; Tang, JR; Zhang, GL; Deng, J; Kan, H; Zhao, P; Liu, Y</t>
  </si>
  <si>
    <t>Peng, Xiaowei; Hu, Xiang; Zhang, Yingjun; Xu, Han; Tang, Junrong; Zhang, Guiliang; Deng, Jia; Kan, Huan; Zhao, Ping; Liu, Yun</t>
  </si>
  <si>
    <t>Extraction, characterization, antioxidant and anti-tumor activities of polysaccharides from Camellia fascicularis leaves</t>
  </si>
  <si>
    <t>INTERNATIONAL JOURNAL OF BIOLOGICAL MACROMOLECULES</t>
  </si>
  <si>
    <t>Camellia fascicularis; Polysaccharides; Extraction optimization; Structural characterization; Antioxidant; Anti-tumor</t>
  </si>
  <si>
    <t>ULTRASONIC-ASSISTED EXTRACTION; PHYSICOCHEMICAL CHARACTERIZATION; IMMUNOMODULATORY ACTIVITY; OPTIMIZATION; PURIFICATION</t>
  </si>
  <si>
    <t>The ultrasonic-assisted extraction of polysaccharides from Camellia fascicularis (PCF) was optimized using response surface methodology. After separation and purification with DEAE-52 cellulose and Sephadex G-200 glucan gel columns, the purified polysaccharide components of PCFa-1 and PCFc-1 were analyzed for their structural characterization, antioxidant and anti-tumor activities in vitro. The results indicated that liquid to material ratio of 42 mL/g, ultrasonic time of 53 min, ultrasonic temperature of 73.C, and ultrasonic power of 215 W were the optimum extraction conditions for PCF with maximum yields (4.05 %). PCFa-1 and PCFc-1 contained 5.88 % and 9.58 % uronic acid content, with 7.53 and 108.91 kDa of average molecular weights, respectively. The PCFa-1 was mainly constituted of galactose, arabinose, and glucose, while PCFc-1 was primarily composed of arabinose, glucose, galacturonic acid, and rhamnose. Fourier transform infrared spectra revealed that PCFa-1 and PCFc-1 contained typical polysaccharide bands. Scanning electron microscopy showed that the surface of PCFa-1 and PCFc-1 were irregular and clumpy structures. Nuclear magnetic resonance showed that PCFa-1 and PCFc-1 were mainly alpha-glycosidic bond conformation. Furthermore, the PCFc-1 showed better antioxidant capacities than PCFa-1 against hydroxyl, DPPH, and ABTS radicals and exhibited more potent toxicity on A549 and HepG2 cells. These research results suggested that PCF, especially PCFc-1, possesses great potential as natural antioxidants and anti-tumor drugs.</t>
  </si>
  <si>
    <t>Peng, Xiaowei</t>
  </si>
  <si>
    <t>[Peng, Xiaowei; Hu, Xiang; Xu, Han; Tang, Junrong; Deng, Jia; Kan, Huan; Zhao, Ping; Liu, Yun] Southwest Forestry Univ, Key Lab Forest Resources Conservat &amp; Utilizat Sou, China Minist Educ, Kunming 650224, Yunnan, Peoples R China; [Hu, Xiang] Yunnan Acad Agr Sci, Inst Trop Ecoagr, Yuanmou 651300, Peoples R China; [Zhang, Yingjun] Chinese Acad Sci, Kunming Inst Bot, State Key Lab Phytochem &amp; Plant Resources West Ch, Kunming 650201, Yunnan, Peoples R China; [Zhang, Guiliang] Daweishan Natl Nat Reserve Management Bur, Hekou Management Sub Bur, Hekou 661399, Peoples R China</t>
  </si>
  <si>
    <t>Southwest Forestry University - China; Yunnan Academy of Agricultural Sciences; Chinese Academy of Sciences; Kunming Institute of Botany, CAS</t>
  </si>
  <si>
    <t>Kan, H; Liu, Y (通讯作者)，Southwest Forestry Univ, Key Lab Forest Resources Conservat &amp; Utilizat Sou, China Minist Educ, Kunming 650224, Yunnan, Peoples R China.</t>
  </si>
  <si>
    <t>kanhuan@swfu.edu.cn; liuyun@swfu.edu.cn</t>
  </si>
  <si>
    <t>Scientific Research Project of Education Department of Yunnan Province [2020Y0407]; Open Project of the Key Laboratory of Forest Resources Conservation and Utilization in the Southwest Mountains of China Ministry of Education, Southwest Forestry University [KLESWFU-201802]</t>
  </si>
  <si>
    <t>Scientific Research Project of Education Department of Yunnan Province; Open Project of the Key Laboratory of Forest Resources Conservation and Utilization in the Southwest Mountains of China Ministry of Education, Southwest Forestry University</t>
  </si>
  <si>
    <t>This work was supported by the Scientific Research Project of Education Department of Yunnan Province (2020Y0407); and Open Project of the Key Laboratory of Forest Resources Conservation and Utilization in the Southwest Mountains of China Ministry of Education, Southwest Forestry University (KLESWFU-201802).</t>
  </si>
  <si>
    <t>0141-8130</t>
  </si>
  <si>
    <t>1879-0003</t>
  </si>
  <si>
    <t>INT J BIOL MACROMOL</t>
  </si>
  <si>
    <t>Int. J. Biol. Macromol.</t>
  </si>
  <si>
    <t>DEC 1</t>
  </si>
  <si>
    <t>A</t>
  </si>
  <si>
    <t>10.1016/j.ijbiomac.2022.09.176</t>
  </si>
  <si>
    <t>Biochemistry &amp; Molecular Biology; Chemistry, Applied; Polymer Science</t>
  </si>
  <si>
    <t>Biochemistry &amp; Molecular Biology; Chemistry; Polymer Science</t>
  </si>
  <si>
    <t>6N3PZ</t>
  </si>
  <si>
    <t>WOS:000889472600006</t>
  </si>
  <si>
    <t>He, TB; Huang, YP; Wang, XJ; Sheng, J; Hu, JM</t>
  </si>
  <si>
    <t>He, Tao-Bin; Huang, Yan-Ping; Wang, Xuan-Jun; Sheng, Jun; Hu, Jiang-Miao</t>
  </si>
  <si>
    <t>Structural characterization and biological evaluation of a new O-acetyl-1,4-linked-beta-D-mannan possessed potential application in hydrophilic polymer materials from Dendrobium devonianum</t>
  </si>
  <si>
    <t>Dendrobium devonianum; Polysaccharide; Structural elucidation; Morphological feature; Immunomodulation; Anticancer</t>
  </si>
  <si>
    <t>POLYSACCHARIDES; STEMS; GALACTOGLUCOMANNAN; PURIFICATION; FEATURES</t>
  </si>
  <si>
    <t>To explore the active polysaccharides from Dendrobium devonianum, a novel O-acetylmannan (DDP-1) with molecular weight of 117 kDa was isolated from D. devonianum. The chemical and instrumental analysis indicated that the DDP-1 was a homopolysaccharide containing a backbone chain composed of -&gt; 4)-beta-D-Manp-(1 -&gt; (71.4%) residue with internal -&gt; 4)-2-O-acetyl-beta-D-Manp-(1 -&gt; (14.2%), -&gt; 4)-3-O-acetyl-beta-D-Manp-(1 -&gt; (7.1%), and non-reducing end beta-D-Manp-(1 -&gt; (7.3%) residues. Anticancer assay in vitro revealed that DDP-1 had anti- cancer activity against the growth of HepG2 and MCF-7 cancer cells. Moreover, cytokine secretion assays also presented that DDP-1 can promote cytokine production of TNF-alpha and IL-6 in THP-1 macrophage stimulated by PMA. Finally, the effects of isolation and purification on the microstructure of DDP-1 was studied by scanning electron microscope. The morphological features of DDP-1 indicated that DDP-1 hold high potential application in hydrophilic polymer materials.</t>
  </si>
  <si>
    <t>He, Tao-Bin</t>
  </si>
  <si>
    <t>[He, Tao-Bin; Hu, Jiang-Miao] Chinese Acad Sci, Kunming Inst Bot, State Key Lab Phytochem &amp; Plant Resources West Ch, Kunming 650201, Yunnan, Peoples R China; [Huang, Yan-Ping; Wang, Xuan-Jun; Sheng, Jun] Yunna Agr Univ, Coll Sci, Kunming 650000, Yunnan, Peoples R China; [Huang, Yan-Ping; Wang, Xuan-Jun; Sheng, Jun] Yunnan Agr Univ, Key Lab Pu Er Tea Sci, Minist Educ, Kunming 650201, Yunnan, Peoples R China; [Hu, Jiang-Miao] Chinese Acad Sci, Bioinnovat Ctr DR PLANT, Kunming Inst Bot, Kunming 650201, Yunnan, Peoples R China</t>
  </si>
  <si>
    <t>Chinese Academy of Sciences; Kunming Institute of Botany, CAS; Yunnan Agricultural University; Yunnan Agricultural University; Chinese Academy of Sciences; Kunming Institute of Botany, CAS</t>
  </si>
  <si>
    <t>Hu, JM (通讯作者)，Chinese Acad Sci, Kunming Inst Bot, State Key Lab Phytochem &amp; Plant Resources West Ch, Kunming 650201, Yunnan, Peoples R China.;Wang, XJ; Sheng, J (通讯作者)，Yunna Agr Univ, Coll Sci, Kunming 650000, Yunnan, Peoples R China.</t>
  </si>
  <si>
    <t>hujiangmiao@mail.kib.ac.cn; xuanjunwang@qq.com; shengjunpuer@163.com</t>
  </si>
  <si>
    <t>National Natural Science Foundation of China [32170407]; Chinese Academy of Sciences [KFJ-BRP-007-019]; Dendrobium industry development foundation of Longling county</t>
  </si>
  <si>
    <t>National Natural Science Foundation of China(National Natural Science Foundation of China (NSFC)); Chinese Academy of Sciences(Chinese Academy of Sciences); Dendrobium industry development foundation of Longling county</t>
  </si>
  <si>
    <t>Authors thank the teachers of Analysis and Test Center of Kunming Institute of Botany for help with instrumental analysis. This work was funded by the National Natural Science Foundation of China (32170407) , Biological Resources Programme, Chinese Academy of Sciences (KFJ-BRP-007-019) and the Dendrobium industry development foundation of Longling county.</t>
  </si>
  <si>
    <t>JUL 31</t>
  </si>
  <si>
    <t>10.1016/j.ijbiomac.2022.05.098</t>
  </si>
  <si>
    <t>3I7EF</t>
  </si>
  <si>
    <t>WOS:000832874400005</t>
  </si>
  <si>
    <t>Kuang, MT; Xu, JY; Li, JY; Yang, L; Hou, B; Zhao, Q; Hu, JM</t>
  </si>
  <si>
    <t>Kuang, Meng -Ting; Xu, Jing-Yue; Li, Jin-Yu; Yang, Liu; Hou, Bo; Zhao, Qi; Hu, Jiang- Miao</t>
  </si>
  <si>
    <t>Purification, structural characterization and immunomodulatory activities of a polysaccharide from the fruiting body of Morchella sextelata</t>
  </si>
  <si>
    <t>Morchella sextelata polysaccharide; Structural characterization; Immunomodulatory activities</t>
  </si>
  <si>
    <t>NEUTRAL POLYSACCHARIDE; ANTIOXIDANT; ANTITUMOR; SECRETION; MUSHROOM</t>
  </si>
  <si>
    <t>A novel polysaccharide (MSP-1) was isolated from the fruiting body of Morchella sextelata and purified using DEAE-52 and Sephadex G-75. The molecular weight of MSP-1 was 1.17 x 10(4) Da, as detected by HPLC analysis. The monosaccharide composition of MSP-1 was mannose and glucose at a ratio of 1.00: 1.25. Methylation and NMR results revealed that the backbone of MSP-1 was composed of &amp; RARR;4)-beta-D-Manp-(1 -&gt;, -&gt; 4)-beta-D-Glcp-(1 -&gt;, -&gt; 4)-alpha-D-Glcp-(1 -&gt;, and -&gt; 4, 6)-alpha-D-Glcp-(1 -&gt;. SEM images of MSP-1 presented a dense network structure with porous characterizations. The immunomodulatory activities of MSP-1 were evaluated using RAW264.7 cells, and the results showed that MSP-1 promoted proliferative and phagocytic activity and increased the production of NO, TNF-alpha and IL-6. These results indicated that MSP-1 exhibited significant immunomodulatory activities.</t>
  </si>
  <si>
    <t>Kuang, Meng -Ting</t>
  </si>
  <si>
    <t>[Kuang, Meng -Ting; Xu, Jing-Yue; Li, Jin-Yu; Yang, Liu; Hou, Bo; Hu, Jiang- Miao] Chinese Acad Sci, Kunming Inst Bot, State Key Lab Phytochemistry &amp; Plant Resources Wes, Yunnan Key Lab Nat Med Chem, Kunming 650201, Peoples R China; [Zhao, Qi] Chinese Acad Sci, Kunming Inst Bot, Key Lab Plant Divers &amp; Biogeog East Asia, Kunming 650201, Peoples R China</t>
  </si>
  <si>
    <t>Chinese Academy of Sciences; Kunming Institute of Botany, CAS; Chinese Academy of Sciences; Kunming Institute of Botany, CAS</t>
  </si>
  <si>
    <t>Hu, JM (通讯作者)，Chinese Acad Sci, Kunming Inst Bot, State Key Lab Phytochemistry &amp; Plant Resources Wes, Yunnan Key Lab Nat Med Chem, Kunming 650201, Peoples R China.;Zhao, Q (通讯作者)，Chinese Acad Sci, Kunming Inst Bot, Key Lab Plant Divers &amp; Biogeog East Asia, Kunming 650201, Peoples R China.</t>
  </si>
  <si>
    <t>zhaoqi@mail.kib.ac.cn; hujiangmiao@mail.kib.ac.cn</t>
  </si>
  <si>
    <t>poverty alleviation through science and technology projects of Chinese Academy of Sciences [KFJ-FP-201905]; Biological Resources Program and Science and Technology Service Network Initiative of Chinese Academy of Sciences [KFJ-BRP-007-019, KFJ-STS-QYZD-171]</t>
  </si>
  <si>
    <t>poverty alleviation through science and technology projects of Chinese Academy of Sciences; Biological Resources Program and Science and Technology Service Network Initiative of Chinese Academy of Sciences</t>
  </si>
  <si>
    <t>This work was financially supported by grants from poverty alleviation through science and technology projects of Chinese Academy of Sciences (KFJ-FP-201905) , Biological Resources Program and Science and Technology Service Network Initiative of Chinese Academy of Sciences (KFJ-BRP-007-019 and KFJ-STS-QYZD-171) and Dr. Plant's group. We thank the analytical group of the State Key Laboratory of Phytochemistry and Plant Resources in West China, Kunming Institute of Botany, Chinese Academy of Sciences for all spectroscopic analyses.</t>
  </si>
  <si>
    <t>10.1016/j.ijbiomac.2022.05.096</t>
  </si>
  <si>
    <t>2A9RV</t>
  </si>
  <si>
    <t>WOS:000809834400005</t>
  </si>
  <si>
    <t>Ma, WY; Xiao, LG; Liu, HY; Hao, XJ</t>
  </si>
  <si>
    <t>Ma, Wenyi; Xiao, Longgao; Liu, Haiyang; Hao, Xiaojiang</t>
  </si>
  <si>
    <t>Hypoglycemic natural products with in vivo activities and their mechanisms: a review</t>
  </si>
  <si>
    <t>FOOD SCIENCE AND HUMAN WELLNESS</t>
  </si>
  <si>
    <t>Diabetes; Natural products; Hypoglycemic effects; Mechanism</t>
  </si>
  <si>
    <t>GANODERMA-LUCIDUM POLYSACCHARIDES; REDUCES INSULIN-RESISTANCE; TYPE-2 DIABETIC MICE; COMPOUND K; HEPATIC GLUCONEOGENESIS; OXIDATIVE STRESS; GINSENOSIDE RH2; OLEANOLIC ACID; ANTIDIABETIC ACTIVITIES; MOLECULAR-MECHANISMS</t>
  </si>
  <si>
    <t>Diabetes mellitus (DM) is a metabolic disorder disease, and the number of diabetic patients will reach 578 million by 2030 predictably. Currently, 8 classes of small molecular drugs are used for treating diabetes. However, these drugs cannot completely meet patients' needs, due to diabetic complications need to be addressed along with diabetes, such as nephropathy, and cardiovascular diseases. Besides, more types of drugs need to be provided for more choices. Hence, scientists still seek lead compounds with hypoglycemic effects. Natural products (NPs) are a reservoir of diverse structures and bioactivities with low toxicity and less side effects. And some of them show effects on diabetic complications, which is a significant idea for drug development. This review aims to summarize natural products with hypoglycemic effects and their details, such as potential mechanisms, biological data, and particularly their advantages in treating diabetes. Considering the huge number of NPs was reported with anti-diabetic activity, and some of them need to be re-validated, this review focuses on the bioactive compounds with in vivo activities. In the end, the trend of natural products treating diabetes was discussed. We hope this review provide a comprehensive and convincing summary, thus lending support to anti-diabetic natural products research. (c) 2022 Beijing Academy of Food Sciences. Publishing services by Elsevier B.V. on behalf of KeAi Communications Co., Ltd. This is an open access article under the CC BY-NC-ND license (http://creativecommons.org/licenses/by-nc-nd/4.0/).</t>
  </si>
  <si>
    <t>Ma, Wenyi</t>
  </si>
  <si>
    <t>[Ma, Wenyi; Xiao, Longgao; Liu, Haiyang; Hao, Xiaojiang] Chinese Acad Sci, State Key Lab Phytochem &amp; Plant Resources West Ch, Yunnan Key Lab Nat Med Chem, Kunming Inst Bot, Kunming 650201, Yunnan, Peoples R China; [Ma, Wenyi; Xiao, Longgao] Univ Chinese Acad Sci, Beijing 100049, Peoples R China</t>
  </si>
  <si>
    <t>Liu, HY; Hao, XJ (通讯作者)，Chinese Acad Sci, State Key Lab Phytochem &amp; Plant Resources West Ch, Yunnan Key Lab Nat Med Chem, Kunming Inst Bot, Kunming 650201, Yunnan, Peoples R China.</t>
  </si>
  <si>
    <t>haiyangliu@mail.kib.ac.cn; haoxj@mail.kib.ac.cn</t>
  </si>
  <si>
    <t>Natural Science Foundation of China [U1802287, 32000280, 31770391]; Ten Thousand Talents Plan of Yunnan Province for Industrial Technology Leading Talents</t>
  </si>
  <si>
    <t>Natural Science Foundation of China(National Natural Science Foundation of China (NSFC)); Ten Thousand Talents Plan of Yunnan Province for Industrial Technology Leading Talents</t>
  </si>
  <si>
    <t>This work was financially supported by the Natural Science Foundation of China (U1802287, 32000280, and 31770391) and Ten Thousand Talents Plan of Yunnan Province for Industrial Technology Leading Talents.</t>
  </si>
  <si>
    <t>KEAI PUBLISHING LTD</t>
  </si>
  <si>
    <t>16 DONGHUANGCHENGGEN NORTH ST, BEIJING, DONGCHENG DISTRICT 100717, PEOPLES R CHINA</t>
  </si>
  <si>
    <t>2213-4530</t>
  </si>
  <si>
    <t>FOOD SCI HUM WELL</t>
  </si>
  <si>
    <t>Food Sci. Human Wellness</t>
  </si>
  <si>
    <t>10.1016/j.fshw.2022.04.001</t>
  </si>
  <si>
    <t>Food Science &amp; Technology; Nutrition &amp; Dietetics</t>
  </si>
  <si>
    <t>2O5UG</t>
  </si>
  <si>
    <t>WOS:000819122400001</t>
  </si>
  <si>
    <t>Wang, Y; Xia, B; Deng, SY; Ye, Y; Zhou, Y</t>
  </si>
  <si>
    <t>Wang, Yu; Xia, Bing; Deng, Shunyan; Ye, Ye; Zhou, Yan</t>
  </si>
  <si>
    <t>Performing 2D-1D-2D Mass Spectrometry Imaging Using Strings</t>
  </si>
  <si>
    <t>ANALYTICAL CHEMISTRY</t>
  </si>
  <si>
    <t>BROUSSONETIA-PAPYRIFERA; PLANT METABOLITES; SINGLE CELLS; SIMS</t>
  </si>
  <si>
    <t>The mass spectrometry imaging (MSI) technique is widely used in several fields due to its ability to provide spatial information of samples. However, for existing MSI methods, the sample is typically placed on a two-dimensional (2D) platform and is scanned back and forth. As a result, the platform size limits the imaging size. This paper proposes a new MSI method that involves the initial imprinting of chemicals on a two-dimensional string plane area. The string plane was then unraveled to a onedimensional (1D) string, and the chemicals imprinted on it were ionized using a lab-made ion source. Finally, a 2D MSI image was reconstructed through data processing (2D-1D-2D mass imaging). Compared with traditional MSI methods, the imaging size is no longer limited by the platform size, making it possible to perform the MSI of large samples. As proof of concept, this method was used to image an intact seedling of Broussonetia papyrifera. As a result, clear and overall MS images were obtained, demonstrating the ability of this method to analyze large samples.</t>
  </si>
  <si>
    <t>Wang, Yu</t>
  </si>
  <si>
    <t>[Wang, Yu; Xia, Bing; Deng, Shunyan; Zhou, Yan] Chinese Acad Sci, Chengdu Inst Biol, Chengdu 610041, Sichuan, Peoples R China; [Wang, Yu; Deng, Shunyan] Univ Chinese Acad Sci, Beijing 100049, Peoples R China; [Ye, Ye] Chinese Acad Sci, Kunming Inst Bot, Kunming 650201, Yunnan, Peoples R China</t>
  </si>
  <si>
    <t>Chinese Academy of Sciences; Chengdu Institute of Biology, CAS; Chinese Academy of Sciences; University of Chinese Academy of Sciences, CAS; Chinese Academy of Sciences; Kunming Institute of Botany, CAS</t>
  </si>
  <si>
    <t>Xia, B; Zhou, Y (通讯作者)，Chinese Acad Sci, Chengdu Inst Biol, Chengdu 610041, Sichuan, Peoples R China.</t>
  </si>
  <si>
    <t>xiabing@cib.ac.cn; zhouyan@cib.ac.cn</t>
  </si>
  <si>
    <t>Zhou, Yan/0000-0002-3015-724X</t>
  </si>
  <si>
    <t>National Natural Science Foundation of China [21772193]; Scientific Research Equipment Development Project of CAS [YJ-KYYQ20170001]; Youth Innovation Promotion Association, CAS [2019316]</t>
  </si>
  <si>
    <t>National Natural Science Foundation of China(National Natural Science Foundation of China (NSFC)); Scientific Research Equipment Development Project of CAS; Youth Innovation Promotion Association, CAS</t>
  </si>
  <si>
    <t>This research was supported by the National Natural Science Foundation of China (21772193), the Scientific Research Equipment Development Project of CAS (No. YJ-KYYQ20170001), and the Youth Innovation Promotion Association, CAS (2019316).</t>
  </si>
  <si>
    <t>0003-2700</t>
  </si>
  <si>
    <t>1520-6882</t>
  </si>
  <si>
    <t>ANAL CHEM</t>
  </si>
  <si>
    <t>Anal. Chem.</t>
  </si>
  <si>
    <t>JAN 25</t>
  </si>
  <si>
    <t>10.1021/acs.analchem.1c04181</t>
  </si>
  <si>
    <t>Chemistry, Analytical</t>
  </si>
  <si>
    <t>ZL1TZ</t>
  </si>
  <si>
    <t>WOS:000768174600001</t>
  </si>
  <si>
    <t>Yin, X; Yang, DN; Liu, YM; Yang, SH; Zhang, R; Sun, XL; Liu, HX; Duan, YW; Yang, YQ; Yang, YP</t>
  </si>
  <si>
    <t>Yin, Xin; Yang, Danni; Liu, Yongming; Yang, Shihai; Zhang, Rui; Sun, Xiaoling; Liu, Hongxu; Duan, Yuanwen; Yang, Yunqiang; Yang, Yongping</t>
  </si>
  <si>
    <t>Sophora moorcroftiana genome analysis suggests association between sucrose metabolism and drought adaptation</t>
  </si>
  <si>
    <t>PLANT PHYSIOLOGY</t>
  </si>
  <si>
    <t>Letter; Early Access</t>
  </si>
  <si>
    <t>Yin, Xin</t>
  </si>
  <si>
    <t>[Yin, Xin; Yang, Danni; Liu, Yongming; Yang, Shihai; Duan, Yuanwen; Yang, Yunqiang; Yang, Yongping] Chinese Acad Sci, Kunming Inst Bot, Germplasm Bank Wild Species, Kunming 650201, Peoples R China; [Yang, Danni] Univ Chinese Acad Sci, Beijing 100049, Peoples R China; [Liu, Yongming; Zhang, Rui] Chinese Acad Agr Sci, Biotechnol Res Inst, Beijing 100081, Peoples R China; [Yang, Shihai] Tibet Yunwang Ind Corp Ltd, Shigatse 857007, Tibet, Peoples R China; [Sun, Xiaoling; Liu, Hongxu] Shigatse Bur Sci &amp; Technol, Sci &amp; Technol Rd, Shigatse 857007, Xizang, Peoples R China</t>
  </si>
  <si>
    <t>Chinese Academy of Sciences; Kunming Institute of Botany, CAS; Chinese Academy of Sciences; University of Chinese Academy of Sciences, CAS; Chinese Academy of Agricultural Sciences; Biotechnology Research Institute, CAAS</t>
  </si>
  <si>
    <t>Yang, YQ; Yang, YP (通讯作者)，Chinese Acad Sci, Kunming Inst Bot, Germplasm Bank Wild Species, Kunming 650201, Peoples R China.</t>
  </si>
  <si>
    <t>yangyunqiang@mail.kib.ac.cn; yangyp@mail.kib.ac.cn</t>
  </si>
  <si>
    <t>Yang, Shihai/J-1593-2012</t>
  </si>
  <si>
    <t>Yang, Shihai/0000-0002-6497-968X; liu, ming/0000-0002-8418-6687; yang, danni/0000-0003-0786-0524; Duan, Yuan-Wen/0000-0002-8399-5116; yang, yong ping/0000-0002-0327-2664</t>
  </si>
  <si>
    <t>Second Tibetan Plateau Scientific Expedition and Research (STEP) program [2019QZKK0502]; Regional Science and Technology Collaborative Innovation Project of Shigatse Bureau of Science and Technology [QYXTZX-RKZ2022-01, QYXTZX-RKZ2021-07]; Strategic Priority Research Program of the Chinese Academy of Sciences, Pan-Third Pole Environment Study for a Green Silk Road (Pan-TPE) [XDA2004010306]; National Natural Science Foundation of China [32070362, 32100315]; Cross-Cooperative Team of the Germplasm Bank of Wild Species, Kunming Institute of Botany, Chinese Academy of Sciences</t>
  </si>
  <si>
    <t>Second Tibetan Plateau Scientific Expedition and Research (STEP) program; Regional Science and Technology Collaborative Innovation Project of Shigatse Bureau of Science and Technology; Strategic Priority Research Program of the Chinese Academy of Sciences, Pan-Third Pole Environment Study for a Green Silk Road (Pan-TPE); National Natural Science Foundation of China(National Natural Science Foundation of China (NSFC)); Cross-Cooperative Team of the Germplasm Bank of Wild Species, Kunming Institute of Botany, Chinese Academy of Sciences</t>
  </si>
  <si>
    <t>This work was supported by the Second Tibetan Plateau Scientific Expedition and Research (STEP) program (2019QZKK0502), the Regional Science and Technology Collaborative Innovation Project of Shigatse Bureau of Science and Technology (QYXTZX-RKZ2022-01 and QYXTZX-RKZ2021-07), the Strategic Priority Research Program of the Chinese Academy of Sciences, Pan-Third Pole Environment Study for a Green Silk Road (Pan-TPE) (Grant No. XDA2004010306), the National Natural Science Foundation of China (Grant Nos. 32070362 and 32100315), and Cross-Cooperative Team of the Germplasm Bank of Wild Species, Kunming Institute of Botany, Chinese Academy of Sciences.</t>
  </si>
  <si>
    <t>0032-0889</t>
  </si>
  <si>
    <t>1532-2548</t>
  </si>
  <si>
    <t>PLANT PHYSIOL</t>
  </si>
  <si>
    <t>Plant Physiol.</t>
  </si>
  <si>
    <t>10.1093/plphys/kiac558</t>
  </si>
  <si>
    <t>http://dx.doi.org/10.1093/plphys/kiac558</t>
  </si>
  <si>
    <t>8B7YO</t>
  </si>
  <si>
    <t>Green Accepted, hybrid</t>
  </si>
  <si>
    <t>WOS:000917138200001</t>
  </si>
  <si>
    <t>To germinate or not? Transcriptional gradients underlie the seed dormancy continuum</t>
  </si>
  <si>
    <t>Kunming Institute of Botany (KIB), Chinese Academy of Sciences; Germplasm Bank of Wild Species of KIB</t>
  </si>
  <si>
    <t>D.C. was supported by the Startup Funds for Recruited Young Talents from the Kunming Institute of Botany (KIB), Chinese Academy of Sciences, and a grant from the Germplasm Bank of Wild Species of KIB.</t>
  </si>
  <si>
    <t>10.1093/plphys/kiac367</t>
  </si>
  <si>
    <t>5S1UO</t>
  </si>
  <si>
    <t>WOS:000840812300001</t>
  </si>
  <si>
    <t>Song, JJ; Fang, X; Li, CY; Jiang, Y; Li, JX; Wu, S; Guo, J; Liu, Y; Fan, H; Huang, YB; Wei, YK; Kong, Y; Zhao, Q; Xu, JJ; Hu, YH; Chen, XY; Yang, L</t>
  </si>
  <si>
    <t>Song, Jiao-Jiao; Fang, Xin; Li, Chen-Yi; Jiang, Yan; Li, Jian-Xu; Wu, Sheng; Guo, Juan; Liu, Yan; Fan, Hang; Huang, Yan-Bo; Wei, Yu-Kun; Kong, Yu; Zhao, Qing; Xu, Jing-Jing; Hu, Yong-Hong; Chen, Xiao-Ya; Yang, Lei</t>
  </si>
  <si>
    <t>A 2-oxoglutarate-dependent dioxygenase converts dihydrofuran to furan in Salvia diterpenoids</t>
  </si>
  <si>
    <t>MOLECULAR-CLONING; BIOSYNTHESIS; TANSHINONES; EVOLUTION; CYTOTOXICITY; SUPERFAMILY; OXYGENASES; APOPTOSIS; SYNTHASE</t>
  </si>
  <si>
    <t>A 2-oxoglutarate-dependent dioxygenase is responsible for tanshinone IIA biosynthesis in medicinal herb Salvia miltiorrhiza, which controls the metabolite flux from dihydrofuran- to furan-tanshinones. Tanshinone IIA (TIIA), a diterpene quinone with a furan ring, is a bioactive compound found in the medicinal herb redroot sage (Salvia miltiorrhiza Bunge), in which both furan and dihydrofuran analogs are present in abundance. Progress has been made recently in elucidating the tanshinone biosynthetic pathway, including heterocyclization of the dihydrofuran D-ring by cytochrome P450s; however, dehydrogenation of dihydrofuran to furan, a key step of furan ring formation, remains uncharacterized. Here, by differential transcriptome mining, we identified six 2-oxoglutarate-dependent dioxygenase (2-ODD) genes whose expressions corresponded to tanshinone biosynthesis. We showed that Sm2-ODD14 acts as a dehydrogenase catalyzing the furan ring aromatization. In vitro Sm2-ODD14 converted cryptotanshinone to TIIA and thus was designated TIIA synthase (SmTIIAS). Furthermore, SmTIIAS showed a strict substrate specificity, and repression of SmTIIAS expression in hairy root by RNAi led to increased accumulation of total dihydrofuran-tanshinones and decreased production of furan-tanshinones. We conclude that SmTIIAS controls the metabolite flux from dihydrofuran- to furan-tanshinones, which influences medicinal properties of S. miltiorrhiza.</t>
  </si>
  <si>
    <t>Song, Jiao-Jiao</t>
  </si>
  <si>
    <t>[Song, Jiao-Jiao; Jiang, Yan; Wu, Sheng; Liu, Yan; Fan, Hang; Huang, Yan-Bo; Wei, Yu-Kun; Kong, Yu; Zhao, Qing; Xu, Jing-Jing; Hu, Yong-Hong; Chen, Xiao-Ya; Yang, Lei] Shanghai Chenshan Bot Garden, Shanghai Key Lab Plant Funct Genom &amp; Resources, Shanghai 201602, Peoples R China; [Song, Jiao-Jiao; Liu, Yan] Univ Chinese Acad Sci, Beijing 100049, Peoples R China; [Fang, Xin] Chinese Acad Sci, Kunming Inst Bot, State Key Lab Phytochem &amp; Plant Resources West Ch, Kunming 650201, Yunnan, Peoples R China; [Li, Chen-Yi; Li, Jian-Xu; Chen, Xiao-Ya] Chinese Acad Sci, CAS Ctr Excellence Mol Plant Sci, State Key Lab Plant Mol Genet, Shanghai Inst Plant Physiol &amp; Ecol, Shanghai 200032, Peoples R China; [Jiang, Yan] Shanghai Normal Univ, Sch Life Sci, Shanghai 200234, Peoples R China; [Wu, Sheng] Univ Calif Riverside, Dept Chem &amp; Environm Engn, Riverside, CA 92521 USA; [Guo, Juan] China Acad Chinese Med Sci, Natl Resource Ctr Chinese Mat Med, State Key Lab Dao Di Herbs, Beijing 100700, Peoples R China</t>
  </si>
  <si>
    <t>Chinese Academy of Sciences; Chinese Academy of Sciences; University of Chinese Academy of Sciences, CAS; Chinese Academy of Sciences; Kunming Institute of Botany, CAS; Chinese Academy of Sciences; Shanghai Institutes for Biological Sciences, CAS; Shanghai Normal University; University of California System; University of California Riverside; China Academy of Chinese Medical Sciences; National Resource Center for Chinese Materia Medica, CACMS</t>
  </si>
  <si>
    <t>Yang, L (通讯作者)，Shanghai Chenshan Bot Garden, Shanghai Key Lab Plant Funct Genom &amp; Resources, Shanghai 201602, Peoples R China.</t>
  </si>
  <si>
    <t>leiyang@cemps.ac.cn</t>
  </si>
  <si>
    <t>fan, hang/ADQ-2149-2022; Guo, Juan/AFI-3100-2022; GUO, JUAN/HIK-2220-2022</t>
  </si>
  <si>
    <t>wu, sheng/0000-0002-8748-900X; song, jiaojiao/0000-0003-3959-9703; Fan, Hang/0000-0002-4127-7140</t>
  </si>
  <si>
    <t>National Key R&amp;D Program of China [2020YFA0907900]; National Natural Science Foundation of China [32070338, 31900255]; International Partnership Program of Chinese Academy of Sciences [153D31KYSB20160074]; Strategic Biological Resources and Technology Supporting System from the Chinese Academy of Sciences [ZSZY-001]; Special Fund for Shanghai Landscaping Administration Bureau Program [G192419, G222414]</t>
  </si>
  <si>
    <t>National Key R&amp;D Program of China; National Natural Science Foundation of China(National Natural Science Foundation of China (NSFC)); International Partnership Program of Chinese Academy of Sciences; Strategic Biological Resources and Technology Supporting System from the Chinese Academy of Sciences; Special Fund for Shanghai Landscaping Administration Bureau Program</t>
  </si>
  <si>
    <t>This work was supported by the National Key R&amp;D Program of China (Grant No. 2020YFA0907900), National Natural Science Foundation of China (Grant No. 32070338 and 31900255), the International Partnership Program of Chinese Academy of Sciences (153D31KYSB20160074), Strategic Biological Resources and Technology Supporting System from the Chinese Academy of Sciences (grant no. ZSZY-001), and the Special Fund for Shanghai Landscaping Administration Bureau Program (Grant No. G192419 and G222414).</t>
  </si>
  <si>
    <t>MAR 4</t>
  </si>
  <si>
    <t>10.1093/plphys/kiab567</t>
  </si>
  <si>
    <t>ZN2SD</t>
  </si>
  <si>
    <t>WOS:000764825700001</t>
  </si>
  <si>
    <t>Guo, JF; Liu, S; Jing, DP; He, KL; Zhang, YJ; Li, MS; Qi, JF; Wang, ZY</t>
  </si>
  <si>
    <t>Guo, Jingfei; Liu, Shen; Jing, Dapeng; He, Kanglai; Zhang, Yongjun; Li, Mingshun; Qi, Jinfeng; Wang, Zhenying</t>
  </si>
  <si>
    <t>Genotypic variation in field-grown maize eliminates trade-offs between resistance, tolerance and growth in response to high pressure from the Asian corn borer</t>
  </si>
  <si>
    <t>PLANT CELL AND ENVIRONMENT</t>
  </si>
  <si>
    <t>benzoxazinoids; Constitutive resistance; induced resistance; transcription factor</t>
  </si>
  <si>
    <t>PLANT-RESISTANCE; GENERALIST HERBIVORES; DEFENSE RESPONSES; GENETIC-VARIATION; INSECT HERBIVORY; SALICYLIC-ACID; METABOLITES; LEAVES; QUANTIFICATION; BIOSYNTHESIS</t>
  </si>
  <si>
    <t>Insect herbivory challenges plant survival, and coordination of the interactions between growth, herbivore resistance/tolerance is a key problem faced by plants. Based on field experiments into resistance to the Asian corn borer (ACB, Ostrinia furnacalis), we selected 10 inbred maize lines, of which five were resistant and five were susceptible to ACB. We conducted ACB larval bioassays, analysed defensive chemicals, phytohormones, and relative gene expression using RNA-seq and qPCR as well as agronomic traits, and found resistant lines had weaker inducibility, but were more resistant after ACB attack than susceptible lines. Resistance was related to high levels of major benzoxazinoids, but was not related to induced levels of JA or JA-Ile. Following combination analyses of transcriptome, metabolome and larval performance data, we discovered three benzoxazinoids biosynthesis-related transcription factors, NAC60, WRKY1 and WRKY46. Protoplast transformation analysis suggested that these may regulate maize defence-growth trade-offs by increasing levels of benzoxazinoids, JA and SA but decreasing IAA. Moreover, the resistance/tolerance-growth trade-offs were not observed in the 10 lines, and genotype-specific metabolic and genetic features probably eliminated the trade-offs. This study highlights the possibility of breeding maize varieties simultaneously with improved defences and higher yield under complex field conditions.</t>
  </si>
  <si>
    <t>Guo, Jingfei</t>
  </si>
  <si>
    <t>[Guo, Jingfei; Liu, Shen; Jing, Dapeng; He, Kanglai; Zhang, Yongjun; Wang, Zhenying] Chinese Acad Agr Sci, Inst Plant Protect, State Key Lab Biol Plant Dis &amp; Insect Pests, MOA CABI Joint Lab Biosafety, Beijing 100193, Peoples R China; [Li, Mingshun] Chinese Acad Sci, Kunming Inst Bot, Dept Econ Plants &amp; Biotechnol, Yunnan Key Lab Wild Plant Resources, Kunming 650201, Yunnan, Peoples R China; [Qi, Jinfeng] Chinese Acad Agr Sci, Inst Crop Sci, Natl Key Facil Crop Gene Resources &amp; Genet Improv, Beijing, Peoples R China</t>
  </si>
  <si>
    <t>Chinese Academy of Agricultural Sciences; Institute of Plant Protection, CAAS; Chinese Academy of Sciences; Kunming Institute of Botany, CAS; Chinese Academy of Agricultural Sciences; Institute of Crop Sciences, CAAS</t>
  </si>
  <si>
    <t>Wang, ZY (通讯作者)，Chinese Acad Agr Sci, Inst Plant Protect, State Key Lab Biol Plant Dis &amp; Insect Pests, MOA CABI Joint Lab Biosafety, Beijing 100193, Peoples R China.;Qi, JF (通讯作者)，Chinese Acad Sci, Kunming Inst Bot, Dept Econ Plants &amp; Biotechnol, Yunnan Key Lab Wild Plant Resources, Kunming 650201, Yunnan, Peoples R China.</t>
  </si>
  <si>
    <t>qijinfeng@mail.kib.ac.cn; zywang@ippcaas.cn</t>
  </si>
  <si>
    <t>LIU, Shen/0000-0003-0084-5778; He, Kanglai/0000-0001-5959-1042; Jing, Dapeng/0000-0002-9217-2664; Qi, Jinfeng/0000-0001-6689-915X</t>
  </si>
  <si>
    <t>China Postdoctoral Science Foundation; National Natural Science Foundation of China; China Agriculture Research System of MOF and MARA</t>
  </si>
  <si>
    <t>China Postdoctoral Science Foundation(China Postdoctoral Science Foundation); National Natural Science Foundation of China(National Natural Science Foundation of China (NSFC)); China Agriculture Research System of MOF and MARA(Ministry of Oceans &amp; Fisheries (MOF), Republic of Korea)</t>
  </si>
  <si>
    <t>0140-7791</t>
  </si>
  <si>
    <t>1365-3040</t>
  </si>
  <si>
    <t>PLANT CELL ENVIRON</t>
  </si>
  <si>
    <t>Plant Cell Environ.</t>
  </si>
  <si>
    <t>10.1111/pce.14458</t>
  </si>
  <si>
    <t>OCT 2022</t>
  </si>
  <si>
    <t>5I7JQ</t>
  </si>
  <si>
    <t>WOS:000868528900001</t>
  </si>
  <si>
    <t>Zhou, J; Gube, M; Holz, M; Song, B; Shan, IM; Shi, LL; Kuzyakov, Y; Dippold, MA; Pausch, J</t>
  </si>
  <si>
    <t>Zhou, Jie; Gube, Matthias; Holz, Maire; Song, Bin; Shan, Immo; Shi, Lingling; Kuzyakov, Yakov; Dippold, Michaela A.; Pausch, Johanna</t>
  </si>
  <si>
    <t>Ectomycorrhizal and non-mycorrhizal rhizosphere fungi increase root-derived C input to soil and modify enzyme activities: A C-14 pulse labelling of Picea abies seedlings</t>
  </si>
  <si>
    <t>belowground carbon allocation; C-14 imaging of rhizodeposits; enzyme activity; mycorrhiza; saprotrophic fungi; soil zymography</t>
  </si>
  <si>
    <t>SPATIAL-DISTRIBUTION; PINUS-SYLVESTRIS; CARBON INPUT; FOREST SOIL; MYCORRHIZAL; RHIZODEPOSITION; PHOTOSYNTHATE; NITROGEN; MYCELIUM; DYNAMICS</t>
  </si>
  <si>
    <t>Consequences of interactions between ectomycorrhizal fungi (EcMF) and non-mycorrhizal rhizosphere fungi (NMRF) for plant carbon (C) allocation belowground and nutrient cycling in soil remain unknown. To address this topic, we performed a mesocosm study with Norway spruce seedlings [Picea abies (L.) H. Karst] inoculated with EcMF, NMRF, or a mixture of both (MIX). (CO2)-C-14 pulse labelling of spruce was applied to trace and visualize the C-14 incorporation into roots, rhizohyphosphere and hyphosphere. Activities and localization of enzymes involved in the C, nitrogen (N) and phosphorus (P) cycling were visualized using zymography. Spruce seedlings inoculated with EcMF and NMRF allocated more C to soils (EcMF: 10.7%; NMRF: 3.5% of total recovered C) compared to uninoculated control seedlings. The C-14 activity in the hyphosphere was highest for EcMF and lowest for NMRF. In the presence of both, NMRF and EcMF (MIX), the C-14 activity was 64% lower compared with EcMF inoculation alone. This suggests a suppressed C allocation via EcMF likely due to the competition between EcMF and NMRF for N and P. Furthermore, we observed 57% and 49% higher chitinase and leucine-aminopeptidase activities in the rhizohyphosphere of EcMF compared to the uninoculated control, respectively. In contrast, beta-glucosidase activity (14.3 nmol cm(-2) h(-1)) was highest in NMRF likely because NMRF consumed rhizodeposits efficiently. This was further supported by that enzyme stoichiometry in soil with EcMF shifted to a higher investment of nutrient acquisition enzymes (e.g., chitinase, leucine-aminopeptidase, acid phosphatase) compared to NMRF inoculation, where investment in beta-glucosidase increased. In conclusion, the alleviation of EcMF from C limitation promotes higher activities of enzymes involved in the N and P cycle to cover the nutrient demand of EcMF and host seedlings. In contrast, C limitation of NMRF probably led to a shift in investment towards higher activities of enzymes involved in the C cycle.</t>
  </si>
  <si>
    <t>Zhou, Jie</t>
  </si>
  <si>
    <t>[Zhou, Jie; Dippold, Michaela A.] Georg August Univ Gottingen, Dept Crop Sci, Biogeochem Agroecosyst, Gottingen, Germany; [Zhou, Jie] China Agr Univ, Coll Agron &amp; Biotechnol, Beijing, Peoples R China; [Gube, Matthias; Kuzyakov, Yakov] Georg August Univ Gottingen, Dept Soil Sci Temperate Ecosyst, Dept Agr Soil Sci, Gottingen, Germany; [Holz, Maire] Leibniz Ctr Agr Landscape Res ZALF eV, Grp Isolope Biogeochem &amp; Gas Fluxes, Muncheberg, Germany; [Song, Bin; Shan, Immo] Georg August Univ Gottingen, Forest Bot &amp; Tree Physiol, Gottingen, Germany; [Shi, Lingling] Chinese Acad Sci, Kunming Inst Bot, Yunnan Key Lab Wild Plant Res, Dept Econ Plants &amp; Biotechnol, Kunming, Yunnan, Peoples R China; [Shi, Lingling] Chinese Acad Sci, Kunming Inst Bot, Ctr Mt Futures CMF, Kunming, Yunnan, Peoples R China; [Kuzyakov, Yakov] Univ Tubingen, Fac Sci, Dept Geosci, Geobiosphere Interact, Tubingen, Germany; [Dippold, Michaela A.] RUDN Univ, Peoples Friendship Univ Russia, Agrotechnol Inst, Moscow, Russia; [Dippold, Michaela A.] Kazan Fed Univ, Inst Environm Sci, Kazan, Russia; [Pausch, Johanna] Univ Bayreuth, Bayreuth Ctr Ecol &amp; Environm Res BayCEER, Dept Agroecol, Bayreuth, Germany</t>
  </si>
  <si>
    <t>University of Gottingen; China Agricultural University; University of Gottingen; Leibniz Zentrum fur Agrarlandschaftsforschung (ZALF); University of Gottingen; Chinese Academy of Sciences; Kunming Institute of Botany, CAS; Chinese Academy of Sciences; Kunming Institute of Botany, CAS; Eberhard Karls University of Tubingen; Peoples Friendship University of Russia; Kazan Federal University; University of Bayreuth</t>
  </si>
  <si>
    <t>Shi, LL (通讯作者)，Chinese Acad Sci, Kunming Inst Bot, Yunnan Key Lab Wild Plant Res, Dept Econ Plants &amp; Biotechnol, Kunming, Yunnan, Peoples R China.</t>
  </si>
  <si>
    <t>shilingling@mail.kib.ac.cn</t>
  </si>
  <si>
    <t>Deutsche Stiftung Friedensforschung; National Natural Science Foundation of China</t>
  </si>
  <si>
    <t>Deutsche Stiftung Friedensforschung; National Natural Science Foundation of China(National Natural Science Foundation of China (NSFC))</t>
  </si>
  <si>
    <t>10.1111/pce.14413</t>
  </si>
  <si>
    <t>4J4KQ</t>
  </si>
  <si>
    <t>WOS:000840758400001</t>
  </si>
  <si>
    <t>Shi, Q; Wang, XQ; Zeng, ZL; Huang, W</t>
  </si>
  <si>
    <t>Shi, Qi; Wang, Xiao-Qian; Zeng, Zhi-Lan; Huang, Wei</t>
  </si>
  <si>
    <t>Photoinhibition of Photosystem I Induced by Different Intensities of Fluctuating Light Is Determined by the Kinetics of increment pH Formation Rather Than Linear Electron Flow</t>
  </si>
  <si>
    <t>ANTIOXIDANTS</t>
  </si>
  <si>
    <t>electron transport; fluctuating light; photosystem I; photoinhibition; proton gradient</t>
  </si>
  <si>
    <t>PROTON MOTIVE FORCE; FLAVODIIRON PROTEINS; ABSORBENCY CHANGES; PHOTOSYNTHESIS; TRANSPORT; PHOTOPROTECTION; GROWTH; PHOTORESPIRATION; CYCLE; PSI</t>
  </si>
  <si>
    <t>Fluctuating light (FL) can cause the selective photoinhibition of photosystem I (PSI) in angiosperms. In nature, leaves usually experience FL conditions with the same low light and different high light intensities, but the effects of different FL conditions on PSI redox state and PSI photoinhibition are not well known. In this study, we found that PSI was highly reduced within the first 10 s after transition from 59 to 1809 mu mol photons m(-2) s(-1) in tomato (Solanum lycopersicum). However, such transient PSI over-reduction was not observed by transitioning from 59 to 501 or 923 mu mol photons m(-2) s(-1). Consequently, FL (59-1809) induced a significantly stronger PSI photoinhibition than FL (59-501) and FL (59-923). Compared with the proton gradient ( increment pH) level after transition to high light for 60 s, tomato leaves almost formed a sufficient increment pH after light transition for 10 s in FL (59-501) but did not in FL (59-923) or FL (59-1809). The difference in increment pH between 10 s and 60 s was tightly correlated to the extent of PSI over-reduction and PSI photoinhibition induced by FL. Furthermore, the difference in PSI photoinhibition between (59-923) and FL (59-1809) was accompanied by the same level of linear electron flow. Therefore, PSI photoinhibition induced by different intensities of FL is more related to the kinetics of increment pH formation rather than linear electron flow.</t>
  </si>
  <si>
    <t>Shi, Qi</t>
  </si>
  <si>
    <t>[Shi, Qi; Wang, Xiao-Qian; Zeng, Zhi-Lan; Huang, Wei] Chinese Acad Sci, Kunming Inst Bot, Kunming 650201, Peoples R China; [Shi, Qi; Zeng, Zhi-Lan] Univ Chinese Acad Sci, Beijing 100049, Peoples R China</t>
  </si>
  <si>
    <t>Huang, W (通讯作者)，Chinese Acad Sci, Kunming Inst Bot, Kunming 650201, Peoples R China.</t>
  </si>
  <si>
    <t>huangwei@mail.kib.ac.cn</t>
  </si>
  <si>
    <t>National Natural Science Foundation of China; CAS Light of West China Program;  [31971412];  [32171505]</t>
  </si>
  <si>
    <t xml:space="preserve">National Natural Science Foundation of China(National Natural Science Foundation of China (NSFC)); CAS Light of West China Program; ; </t>
  </si>
  <si>
    <t>This work was supported by the National Natural Science Foundation of China (No. 31971412, 32171505) and the CAS Light of West China Program.</t>
  </si>
  <si>
    <t>MDPI</t>
  </si>
  <si>
    <t>BASEL</t>
  </si>
  <si>
    <t>ST ALBAN-ANLAGE 66, CH-4052 BASEL, SWITZERLAND</t>
  </si>
  <si>
    <t>2076-3921</t>
  </si>
  <si>
    <t>ANTIOXIDANTS-BASEL</t>
  </si>
  <si>
    <t>Antioxidants</t>
  </si>
  <si>
    <t>DEC</t>
  </si>
  <si>
    <t>10.3390/antiox11122325</t>
  </si>
  <si>
    <t>Biochemistry &amp; Molecular Biology; Chemistry, Medicinal; Food Science &amp; Technology</t>
  </si>
  <si>
    <t>Biochemistry &amp; Molecular Biology; Pharmacology &amp; Pharmacy; Food Science &amp; Technology</t>
  </si>
  <si>
    <t>7D3RI</t>
  </si>
  <si>
    <t>WOS:000900411400001</t>
  </si>
  <si>
    <t>Tilahun, M; Zhao, LS; Sun, LL; Shen, YF; Ma, L; Callaway, TR; Xu, JC; Bu, DP</t>
  </si>
  <si>
    <t>Tilahun, Mekonnen; Zhao, Liansheng; Sun, Lingling; Shen, Yifan; Ma, Lu; Callaway, Todd R.; Xu, Jianchu; Bu, Dengpan</t>
  </si>
  <si>
    <t>Fresh Phyllanthus emblica (Amla) Fruit Supplementation Enhances Milk Fatty Acid Profiles and the Antioxidant Capacities of Milk and Blood in Dairy Cows</t>
  </si>
  <si>
    <t>amla; atherogenicity index; biohydrogenation; metabolites; polyphenols; UPLC-ESI-MS; MS</t>
  </si>
  <si>
    <t>CONJUGATED LINOLEIC-ACID; CORONARY-HEART-DISEASE; HYDROLYZABLE TANNINS; DIETARY SUPPLEMENTATION; QUEBRACHO TANNINS; CONDENSED TANNINS; GOAT MILK; PERFORMANCE; QUALITY; L.</t>
  </si>
  <si>
    <t>The objective of this study was to investigate the effect of a diet supplemented with fresh amla fruit as a natural feed additive on blood metabolic parameters, milk antioxidant capacity, and milk fatty acid (FA) proportions in lactating dairy cows. Eight ruminally cannulated mid-lactation dairy cows were used in a repeated crossover design. The first group of four cows received total mixed ration (TMR) feed without fresh amla fruit (control group). The remaining four cows sequentially supplemented fresh amla fruit (FAF) at three levels (200, 400, then 600 g/d) (treatment group) at 14-day intervals. In second period, control and treatment groups were exchanged. The first ten days were adjusted to diet adaptation for each sub-period, and the last four days for sampling milk and blood. A total of 514 metabolites were detected from FAF using UPLC-ESI-MS/MS. The five main metabolites in FAF were phenolic acids (22%), flavonoids (20%), lipids (20%), amino acids and derivatives (9%), and tannins (7%). Amla fruit supplementation reduced total saturated fatty acid and the omega-6/omega-3 ratio at 200 or 400 g/d FAF dose compared to controls. In addition, amla fruit increased unsaturated FA, such as C-20:5 (Eicosapentaenoic acid, EPA) and C-22:6 (docosahexaenoic acid, DHA), and branched-chain FA in a dose-dependent manner at 200 or 400 g/d compared to controls. In addition, amla fruit increased the antioxidant capacity biomarkers in the blood, such as superoxide dismutase (SOD) and albumin; this confirms that amla fruit is an excellent antioxidant, inhibiting reactive oxygen species' (ROS) metabolism, and can thereby protect cells from oxidative stress. Moreover, the most remarkable improvement of ferric reducing-antioxidant power (FRAP) and total antioxidant capacity (TAC) in milk was recorded at 400 g/d FAF doses compared to controls. Therefore, fresh amla fruit doses for lactating cows at 400 g/d on an as-fed basis can be used as an alternative additive feed in dairy cow diets to improve antioxidant capacity, protein efficiency, butter quality, and to produce more desirable milk fatty acid profiles for human consumption.</t>
  </si>
  <si>
    <t>Tilahun, Mekonnen</t>
  </si>
  <si>
    <t>[Tilahun, Mekonnen; Zhao, Liansheng; Sun, Lingling; Shen, Yifan; Ma, Lu; Xu, Jianchu; Bu, Dengpan] Chinese Acad Agr Sci, Inst Anim Sci, State Key Lab Anim Nutr, Beijing 100193, Peoples R China; [Tilahun, Mekonnen; Xu, Jianchu] Chinese Acad Sci, Kunming Inst Bot, Key Lab Econ Plants &amp; Biotechnol, Kunming 650201, Yunnan, Peoples R China; [Callaway, Todd R.] Univ Georgia, Dept Anim &amp; Dairy Sci, Athens, GA 30602 USA; [Xu, Jianchu] World Agroforestry Ctr East &amp; Cent Asia, Kunming 650201, Yunnan, Peoples R China; [Bu, Dengpan] Chinese Acad Agr Sci CAAS, Ethiopian Inst Agr Res EIAR, Joint Lab Integrated Crop Tree Livestock Syst, Beijing 100193, Peoples R China; [Bu, Dengpan] World Agroforestry Ctr ICRAF, Beijing 100193, Peoples R China</t>
  </si>
  <si>
    <t>Chinese Academy of Agricultural Sciences; Institute of Animal Science, CAAS; Chinese Academy of Sciences; Kunming Institute of Botany, CAS; University System of Georgia; University of Georgia; Chinese Academy of Agricultural Sciences</t>
  </si>
  <si>
    <t>Bu, DP (通讯作者)，Chinese Acad Agr Sci, Inst Anim Sci, State Key Lab Anim Nutr, Beijing 100193, Peoples R China.;Bu, DP (通讯作者)，Chinese Acad Agr Sci CAAS, Ethiopian Inst Agr Res EIAR, Joint Lab Integrated Crop Tree Livestock Syst, Beijing 100193, Peoples R China.;Bu, DP (通讯作者)，World Agroforestry Ctr ICRAF, Beijing 100193, Peoples R China.</t>
  </si>
  <si>
    <t>dmtilahun84@gmail.com; zhaoliansheng@caas.cn; sunlingling114289@163.com; shenswjs@126.com; malu@caas.cn; todd.callaway@uga.edu; jxu@mail.kib.ac.cn; budengpan@caas.cn</t>
  </si>
  <si>
    <t>Meselu, Mekonnen Tilahun/AAM-8844-2021</t>
  </si>
  <si>
    <t>Meselu, Mekonnen Tilahun/0000-0001-9894-2562; Callaway, Todd/0000-0002-3310-4979</t>
  </si>
  <si>
    <t>Key Research and Development Program of the Ningxia Hui Autonomous Region [2021BEF02018]; Central Public-interest Scientific Institution Basal Research Fund [2020-YWF-YB-07]; Agriculture Science and Technology Innovation Program [ASTIP-IAS07-1]; Beijing Dairy Industry Innovation Team [BAIC06-2022]</t>
  </si>
  <si>
    <t>Key Research and Development Program of the Ningxia Hui Autonomous Region; Central Public-interest Scientific Institution Basal Research Fund; Agriculture Science and Technology Innovation Program; Beijing Dairy Industry Innovation Team</t>
  </si>
  <si>
    <t>This research was funded by the Key Research and Development Program of the Ningxia Hui Autonomous Region (2021BEF02018), the Central Public-interest Scientific Institution Basal Research Fund (No. 2020-YWF-YB-07), the Agriculture Science and Technology Innovation Program (ASTIP-IAS07-1), and Beijing Dairy Industry Innovation Team (BAIC06-2022).</t>
  </si>
  <si>
    <t>MAR</t>
  </si>
  <si>
    <t>10.3390/antiox11030485</t>
  </si>
  <si>
    <t>0D5VK</t>
  </si>
  <si>
    <t>WOS:000776062700001</t>
  </si>
  <si>
    <t>Cheng, JB; Zhang, SB; Wu, JS; Huang, W</t>
  </si>
  <si>
    <t>Cheng, Jun-Bin; Zhang, Shi-Bao; Wu, Jin-Song; Huang, Wei</t>
  </si>
  <si>
    <t>The Dynamic Changes of Alternative Electron Flows upon Transition from Low to High Light in the Fern Cyrtomium fortune and the Gymnosperm Nageia nagi</t>
  </si>
  <si>
    <t>CELLS</t>
  </si>
  <si>
    <t>energy balancing; ferns; gymnosperms; photoprotection; photosynthesis</t>
  </si>
  <si>
    <t>PROTON MOTIVE FORCE; PHOTOSYSTEM-I; FLAVODIIRON PROTEINS; FLUCTUATING LIGHT; REGULATORY NETWORK; CO2 ASSIMILATION; TRANSPORT; PHOTOINHIBITION; PHOTOSYNTHESIS; PHOTOPROTECTION</t>
  </si>
  <si>
    <t>In photosynthetic organisms except angiosperms, an alternative electron sink that is mediated by flavodiiron proteins (FLVs) plays the major role in preventing PSI photoinhibition while cyclic electron flow (CEF) is also essential for normal growth under fluctuating light. However, the dynamic changes of FLVs and CEF has not yet been well clarified. In this study, we measured the P700 signal, chlorophyll fluorescence, and electrochromic shift spectra in the fern Cyrtomium fortune and the gymnosperm Nageia nagi. We found that both species could not build up a sufficient proton gradient ( increment pH) within the first 30 s after light abruptly increased. During this period, FLVs-dependent alternative electron flow was functional to avoid PSI over-reduction. This functional time of FLVs was much longer than previously thought. By comparison, CEF was highly activated within the first 10 s after transition from low to high light, which favored energy balancing rather than the regulation of a PSI redox state. When FLVs were inactivated during steady-state photosynthesis, CEF was re-activated to favor photoprotection and to sustain photosynthesis. These results provide new insight into how FLVs and CEF interact to regulate photosynthesis in non-angiosperms.</t>
  </si>
  <si>
    <t>Cheng, Jun-Bin</t>
  </si>
  <si>
    <t>[Cheng, Jun-Bin; Zhang, Shi-Bao; Wu, Jin-Song; Huang, Wei] Chinese Acad Sci, Kunming Inst Bot, Kunming 650201, Yunnan, Peoples R China; [Cheng, Jun-Bin] Univ Chinese Acad Sci, Beijing 100049, Peoples R China</t>
  </si>
  <si>
    <t>Huang, W (通讯作者)，Chinese Acad Sci, Kunming Inst Bot, Kunming 650201, Yunnan, Peoples R China.</t>
  </si>
  <si>
    <t>Huang, Wei/0000-0003-1854-6995</t>
  </si>
  <si>
    <t>National Natural Science Foundation of China [31971412]</t>
  </si>
  <si>
    <t>This work was supported by the National Natural Science Foundation of China (Grant 31971412).</t>
  </si>
  <si>
    <t>2073-4409</t>
  </si>
  <si>
    <t>CELLS-BASEL</t>
  </si>
  <si>
    <t>Cells</t>
  </si>
  <si>
    <t>10.3390/cells11172768</t>
  </si>
  <si>
    <t>4J1PV</t>
  </si>
  <si>
    <t>WOS:000851043500001</t>
  </si>
  <si>
    <t>Li, X; Yang, DN; Yang, YQ; Jin, GH; Yin, X; Zheng, Y; Xu, JC; Yang, YP</t>
  </si>
  <si>
    <t>Li, Xiong; Yang, Danni; Yang, Yunqiang; Jin, Guihua; Yin, Xin; Zheng, Yan; Xu, Jianchu; Yang, Yongping</t>
  </si>
  <si>
    <t>Quantitative Succinyl-Proteome Profiling of Turnip (Brassica rapa var. rapa) in Response to Cadmium Stress</t>
  </si>
  <si>
    <t>heavy metal pollution; Brassica; post-translational modification; detoxification; molecular breeding</t>
  </si>
  <si>
    <t>LYSINE SUCCINYLATION; ACCUMULATION; PROTEINS</t>
  </si>
  <si>
    <t>Protein post-translational modification (PTM) is an efficient biological mechanism to regulate protein structure and function, but its role in plant responses to heavy metal stress is poorly understood. The present study performed quantitative succinyl-proteome profiling using liquid chromatography-mass spectrometry analysis to explore the potential roles of lysine succinylation modification in turnip seedlings in response to cadmium (Cd) stress (20 mu M) under hydroponic conditions over a short time period (0-8 h). A total of 547 succinylated sites on 256 proteins were identified in the shoots of turnip seedlings. These succinylated proteins participated in various biological processes (e.g., photosynthesis, tricarboxylic acid cycle, amino acid metabolism, and response to stimulation) that occurred in diverse cellular compartments according to the functional classification, subcellular localization, and protein interaction network analysis. Quantitative analysis showed that the intensities of nine succinylation sites on eight proteins were significantly altered (p &lt; 0.05) in turnip shoots after 8 h of Cd stress. These differentially succinylated sites were highly conserved in Brassicaceae species and mostly located in the conserved domains of the proteins. Among them, a downregulated succinylation site (K150) in the glycolate oxidase protein (Gene0282600.1), an upregulated succinylation site (K396) in the catalase 3 protein (Gene0163880.1), and a downregulated succinylation site (K197) in the glutathione S-transferase protein (Gene0315380.1) may have contributed to the altered activity of the corresponding enzymes, which suggests that lysine succinylation affects the Cd detoxification process in turnip by regulating the H2O2 accumulation and glutathione metabolism. These results provide novel insights into understanding Cd response mechanisms in plants and important protein modification information for the molecular-assisted breeding of Brassica varieties with distinct Cd tolerance and accumulation capacities.</t>
  </si>
  <si>
    <t>[Li, Xiong; Yang, Danni; Yang, Yunqiang; Jin, Guihua; Yin, Xin; Zheng, Yan; Yang, Yongping] Chinese Acad Sci, Kunming Inst Bot, Germplasm Bank Wild Species, Kunming 650201, Yunnan, Peoples R China; [Li, Xiong; Xu, Jianchu] Chinese Acad Sci, Kunming Inst Bot, Dept Econ Plants &amp; Biotechnol, Yunnan Key Lab Wild Plant Resources, Kunming 650201, Yunnan, Peoples R China; [Li, Xiong; Xu, Jianchu] Chinese Acad Sci, Kunming Inst Bot, Ctr Mt Futures, Kunming 650201, Yunnan, Peoples R China; [Yang, Yongping] Chinese Acad Sci, Xishuangbanna Trop Bot Garden, Xishuangbanna 666303, Peoples R China</t>
  </si>
  <si>
    <t>Chinese Academy of Sciences; Kunming Institute of Botany, CAS; Chinese Academy of Sciences; Kunming Institute of Botany, CAS; Chinese Academy of Sciences; Kunming Institute of Botany, CAS; Chinese Academy of Sciences; Xishuangbanna Tropical Botanical Garden, CAS</t>
  </si>
  <si>
    <t>Yang, YP (通讯作者)，Chinese Acad Sci, Kunming Inst Bot, Germplasm Bank Wild Species, Kunming 650201, Yunnan, Peoples R China.;Xu, JC (通讯作者)，Chinese Acad Sci, Kunming Inst Bot, Dept Econ Plants &amp; Biotechnol, Yunnan Key Lab Wild Plant Resources, Kunming 650201, Yunnan, Peoples R China.;Xu, JC (通讯作者)，Chinese Acad Sci, Kunming Inst Bot, Ctr Mt Futures, Kunming 650201, Yunnan, Peoples R China.;Yang, YP (通讯作者)，Chinese Acad Sci, Xishuangbanna Trop Bot Garden, Xishuangbanna 666303, Peoples R China.</t>
  </si>
  <si>
    <t>lixiong@mail.kib.ac.cn; yangdanni@mail.kib.ac.cn; yangyunqiang@mail.kib.ac.cn; jinguihua@mail.kib.ac.cn; yinxin@mail.kib.ac.cn; zhengyan@mail.kib.ac.cn; jxu@mail.kib.ac.cn; yangyp@mail.kib.ac.cn</t>
  </si>
  <si>
    <t>YANG, DANNI/GYD-4120-2022</t>
  </si>
  <si>
    <t>yang, yong ping/0000-0002-0327-2664; Li, Xiong/0000-0002-1754-8721</t>
  </si>
  <si>
    <t>This research was funded by the Youth Innovation Promotion Association CAS (Grant No. 2020387) and the National Natural Science Foundation of China (Grant No. 31800226).</t>
  </si>
  <si>
    <t>10.3390/cells11121947</t>
  </si>
  <si>
    <t>2M1WC</t>
  </si>
  <si>
    <t>WOS:000817497700001</t>
  </si>
  <si>
    <t>Wang, H; Wang, XQ; Xing, YZ; Zhao, QY; Zhuang, HF; Huang, W</t>
  </si>
  <si>
    <t>Wang, Hui; Wang, Xiao-Qian; Xing, Yi-Zhang; Zhao, Qing-Yun; Zhuang, Hui-Fa; Huang, Wei</t>
  </si>
  <si>
    <t>Regulation of Chloroplast ATP Synthase Modulates Photoprotection in the CAM Plant Vanilla planifolia</t>
  </si>
  <si>
    <t>photosynthesis; CAM plants; photoprotection; proton gradient; cyclic electron flow</t>
  </si>
  <si>
    <t>CYCLIC ELECTRON FLOW; PROTON MOTIVE FORCE; PSI CEF-PSI; PHOTOSYSTEM-I; CO2 ASSIMILATION; FLUCTUATING LIGHT; PHOTOSYNTHETIC PROTON; QUENCHING NPQ; WHEAT LEAVES; TRANSPORT</t>
  </si>
  <si>
    <t>Generally, regulation of cyclic electron flow (CEF) and chloroplast ATP synthase play key roles in photoprotection for photosystems I and II (PSI and PSII) in C3 and C4 plants, especially when CO2 assimilation is restricted. However, how CAM plants protect PSI and PSII when CO2 assimilation is restricted is largely known. In the present study, we measured PSI, PSII, and electrochromic shift signals in the CAM plant Vanilla planifolia. The quantum yields of PSI and PSII photochemistry largely decreased in the afternoon compared to in the morning, indicating that CO2 assimilation was strongly restricted in the afternoon. Meanwhile, non-photochemical quenching (NPQ) in PSII and the donor side limitation of PSI (Y(ND)) significantly increased to protect PSI and PSII. Under such conditions, proton gradient ( increment pH) across the thylakoid membranes largely increased and CEF was slightly stimulated, indicating that the increased increment pH was not caused by the regulation of CEF. In contrast, the activity of chloroplast ATP synthase (g(H)(+)) largely decreased in the afternoon. At a given proton flux, the decreasing g(H)(+) increased increment pH and thus contributed to the enhancement of NPQ and Y(ND). Therefore, in the CAM plant V. planifolia, the increment pH-dependent photoprotective mechanism is mainly regulated by the regulation of g(H)(+) rather than CEF when CO2 assimilation is restricted.</t>
  </si>
  <si>
    <t>Wang, Hui</t>
  </si>
  <si>
    <t>[Wang, Hui; Xing, Yi-Zhang; Zhao, Qing-Yun] Chinese Acad Trop Agr Sci, Spice &amp; Beverage Res Inst, Wanning 571533, Peoples R China; [Wang, Xiao-Qian; Huang, Wei] Chinese Acad Sci, Kunming Inst Bot, Kunming 650201, Yunnan, Peoples R China; [Zhuang, Hui-Fa] Key Lab Genet Improvement &amp; Qual Regulat Trop Spi, Wanning 571533, Peoples R China</t>
  </si>
  <si>
    <t>Chinese Academy of Tropical Agricultural Sciences; Chinese Academy of Sciences; Kunming Institute of Botany, CAS</t>
  </si>
  <si>
    <t>Huang, W (通讯作者)，Chinese Acad Sci, Kunming Inst Bot, Kunming 650201, Yunnan, Peoples R China.;Zhuang, HF (通讯作者)，Key Lab Genet Improvement &amp; Qual Regulat Trop Spi, Wanning 571533, Peoples R China.</t>
  </si>
  <si>
    <t>wanghui@catas.cn; wangxiaoqian@mail.kib.ac.cn; xyz615@catas.cn; qingyun_22@catas.cn; zhuanghuifa@catas.cn; huangwei@mail.kib.ac.cn</t>
  </si>
  <si>
    <t>National Natural Science Foundation of China [31871577, 31971412]; Basic and Applied Basic Research Project of Hainan [321QN328]; Key Research and Development Project of Hainan [ZDYF2019209]</t>
  </si>
  <si>
    <t>National Natural Science Foundation of China(National Natural Science Foundation of China (NSFC)); Basic and Applied Basic Research Project of Hainan; Key Research and Development Project of Hainan</t>
  </si>
  <si>
    <t>This work was supported by the National Natural Science Foundation of China (No. 31871577, 31971412), the Basic and Applied Basic Research Project of Hainan (321QN328), and the Key Research and Development Project of Hainan (ZDYF2019209).</t>
  </si>
  <si>
    <t>10.3390/cells11101647</t>
  </si>
  <si>
    <t>1R4XS</t>
  </si>
  <si>
    <t>WOS:000803374000001</t>
  </si>
  <si>
    <t>Zeng, ZL; Sun, H; Wang, XQ; Zhang, SB; Huang, W</t>
  </si>
  <si>
    <t>Zeng, Zhi-Lan; Sun, Hu; Wang, Xiao-Qian; Zhang, Shi-Bao; Huang, Wei</t>
  </si>
  <si>
    <t>Regulation of Leaf Angle Protects Photosystem I under Fluctuating Light in Tobacco Young Leaves</t>
  </si>
  <si>
    <t>leaf angle; fluctuating light; photosynthesis; photoinhibition; photoprotection; photosystem I</t>
  </si>
  <si>
    <t>CYCLIC ELECTRON FLOW; PROTON MOTIVE FORCE; FLAVODIIRON PROTEINS; CO2 ASSIMILATION; PHOTOINHIBITION; PHOTOPROTECTION; PHOTOSYNTHESIS; TRANSPORT; MOVEMENT; STRESS</t>
  </si>
  <si>
    <t>Fluctuating light is a typical light condition in nature and can cause selective photodamage to photosystem I (PSI). The sensitivity of PSI to fluctuating light is influenced by the amplitude of low/high light intensity. Tobacco mature leaves are tended to be horizontal to maximize the light absorption and photosynthesis, but young leaves are usually vertical to diminish the light absorption. Therefore, we tested the hypothesis that such regulation of the leaf angle in young leaves might protect PSI against photoinhibition under fluctuating light. We found that, upon a sudden increase in illumination, PSI was over-reduced in extreme young leaves but was oxidized in mature leaves. After fluctuating light treatment, such PSI over-reduction aggravated PSI photoinhibition in young leaves. Furthermore, the leaf angle was tightly correlated to the extent of PSI photoinhibition induced by fluctuating light. Therefore, vertical young leaves are more susceptible to PSI photoinhibition than horizontal mature leaves when exposed to the same fluctuating light. In young leaves, the vertical leaf angle decreased the light absorption and thus lowered the amplitude of low/high light intensity. Therefore, the regulation of the leaf angle was found for the first time as an important strategy used by young leaves to protect PSI against photoinhibition under fluctuating light. To our knowledge, we show here new insight into the photoprotection for PSI under fluctuating light in nature.</t>
  </si>
  <si>
    <t>Zeng, Zhi-Lan</t>
  </si>
  <si>
    <t>[Zeng, Zhi-Lan; Sun, Hu; Wang, Xiao-Qian; Zhang, Shi-Bao; Huang, Wei] Chinese Acad Sci, Kunming Inst Bot, Kunming 650201, Yunnan, Peoples R China; [Zeng, Zhi-Lan; Sun, Hu] Univ Chinese Acad Sci, Beijing 100049, Peoples R China</t>
  </si>
  <si>
    <t>cengzhilan@mail.kib.ac.cn; sunhu19@mails.ucas.ac.cn; wangxiaoqian@mail.kib.ac.cn; sbzhang@mail.kib.ac.cn; huangwei@mail.kib.ac.cn</t>
  </si>
  <si>
    <t>National Natural Science Foundation of China [31971412]; Project for Innovation Team of Yunnan Province [202105AE160012]</t>
  </si>
  <si>
    <t>National Natural Science Foundation of China(National Natural Science Foundation of China (NSFC)); Project for Innovation Team of Yunnan Province</t>
  </si>
  <si>
    <t>FundingThis work was supported by the National Natural Science Foundation of China (grant 31971412) and the Project for Innovation Team of Yunnan Province (202105AE160012).</t>
  </si>
  <si>
    <t>10.3390/cells11020252</t>
  </si>
  <si>
    <t>YO8FI</t>
  </si>
  <si>
    <t>WOS:000748169700001</t>
  </si>
  <si>
    <t>Pence, VC; Meyer, A; Linsky, J; Gratzfeld, J; Pritchard, HW; Westwood, M; Bruns, EB</t>
  </si>
  <si>
    <t>Pence, Valerie C.; Meyer, Abby; Linsky, Jean; Gratzfeld, Joachim; Pritchard, Hugh W.; Westwood, Murphy; Bruns, Emily Beckman</t>
  </si>
  <si>
    <t>Defining exceptional species-A conceptual framework to expand and advance ex situ conservation of plant diversity beyond conventional seed banking</t>
  </si>
  <si>
    <t>BIOLOGICAL CONSERVATION</t>
  </si>
  <si>
    <t>Cryobiotechnology; Integrated ex situ conservation; Living collections; Orthodox seed; Recalcitrant seed; Seed banking</t>
  </si>
  <si>
    <t>SMALL POPULATIONS PSESP; IN-VITRO CULTURE; STORAGE BEHAVIOR; SINENSIS L.; GERMINATION; LONGEVITY; DESICCATION; CRYOPRESERVATION; DORMANCY; TEMPERATURE</t>
  </si>
  <si>
    <t>The multiple, complex risks to plant species survival are increasing, and conservation strategies that include ex situ as well as in situ approaches are needed now more than ever. Seed banking (drying at c.15% relative humidity and then storing at -20 degrees C) is the most efficient and effective ex situ method for long-term conservation for a majority of plant species. However, some plant species are not amenable to this practice, and such species have been labeled exceptional. Critical limitations to conventional seed banking include: 1) the unavailability of sufficient seed for storage; 2) seeds that are completely intolerant of the drying process (recalcitrant); 3) fully or partially desiccation tolerant seeds that are short-lived or sensitive to storage in a conventional freezer; and 4) seeds exhibiting complex dormancies that significantly hinder post-storage germination. Here we describe species examples to illustrate the key features of these four factors of exceptionality. This definition of exceptionality will provide the foundation for identifying exceptional species and directing resources to the appropriate approaches needed for their conservation. The long-term ex situ conservation of exceptional species will require living collections, as well as technologies involving expertise in cryobiotechnology, seed biology, plant physiology, plant ecology, and horticulture, emphasizing the importance of fully integrating multi-disciplinary conservation actions underpinned by training and knowledge exchange. Given that the number of known exceptional species is anticipated to increase substantially with further research, we call for immediate, concerted, and focused international action to address the conservation needs of the world's exceptional plant species.</t>
  </si>
  <si>
    <t>Pence, Valerie C.</t>
  </si>
  <si>
    <t>[Pence, Valerie C.] Cincinnati Zoo &amp; Bot Garden, Ctr Conservat &amp; Res Endangered Wildlife, 3400 Vine St, Cincinnati, OH 45220 USA; [Meyer, Abby; Bruns, Emily Beckman] Bot Gardens Conservat Int US, Bot Div, 1151 Oxford Rd, San Marino, CA 91108 USA; [Linsky, Jean] Atlanta Bot Garden, Dept Conservat &amp; Res, Atlanta, GA 30309 USA; [Gratzfeld, Joachim] Bot Gardens Conservat Int, 199 Kew Rd, Richmond TW9 3BW, Surrey, England; [Pritchard, Hugh W.] Royal Bot Gardens, Kew Wellcome Trust Millennium Bldg, Ardingly RH17 6TN, W Sussex, England; [Pritchard, Hugh W.] Chinese Acad Sci, Kunming Inst Bot, 132 Lanhei Rd, Kunming 650201, Yunnan, Peoples R China; [Westwood, Murphy; Bruns, Emily Beckman] Morton Arboretum, 4100 Illinois Route 53, Lisle, IL 60532 USA</t>
  </si>
  <si>
    <t>Royal Botanic Gardens, Kew; Royal Botanic Gardens, Kew; Chinese Academy of Sciences; Kunming Institute of Botany, CAS</t>
  </si>
  <si>
    <t>Pence, VC (通讯作者)，Cincinnati Zoo &amp; Bot Garden, Ctr Conservat &amp; Res Endangered Wildlife CREW, 3400 Vine St, Cincinnati, OH 45220 USA.</t>
  </si>
  <si>
    <t>valerie.pence@cincinnatizoo.org; abby.meyer@bgci.org; jlinsky@atlantabg.org; joachim.gratzfeld@bgci.org; h.pritchard@kew.org; mwestwood@mortonarb.org; ebeckman@mortonarb.org</t>
  </si>
  <si>
    <t>Institute of Museum and Library Services; Garfield Weston Foundation; Global Tree Seed Bank Project</t>
  </si>
  <si>
    <t>The authors thank Maribeth Stafford, CREW, for contributing artwork for Fig. 1 and the experts who contributed content for the case studies in Table 1: Nathalie Tapson, Royal Tasmanian Botanical Gardens and Jayne Balmer, Department of Primary Industries, Parks, Water and Environment; Tropical Rainforest Conservation &amp; Research Centre. This project was supported in part by a grant from the Institute of Museum and Library Services to the Cincinnati Zoo &amp; Botanical Garden. The Royal Botanic Gardens, Kew receives grant-in-aid from Defra, UK. HWP received support from the Garfield Weston Foundation, Global Tree Seed Bank Project.</t>
  </si>
  <si>
    <t>0006-3207</t>
  </si>
  <si>
    <t>1873-2917</t>
  </si>
  <si>
    <t>BIOL CONSERV</t>
  </si>
  <si>
    <t>Biol. Conserv.</t>
  </si>
  <si>
    <t>10.1016/j.biocon.2021.109440</t>
  </si>
  <si>
    <t>2P0SG</t>
  </si>
  <si>
    <t>WOS:000819461000002</t>
  </si>
  <si>
    <t>Pence, VC; Bruns, EB; Meyer, A; Pritchard, HW; Westwood, M; Linsky, J; Gratzfeld, J; Helm-Wallace, S; Liu, U; Rivers, M; Beech, E</t>
  </si>
  <si>
    <t>Pence, Valerie C.; Bruns, Emily Beckman; Meyer, Abby; Pritchard, Hugh W.; Westwood, Murphy; Linsky, Jean; Gratzfeld, Joachim; Helm-Wallace, Sara; Liu, Udayangani; Rivers, Malin; Beech, Emily</t>
  </si>
  <si>
    <t>Gap analysis of exceptional species-Using a global list of exceptional plants to expand strategic ex situ conservation action beyond conventional seed banking</t>
  </si>
  <si>
    <t>Cryopreservation; Exceptional plant; Ex situ conservation; Exceptionality factor; Seed bank</t>
  </si>
  <si>
    <t>With two in five plant species facing extinction, plant diversity loss demands action that integrates ex situ with in situ conservation approaches. While conservation in seed banks has been widely adopted, this technology cannot be applied to exceptional species, which require alternative approaches. We propose a new conceptual framework, resulting in the creation of a global working Exceptional Status List. Using a semi-automated method to evaluate over 23,000 seed plants, 775 were identified as exceptional, &lt;3% of those predicted to be exceptional. These were further characterized by one or more of four exceptionality factors (EF): Species with desiccation intolerant seeds (EF2, 50%), short-lived seeds (EF3, 36.6%), unavailable seeds (EF1, 12.6%), or deeply dormant seeds (EF4, 3.4%). One quarter of the identified exceptional species are threatened, and the four families with the most exceptional species were Dipterocarpaceae, Arecaceae, Rutaceae, and Fabaceae. Only 20% of plant genera have had even one species assessed for exceptionality. Although 688 exceptional species are in ex situ collections, most were represented by only 1-4 ex situ sites, primarily living plant collections, with very few in cryobanks. This project illustrates the significant gaps in our knowledge of exceptionality and the need for additional input from researchers and practitioners. The Exceptional Status List is provided as a conservation toolkit, to highlight gaps in knowledge and serve as the basis for further input and research, providing the basis for prioritizing goals and developing strategies for action to address the conservation challenges of exceptional plants.</t>
  </si>
  <si>
    <t>[Pence, Valerie C.] Cincinnati Zoo &amp; Bot Garden, Ctr Conservat &amp; Res Endangered Wildlife, 3400 Vine St, Cincinnati, OH 45220 USA; [Bruns, Emily Beckman; Meyer, Abby] Bot Gardens Conservat Int US, Bot Div, 1151 Oxford Rd, San Marino, CA 91108 USA; [Bruns, Emily Beckman; Westwood, Murphy] Morton Arboretum, 4100 Illinois Route 53, Lisle, IL 60532 USA; [Pritchard, Hugh W.; Liu, Udayangani] Royal Bot Gardens, Kew Wellcome Trust Millennium Bldg, Ardingly RH17 6TN, W Sussex, England; [Pritchard, Hugh W.] Chinese Acad Sci, Kunming Inst Bot, 132 Lanhei Rd, Kunming 650201, Yunnan, Peoples R China; [Linsky, Jean] Atlanta Bot Garden, Dept Conservat &amp; Res, Atlanta, GA 30309 USA; [Gratzfeld, Joachim; Rivers, Malin; Beech, Emily] Bot Gardens Conservat Int, 199 Kew Rd, Richmond TW9 3BW, Surrey, England; [Helm-Wallace, Sara] New England Bot Club, 22 Divin Ave, Cambridge, MA 02138 USA</t>
  </si>
  <si>
    <t>Royal Botanic Gardens, Kew; Chinese Academy of Sciences; Kunming Institute of Botany, CAS; Royal Botanic Gardens, Kew</t>
  </si>
  <si>
    <t>valerie.pence@cincinnatizoo.org; ebeckman@mortonarb.org; abby.meyer@bgci.org; h.pritchard@kew.org; mwestwood@mortonarb.org; jlinsky@atlantabg.org; joachim.gratzfeld@bgci.org; u.liu@kew.org; malin.rivers@bgci.org; emily.beech@bgci.org</t>
  </si>
  <si>
    <t>Cincinnati Zoo &amp; Botanical Garden from the Institute of Museum and Library Services; Defra; Garfield Weston Foundation; Global Tree Seed Bank Project</t>
  </si>
  <si>
    <t>Cincinnati Zoo &amp; Botanical Garden from the Institute of Museum and Library Services; Defra(Department for Environment, Food &amp; Rural Affairs (DEFRA)); Garfield Weston Foundation; Global Tree Seed Bank Project</t>
  </si>
  <si>
    <t>This work was supported by a grant to the Cincinnati Zoo &amp; Botanical Garden from the Institute of Museum and Library Services. The Royal Botanic Gardens, Kew received grant-in-aid from Defra. HWP received support from the Garfield Weston Foundation, Global Tree Seed Bank Project.</t>
  </si>
  <si>
    <t>10.1016/j.biocon.2021.109439</t>
  </si>
  <si>
    <t>WOS:000819461000001</t>
  </si>
  <si>
    <t>Zhou, J; Li, ZP; Shi, LL; Kuzyakov, Y; Pausch, J</t>
  </si>
  <si>
    <t>Zhou, Jie; Li, Zhipeng; Shi, Lingling; Kuzyakov, Yakov; Pausch, Johanna</t>
  </si>
  <si>
    <t>Microbial utilization of photosynthesized carbon depends on land-use</t>
  </si>
  <si>
    <t>GEODERMA</t>
  </si>
  <si>
    <t>13C labeling; Willow; grassland and cropland; Rhizodeposits; Phospholipid fatty acids; Land use; Agroforestry</t>
  </si>
  <si>
    <t>SOIL ORGANIC-MATTER; COMMUNITY STRUCTURE; MYCORRHIZAL FUNGI; FATTY-ACIDS; PLANT; RHIZOSPHERE; ROOT; DIVERSITY; LITTER; FLOW</t>
  </si>
  <si>
    <t>The release of organic compounds from plant roots (rhizodeposits) and their subsequent utilization by soil mi-crobial communities is a key process linking atmospheric and terrestrial carbon (C) and nutrient cycling. However, the effects of land-use types on rhizodeposit-mediated alteration of microbial community structure and its consequences for soil C cycle are still, largely, unknown. Therefore, we used 13C-PLFA-SIP to evaluate the rhizosphere C fluxes to microorganisms in a monoculture crop (oilseed rape, Brassica napus L.), a mixed grassland (dominated by Lolium perenne L. mixed with clover Trifolium repens L.), and a tree (willow, Salix schwerinii E.L. Wolf and Salix viminalis L.) within an agroforestry system. Though harboring similar total microbial biomass, less 13C was recovered in microorganisms in soil under willow (0.017 % of 13C input) after 14 days as compared to rape (0.03 %) and grassland (0.09 %). Across three land use types, gram negative bacteria incorporated most of the 13C (28-42 % of total 13C labeled PLFAs), followed by fungi and gram positive bacteria (12-18 %) and less abundance groups (e.g. actinomycetes, &lt; 5 %). The arbuscular mycorrhizal fungal biomarker 16:1 omega 5c was enriched with 13C in soil under grassland (8 % of total 13C labeled PLFAs). The 13C incorporation into gram positive bacteria was higher in soil under willow than under grassland and rape. By contrast, 42 % of total 13C labeled PLFAs were attributed to gram negative bacteria in soil under rape. Overall, our results demonstrated that pronounced differences in microbial community structure and subsequent microbial C utilization between land-use types could affect soil C cycles and storage.</t>
  </si>
  <si>
    <t>[Zhou, Jie] China Agr Univ, Coll Agron &amp; Biotechnol, Beijing, Peoples R China; [Li, Zhipeng] Chinese Acad Sci, Inst Urban Environm, Key Lab Urban Environm &amp; Hlth, Fujian Key Lab Watershed Ecol,Ningbo Observat &amp; Re, Xiamen 361021, Peoples R China; [Li, Zhipeng] Georg August Univ Gottingen, JF Blumenbach Inst Zool &amp; Anthropol, Gottingen, Germany; [Shi, Lingling] Chinese Acad Sci, Inst Bot, Key Lab Econ Plants &amp; Biotechnol, Kunming, Peoples R China; [Shi, Lingling] Chinese Acad Sci, Ctr Mt Futures CMF, Kunming Instituteof Bot, Kunming, Peoples R China; [Shi, Lingling] Univ Tubingen, Fac Sci, Dept Geosci, Geobiosphere Interact, Tubingen, Germany; [Kuzyakov, Yakov] Georg August Univ Gottingen, Dept Soil Sci Temperate Ecosyst, Dept Agr Soil Sci, Gottingen, Germany; [Pausch, Johanna] Univ Bayreuth, Agroecol, BayCEER, Bayreuth, Germany; [Kuzyakov, Yakov] RUDN Univ, Peoples Friendship Univ Russia, Moscow 117198, Russia</t>
  </si>
  <si>
    <t>China Agricultural University; Chinese Academy of Sciences; Institute of Urban Environment, CAS; University of Gottingen; Chinese Academy of Sciences; Kunming Institute of Botany, CAS; Chinese Academy of Sciences; Eberhard Karls University of Tubingen; University of Gottingen; University of Bayreuth; Peoples Friendship University of Russia</t>
  </si>
  <si>
    <t>Shi, LL (通讯作者)，Chinese Acad Sci, Inst Bot, Key Lab Econ Plants &amp; Biotechnol, Kunming, Peoples R China.</t>
  </si>
  <si>
    <t>National Natural Science Foundation of China (NSFC-CGIAR) [318611430002]; Yunnan Fundamental Research Projects [202101AS070045]; RUDN University Strategic Academic Leadership Program [201606850093, 201604910550]; China Scholarship Council (CSC)</t>
  </si>
  <si>
    <t>National Natural Science Foundation of China (NSFC-CGIAR)(CGIAR); Yunnan Fundamental Research Projects; RUDN University Strategic Academic Leadership Program; China Scholarship Council (CSC)(China Scholarship Council)</t>
  </si>
  <si>
    <t>This study was financially supported by the National Natural Science Foundation of China (NSFC-CGIAR Grant No. 318611430002), Yunnan Fundamental Research Projects (Grant No. 202101AS070045), and the RUDN University Strategic Academic Leadership Program. Jie Zhou (201606850093) and Zhipeng Li (201604910550) also thank the China Scholarship Council (CSC) for supporting their study in Germany. The isotopic analyses were performed at the Centre for Stable Isotope Research and Analysis (KOSI), Gottingen. The authors comprehensively thank for the editor and three anonymous reviewers for their precise and detailed comments.</t>
  </si>
  <si>
    <t>0016-7061</t>
  </si>
  <si>
    <t>1872-6259</t>
  </si>
  <si>
    <t>Geoderma</t>
  </si>
  <si>
    <t>10.1016/j.geoderma.2022.116160</t>
  </si>
  <si>
    <t>6J9XQ</t>
  </si>
  <si>
    <t>WOS:000887169200001</t>
  </si>
  <si>
    <t>Zeng, Q; Wang, ZJ; Chen, S; Wang, H; Xie, TZ; Xu, XJ; Xiang, ML; Chen, YC; Luo, XD</t>
  </si>
  <si>
    <t>Zeng, Qi; Wang, Zhao-Jie; Chen, Song; Wang, Huan; Xie, Tian-Zhen; Xu, Xiang-Juan; Xiang, Mei-Ling; Chen, Yi-Chi; Luo, Xiao-Dong</t>
  </si>
  <si>
    <t>Phytochemical and anti-MRSA constituents of Zanthoxylum nitidum</t>
  </si>
  <si>
    <t>BIOMEDICINE &amp; PHARMACOTHERAPY</t>
  </si>
  <si>
    <t>Zanthoxylum nitidum; Coumarins; Isoquinoline alkaloids; Anti-MASA; Efflux pump inhibition; Skin infection</t>
  </si>
  <si>
    <t>ALKALOIDS; COUMARINS; CHITOSAN; BIOFILM</t>
  </si>
  <si>
    <t>Infectious diseases caused by multidrug-resistant bacteria such as methicillin-resistant Staphylococcus aureus, pose a significant threat to humanity. Persistent and repeated invasive infection with MRSA led to higher morbidity and mortality, and required comprehensive measures in treatment and prevention. Zanthoxylum nitidum (Roxb.) DC. is used as detoxifying, analgesic, and hemostatic herbal medicine for thousands of years. Previously pharmacological studies showed that Z. nitidum had antibacterial bioactivity, but only the MIC of a few compounds, crude extracts, and fractions were reported. In our ongoing endeavor to explore bioactive compounds, two new coumarins, 6-(3-oxo-butyl)-limettin (1) and toddalin I (2), and 24 known compounds were isolated from the roots of Z. nitidum, in which two isoquinoline alkaloids, 6-acetonyl-dihydrofagaridine (16) and 6-acetonyl-dihydrochelerythrine (17) showed anti-MRSA bioactivity in vitro and in vivo. Both 16 and 17 showed synergistic action with ampicillin, which decreased the MIC significantly, and both compounds had a significant ability to destroy bacterial biofilm combined with ampicillin. The combined administration showed a strong scavenging effect on the planktonic bacteria in vitro and cleared skin infection effectively in the model of wound infection in vivo. Furthermore, compound 16 inhibited the efflux of the drug by combining with ampicillin or EtBr, resulting in the MIC decreased obviously. Our investigation supported the traditional use of Z. nitidum in treating infections caused by bacteria, and might provide new natural products to reduce the use of antibiotics and the treatment of drug-resistance bacteria.</t>
  </si>
  <si>
    <t>Zeng, Qi</t>
  </si>
  <si>
    <t>[Zeng, Qi; Wang, Zhao-Jie; Chen, Song; Wang, Huan; Xie, Tian-Zhen; Xiang, Mei-Ling; Chen, Yi-Chi; Luo, Xiao-Dong] Minist Educ, Key Lab Med Chem Nat Resource, Kunming 650091, Yunnan, Peoples R China; [Zeng, Qi; Wang, Zhao-Jie; Chen, Song; Wang, Huan; Xie, Tian-Zhen; Xiang, Mei-Ling; Chen, Yi-Chi; Luo, Xiao-Dong] Yunnan Prov Ctr Res &amp; Dev Nat Prod, Kunming 650091, Yunnan, Peoples R China; [Zeng, Qi; Wang, Zhao-Jie; Chen, Song; Wang, Huan; Xie, Tian-Zhen; Xiang, Mei-Ling; Chen, Yi-Chi; Luo, Xiao-Dong] Yunnan Univ, Sch Chem Sci &amp; Technol, Kunming 650091, Yunnan, Peoples R China; [Xu, Xiang-Juan; Luo, Xiao-Dong] Chinese Acad Sci, Kunming Inst Bot, State Key Lab Phytochem &amp; Plant Resources West Ch, Kunming 650201, Yunnan, Peoples R China</t>
  </si>
  <si>
    <t>Luo, XD (通讯作者)，Minist Educ, Key Lab Med Chem Nat Resource, Kunming 650091, Yunnan, Peoples R China.;Luo, XD (通讯作者)，Yunnan Prov Ctr Res &amp; Dev Nat Prod, Kunming 650091, Yunnan, Peoples R China.;Luo, XD (通讯作者)，Yunnan Univ, Sch Chem Sci &amp; Technol, Kunming 650091, Yunnan, Peoples R China.</t>
  </si>
  <si>
    <t>xdluo@ynu.edu.cn</t>
  </si>
  <si>
    <t>National Natural Science Foundation of China [32170405]; Major Science and Technology Project in Yunnan Province [202105AE160006, 2019ZF003, 2019FY003004]</t>
  </si>
  <si>
    <t>National Natural Science Foundation of China(National Natural Science Foundation of China (NSFC)); Major Science and Technology Project in Yunnan Province</t>
  </si>
  <si>
    <t>The authors are grateful to the National Natural Science Foundation of China (32170405) , Major Science and Technology Project in Yunnan Province (202105AE160006, 2019ZF003, 2019FY003004) for the par-tial financial support. Authors thank Advanced Analysis and Measure-ment Center of Yunnan University for the sample testing service.</t>
  </si>
  <si>
    <t>ELSEVIER FRANCE-EDITIONS SCIENTIFIQUES MEDICALES ELSEVIER</t>
  </si>
  <si>
    <t>ISSY-LES-MOULINEAUX</t>
  </si>
  <si>
    <t>65 RUE CAMILLE DESMOULINS, CS50083, 92442 ISSY-LES-MOULINEAUX, FRANCE</t>
  </si>
  <si>
    <t>0753-3322</t>
  </si>
  <si>
    <t>1950-6007</t>
  </si>
  <si>
    <t>BIOMED PHARMACOTHER</t>
  </si>
  <si>
    <t>Biomed. Pharmacother.</t>
  </si>
  <si>
    <t>10.1016/j.biopha.2022.112758</t>
  </si>
  <si>
    <t>Medicine, Research &amp; Experimental; Pharmacology &amp; Pharmacy</t>
  </si>
  <si>
    <t>Research &amp; Experimental Medicine; Pharmacology &amp; Pharmacy</t>
  </si>
  <si>
    <t>2P6GQ</t>
  </si>
  <si>
    <t>WOS:000819837400003</t>
  </si>
  <si>
    <t>Han, B; Wu, D; Zhang, YY; Li, DZ; Xu, W; Liu, AZ</t>
  </si>
  <si>
    <t>Han, Bing; Wu, Di; Zhang, Yanyu; Li, De-Zhu; Xu, Wei; Liu, Aizhong</t>
  </si>
  <si>
    <t>Epigenetic regulation of seed-specific gene expression by DNA methylation valleys in castor bean</t>
  </si>
  <si>
    <t>BMC BIOLOGY</t>
  </si>
  <si>
    <t>Seed-specific genes; DNA methylation valleys; Histone modifications; Enhancer; Castor bean</t>
  </si>
  <si>
    <t>RICINUS-COMMUNIS L.; CENTRAL CELL; ARABIDOPSIS; EMBRYOGENESIS; TRANSCRIPTION; ENDOSPERM; IDENTIFICATION; ACCUMULATION; PLANTS; OIL</t>
  </si>
  <si>
    <t>Background: Understanding the processes governing angiosperm seed growth and development is essential both for fundamental plant biology and for agronomic purposes. Master regulators of angiosperm seed development are expressed in a seed-specific manner. However, it is unclear how this seed specificity of transcription is established. In some vertebrates, DNA methylation valleys (DMVs) are highly conserved and strongly associated with key developmental genes, but comparable studies in plants are limited to Arabidopsis and soybean. Castor bean (Ricinus communis) is a valuable model system for the study of seed biology in dicots and source of economically important castor oil. Unlike other dicots such as Arabidopsis and soybean, castor bean seeds have a relatively large and persistent endosperm throughout seed development, representing substantial structural differences in mature seeds. Here, we performed an integrated analysis of RNA-seq, whole-genome bisulfite sequencing, and ChIP-seq for various histone marks in the castor bean. Results: We present a gene expression atlas covering 16 representative tissues and identified 1162 seed-specific genes in castor bean (Ricinus communis), a valuable model for the study of seed biology in dicots. Upon whole-genome DNA methylation analyses, we detected 32,567 DMVs across five tissues, covering similar to 33% of the castor bean genome. These DMVs are highly hypomethylated during development and conserved across plant species. We found that DMVs have the potential to activate transcription, especially that of tissue-specific genes. Focusing on seed development, we found that many key developmental regulators of seed/endosperm development, including AGL61, AGL62, LEC1, LEC2, ABI3, and WRI1, were located within DMVs. ChIP-seq for five histone modifications in leaves and seeds clearly showed that the vast majority of histone modification peaks were enriched within DMVs, and their remodeling within DMVs has a critical role in the regulation of seed-specific gene expression. Importantly, further experiment analysis revealed that distal DMVs may act as cis-regulatory elements, like enhancers, to activate downstream gene expression. Conclusions: Our results point to the importance of DMVs and special distal DMVs behaving like enhancers, in the regulation of seed-specific genes, via the reprogramming of histone modifications within DMVs. Furthermore, these results provide a comprehensive understanding of the epigenetic regulator roles in seed development in castor bean and other important crops.</t>
  </si>
  <si>
    <t>Han, Bing</t>
  </si>
  <si>
    <t>[Han, Bing; Li, De-Zhu; Xu, Wei] Chinese Acad Sci, Kunming Inst Bot, Germplasm Bank Wild Species, Kunming 650201, Yunnan, Peoples R China; [Wu, Di; Zhang, Yanyu] Chinese Acad Sci, Kunming Inst Bot, Key Lab Econ Plants &amp; Biotechnol, Yunnan Key Lab Wild Plant Resources, Kunming 650201, Yunnan, Peoples R China; [Wu, Di] Univ Chinese Acad Sci, Beijing 100049, Peoples R China; [Liu, Aizhong] Southwest Forestry Univ, Key Lab Forest Resources Conservat &amp; Utilizat Sou, Minist Educ, Kunming 650224, Yunnan, Peoples R China</t>
  </si>
  <si>
    <t>Chinese Academy of Sciences; Kunming Institute of Botany, CAS; Chinese Academy of Sciences; Kunming Institute of Botany, CAS; Chinese Academy of Sciences; University of Chinese Academy of Sciences, CAS; Southwest Forestry University - China</t>
  </si>
  <si>
    <t>Xu, W (通讯作者)，Chinese Acad Sci, Kunming Inst Bot, Germplasm Bank Wild Species, Kunming 650201, Yunnan, Peoples R China.;Liu, AZ (通讯作者)，Southwest Forestry Univ, Key Lab Forest Resources Conservat &amp; Utilizat Sou, Minist Educ, Kunming 650224, Yunnan, Peoples R China.</t>
  </si>
  <si>
    <t>xuwei@mail.kib.ac.cn; liuaizhong@mail.kib.ac.cn</t>
  </si>
  <si>
    <t>Li, De-Zhu/G-8203-2011</t>
  </si>
  <si>
    <t>Li, De-Zhu/0000-0002-4990-724X; Xu, Wei/0000-0003-0581-7872</t>
  </si>
  <si>
    <t>National Natural Science Foundation of China [31970341, 31661143002, 31771839]; Youth Innovation Promotion Association of CAS [2020389]; Yunnan Young &amp; Elite Talents Project [YNWR-QNBJ-2020-286]</t>
  </si>
  <si>
    <t>National Natural Science Foundation of China(National Natural Science Foundation of China (NSFC)); Youth Innovation Promotion Association of CAS; Yunnan Young &amp; Elite Talents Project</t>
  </si>
  <si>
    <t>This work was jointly supported by the National Natural Science Foundation of China (31970341, 31661143002, and 31771839), the Youth Innovation Promotion Association of CAS (2020389 to W.X.), and Yunnan Young &amp; Elite Talents Project (YNWR-QNBJ-2020-286 to W.X).</t>
  </si>
  <si>
    <t>1741-7007</t>
  </si>
  <si>
    <t>BMC BIOL</t>
  </si>
  <si>
    <t>BMC Biol.</t>
  </si>
  <si>
    <t>MAR 1</t>
  </si>
  <si>
    <t>10.1186/s12915-022-01259-6</t>
  </si>
  <si>
    <t>Biology</t>
  </si>
  <si>
    <t>Life Sciences &amp; Biomedicine - Other Topics</t>
  </si>
  <si>
    <t>ZJ6KS</t>
  </si>
  <si>
    <t>WOS:000762413400002</t>
  </si>
  <si>
    <t>Li, JW; Zhou, Y; Zhang, ZB; Cui, XQ; Li, HY; Ou, MJ; Cao, KF; Zhang, SB</t>
  </si>
  <si>
    <t>Li, Jia-Wei; Zhou, Yi; Zhang, Zi-Bin; Cui, Xue-Qiang; Li, Hong-Yan; Ou, Mei-Jing; Cao, Kun-Fang; Zhang, Shi-Bao</t>
  </si>
  <si>
    <t>Complementary water and nutrient utilization of perianth structural units help maintain long floral lifespan in Dendrobium</t>
  </si>
  <si>
    <t>JOURNAL OF EXPERIMENTAL BOTANY</t>
  </si>
  <si>
    <t>Biomechanical strength; Dendrobium; floral longevity; labellum; nutrient resorption; polysaccharide</t>
  </si>
  <si>
    <t>DROUGHT TOLERANCE TRAITS; PHYSIOLOGICAL-RESPONSES; ORCHID PSEUDOBULBS; LEAF; POLLINATION; GROWTH; LONGEVITY; EVOLUTION; FLOWERS; STRESS</t>
  </si>
  <si>
    <t>Most orchids have high ornamental value with long-lived flowers. However, the mechanisms by which orchids maintain floral longevity are poorly understood. Here, we hypothesized that floral longevity in Dendrobium is maintained by high resource investment and complementary water and nutrient utilization in different structural units of the perianth. To test this hypothesis, we determined which water- and nutrient-related traits are correlated with flower longevity in 23 Dendrobium species or cultivars, and examined variations of the related traits during flower development of one long-lived cultivar. We found that floral longevity was correlated with dry mass per unit area of perianths and total flower biomass, which indicates that maintaining floral longevity requires increased resource investment. During development of long-lived flowers, labella showed a high capacity for water storage and nutrient reutilization, which could partly remedy high water demand and biomass investment. Sepals and petals, in contrast, had stronger desiccation avoidance and higher metabolic activity with lower biomass investment. These findings indicate that Dendrobium flowers maintain longevity by complementary water and nutrient utilization strategies in the sepals, petals and labella, with labella consuming more water and nutrients to extend flower display, and sepals and petals using a more conservative strategy. The labella of Dendrobiumflowers have higher nutrient requirements and metabolic activity compared with the sepals and petals, with higher capacity for water supply and nutrient reuse, thereby maintaining long floral lifespan.</t>
  </si>
  <si>
    <t>Li, Jia-Wei</t>
  </si>
  <si>
    <t>[Li, Jia-Wei; Zhou, Yi; Li, Hong-Yan; Ou, Mei-Jing; Cao, Kun-Fang] Guangxi Univ, Coll Forestry, State Key Lab Conservat &amp; Utilizat Subtrop Agrobio, Nanning 530004, Guangxi, Peoples R China; [Zhang, Zi-Bin; Cui, Xue-Qiang] Guangxi Acad Agr Sci, Flower Res Inst, Nanning 530007, Guangxi, Peoples R China; [Zhang, Shi-Bao] Chinese Acad Sci, Kunming Inst Bot, Key Lab Econ Plants &amp; Biotechnol, Kunming 650201, Yunnan, Peoples R China</t>
  </si>
  <si>
    <t>Guangxi University; Guangxi Academy of Agricultural Sciences; Chinese Academy of Sciences; Kunming Institute of Botany, CAS</t>
  </si>
  <si>
    <t>Cao, KF (通讯作者)，Guangxi Univ, Coll Forestry, State Key Lab Conservat &amp; Utilizat Subtrop Agrobio, Nanning 530004, Guangxi, Peoples R China.;Zhang, SB (通讯作者)，Chinese Acad Sci, Kunming Inst Bot, Key Lab Econ Plants &amp; Biotechnol, Kunming 650201, Yunnan, Peoples R China.</t>
  </si>
  <si>
    <t>kunfangcao@gxu.edu.cn; sbzhang@mail.kib.ac.cn</t>
  </si>
  <si>
    <t>Chinese Academy of Sciences; National Natural Science Foundation of China [XDB31000000]; Project for Innovation Team of Yunnan Province [32260259, 31901092, 31970361]; Natural Science Foundation of Guangxi Zhuang Autonomous Region [202105AE160012]; Guangxi Key Research and Development Program [2021GXNSFBA075059]; Scientific Research Foundation of Guangxi University [Guike AB21220056]</t>
  </si>
  <si>
    <t>Chinese Academy of Sciences(Chinese Academy of Sciences); National Natural Science Foundation of China(National Natural Science Foundation of China (NSFC)); Project for Innovation Team of Yunnan Province; Natural Science Foundation of Guangxi Zhuang Autonomous Region(National Natural Science Foundation of Guangxi Province); Guangxi Key Research and Development Program; Scientific Research Foundation of Guangxi University</t>
  </si>
  <si>
    <t>This work was supported by the Strategic Priority Research Program of the Chinese Academy of Sciences (XDB31000000) , the National Natural Science Foundation of China (32260259, 31901092, 31970361) , the Project for Innovation Team of Yunnan Province (202105AE160012) , the Natural Science Foundation of Guangxi Zhuang Autonomous Region (2021GXNSFBA075059) , the Guangxi Key Research and Development Program (Guike AB21220056), and the Scientific Research Foundation of Guangxi University for Li Jia-Wei.</t>
  </si>
  <si>
    <t>0022-0957</t>
  </si>
  <si>
    <t>1460-2431</t>
  </si>
  <si>
    <t>J EXP BOT</t>
  </si>
  <si>
    <t>J. Exp. Bot.</t>
  </si>
  <si>
    <t>10.1093/jxb/erac479</t>
  </si>
  <si>
    <t>7L2GN</t>
  </si>
  <si>
    <t>WOS:000905791200001</t>
  </si>
  <si>
    <t>Xue, N; Zhan, C; Song, J; Li, Y; Zhang, JX; Qi, JF; Wu, JQ</t>
  </si>
  <si>
    <t>Xue, Na; Zhan, Che; Song, Juan; Li, Yong; Zhang, Jingxiong; Qi, Jinfeng; Wu, Jianqiang</t>
  </si>
  <si>
    <t>The glutamate receptor-like 3.3 and 3.6 mediate systemic resistance to insect herbivores in Arabidopsis</t>
  </si>
  <si>
    <t>Arabidopsis; glucosinolate; glutamate receptor-like genes; jasmonic acid; metabolome; Myzus persicae; Spodoptera litura; transcriptome</t>
  </si>
  <si>
    <t>LONG-DISTANCE; GLUCOSINOLATE BIOSYNTHESIS; JASMONATE SYNTHESIS; PLANT DEFENSE; LEAVES; POTENTIALS; ACTIVATION; RESPONSES; THALIANA; INSIGHTS</t>
  </si>
  <si>
    <t>Herbivory activates responses in local and systemic leaves, and the glutamate receptor-like genes GLR3.3 and GLR3.6 are critical in leaf-to-leaf systemic signalling. However, whether and how these genes mediate plant systemic resistance to insects remain largely unexplored. We show that a piercing-sucking insect Myzus persicae (green peach aphid, GPA) or chewing insect Spodoptera litura (cotton leafworm, CLW) feeding-induced systemic defences were attenuated in the glr3.3 glr3.6 mutants. In response to herbivory from either insect, glr3.3 glr3.6 mutants exhibited reduced accumulation of the hormone jasmonic acid (JA) and defensive metabolites glucosinolates (GSs) in systemic (but not local) leaves. Transcriptome analysis indicated that GLR3.3 and GLR3.6 play an important role in regulating the transcriptional responses to GPA and simulated CLW feeding in both local and systemic leaves, including JA- and GS-related genes. Metabolome analysis also revealed that in response to GPA or simulated CLW feeding, GLR3.3 and GLR3.6 are involved in the regulation of various metabolites locally and systemically, including amino acids, carbohydrates, and organic acids. Taken together, this study provides new insights into the function of GLR3.3 and GLR3.6 in mediating transcripts and metabolites in local and systemic leaves under insect attack, and highlights their role in regulating insect resistance in systemic leaves. GLR3.3 and GLR3.6 are essential for insect feeding-induced systemic defence by regulating transcripts and metabolites under insect attack.</t>
  </si>
  <si>
    <t>Xue, Na</t>
  </si>
  <si>
    <t>[Xue, Na; Zhan, Che; Song, Juan; Zhang, Jingxiong; Qi, Jinfeng; Wu, Jianqiang] Chinese Acad Sci, Kunming Inst Bot, Dept Econ Plants &amp; Biotechnol, Yunnan Key Lab Wild Plant Resources, Kunming 650201, Yunnan, Peoples R China; [Xue, Na; Zhan, Che; Song, Juan; Zhang, Jingxiong; Qi, Jinfeng; Wu, Jianqiang] Univ Chinese Acad Sci, CAS Ctr Excellence Biot Interact, Beijing 100049, Peoples R China; [Li, Yong] Yunnan Acad Tobacco Agr Sci, Kunming 650201, Yunnan, Peoples R China</t>
  </si>
  <si>
    <t>Chinese Academy of Sciences; Kunming Institute of Botany, CAS; Chinese Academy of Sciences; University of Chinese Academy of Sciences, CAS; China National Tobacco Corporation</t>
  </si>
  <si>
    <t>Wu, JQ (通讯作者)，Chinese Acad Sci, Kunming Inst Bot, Dept Econ Plants &amp; Biotechnol, Yunnan Key Lab Wild Plant Resources, Kunming 650201, Yunnan, Peoples R China.;Wu, JQ (通讯作者)，Univ Chinese Acad Sci, CAS Ctr Excellence Biot Interact, Beijing 100049, Peoples R China.</t>
  </si>
  <si>
    <t>Song, Juan/0000-0002-6030-8037; Qi, Jinfeng/0000-0001-6689-915X; Xue, Na/0000-0003-4145-1054; Zhang, Jingxiong/0000-0003-4490-6309; Wu, Jianqiang/0000-0002-7726-6216</t>
  </si>
  <si>
    <t>Strategic Priority Research Program of Chinese Academy of Sciences [XDPB16]; Special Research Assistant of Chinese Academy of Sciences; General and Key Project of Applied Basic Research Program of Yunnan [2019FI007]; CAS Youth Innovation Promotion Association [2018426]; CAS 'Light of West China' Program</t>
  </si>
  <si>
    <t>Strategic Priority Research Program of Chinese Academy of Sciences(Chinese Academy of Sciences); Special Research Assistant of Chinese Academy of Sciences; General and Key Project of Applied Basic Research Program of Yunnan; CAS Youth Innovation Promotion Association; CAS 'Light of West China' Program</t>
  </si>
  <si>
    <t>We acknowledge funding from the Strategic Priority Research Program of Chinese Academy of Sciences (XDPB16), the Special Research Assistant of Chinese Academy of Sciences, the General and Key Project of Applied Basic Research Program of Yunnan (2019FI007), CAS Youth Innovation Promotion Association (2018426), and CAS `Light of West China' Program.</t>
  </si>
  <si>
    <t>DEC 8</t>
  </si>
  <si>
    <t>10.1093/jxb/erac399</t>
  </si>
  <si>
    <t>6W5VU</t>
  </si>
  <si>
    <t>WOS:000879103500001</t>
  </si>
  <si>
    <t>Zhang, HY; Zhang, LP; Ji, YR; Jing, YF; Li, LX; Chen, YL; Wang, RL; Zhang, HM; Yu, DQ; Chen, LG</t>
  </si>
  <si>
    <t>Zhang, Haiyan; Zhang, Liping; Ji, Yunrui; Jing, Yifen; Li, Lanxin; Chen, Yanli; Wang, Ruling; Zhang, Huimin; Yu, Diqiu; Chen, Ligang</t>
  </si>
  <si>
    <t>Arabidopsis SIGMA FACTOR BINDING PROTEIN1 (SIB1) and SIB2 inhibit WRKY75 function in abscisic acid-mediated leaf senescence and seed germination</t>
  </si>
  <si>
    <t>Abscisic acid; GOLDEN 2-LIKE1/2; leaf senescence; seed germination; SIGMA FACTOR BINDING PROTEIN; WRKY75</t>
  </si>
  <si>
    <t>TRANSCRIPTION FACTOR WRKY75; MOTIF-CONTAINING PROTEINS; SALICYLIC-ACID; PLANT SENESCENCE; KINASES; GENES; GROWTH</t>
  </si>
  <si>
    <t>The plant-specific VQ gene family participates in diverse physiological processes but little information is available on their role in leaf senescence. Here, we show that the VQ motif-containing proteins, Arabidopsis SIGMA FACTOR BINDING PROTEIN1 (SIB1) and SIB2 are negative regulators of abscisic acid (ABA)-mediated leaf senescence. Loss of SIB1 and SIB2 function resulted in increased sensitivity of ABA-induced leaf senescence. In contrast, overexpression of SIB1 significantly delayed this process. Moreover, biochemical studies revealed that SIBs interact with WRKY75 transcription factor. Loss of WRKY75 function decreased sensitivity to ABA-induced leaf senescence, while overexpression of WRKY75 significantly accelerated this process. Chromatin immunoprecipitation assays revealed that WRKY75 directly binds to the promoters of GOLDEN 2-LIKE1(GLK1) and GLK2, to repress their expression. SIBs repress the transcriptional function of WRKY75 and negatively regulate ABA-induced leaf senescence in a WRKY75-dependent manner. In contrast, WRKY75 positively modulates ABA-mediated leaf senescence in a GLK-dependent manner. In addition, SIBs inhibit WRKY75 function in ABA-mediated seed germination. These results demonstrate that SIBs can form a complex with WRKY75 to regulate ABA-mediated leaf senescence and seed germination.</t>
  </si>
  <si>
    <t>Zhang, Haiyan</t>
  </si>
  <si>
    <t>[Zhang, Haiyan; Zhang, Liping; Ji, Yunrui; Jing, Yifen; Li, Lanxin; Chen, Yanli; Wang, Ruling; Zhang, Huimin; Yu, Diqiu; Chen, Ligang] Chinese Acad Sci, CAS Key Lab Trop Plant Resources &amp; Sustainable Us, Xishuangbanna Trop Bot Garden, Mengla 666303, Yunnan, Peoples R China; [Wang, Ruling; Zhang, Huimin; Chen, Ligang] Chinese Acad Sci, Ctr Econ Bot, Core Bot Gardens, Mengla 666303, Yunnan, Peoples R China; [Zhang, Liping] Chinese Acad Sci, Kunming Inst Bot, Key Lab Plant Divers &amp; Biogeog East Asia, Kunming 650201, Yunnan, Peoples R China; [Zhang, Haiyan; Ji, Yunrui; Jing, Yifen; Li, Lanxin; Chen, Yanli] Univ Chinese Acad Sci, Beijing 100049, Peoples R China; [Yu, Diqiu] Yunnan Univ, State Key Lab Conservat &amp; Utilizat Bioresources Y, Kunming 650091, Yunnan, Peoples R China</t>
  </si>
  <si>
    <t>Chinese Academy of Sciences; Xishuangbanna Tropical Botanical Garden, CAS; Chinese Academy of Sciences; Chinese Academy of Sciences; Kunming Institute of Botany, CAS; Chinese Academy of Sciences; University of Chinese Academy of Sciences, CAS; Yunnan University</t>
  </si>
  <si>
    <t>Yu, DQ; Chen, LG (通讯作者)，Chinese Acad Sci, CAS Key Lab Trop Plant Resources &amp; Sustainable Us, Xishuangbanna Trop Bot Garden, Mengla 666303, Yunnan, Peoples R China.;Chen, LG (通讯作者)，Chinese Acad Sci, Ctr Econ Bot, Core Bot Gardens, Mengla 666303, Yunnan, Peoples R China.;Yu, DQ (通讯作者)，Yunnan Univ, State Key Lab Conservat &amp; Utilizat Bioresources Y, Kunming 650091, Yunnan, Peoples R China.</t>
  </si>
  <si>
    <t>ydq@ynu.edu.cn; chenligang@xtbg.ac.cn</t>
  </si>
  <si>
    <t>yu, diqiu/D-2011-2009</t>
  </si>
  <si>
    <t>Yunnan Fundamental Research Projects [2019FA010, 2019FB029]; Natural Science Foundation of China [31671275]; Strategic Leading Science &amp; Technology Programme of CAS [XDA24030301]</t>
  </si>
  <si>
    <t>Yunnan Fundamental Research Projects; Natural Science Foundation of China(National Natural Science Foundation of China (NSFC)); Strategic Leading Science &amp; Technology Programme of CAS</t>
  </si>
  <si>
    <t>This work was supported by the Yunnan Fundamental Research Projects(2019FA010 and 2019FB029),Natural Science Foundation of China(31671275), and Strategic Leading Science &amp; Technology Programme (XDA24030301) of CAS.</t>
  </si>
  <si>
    <t>10.1093/jxb/erab391</t>
  </si>
  <si>
    <t>YO1BI</t>
  </si>
  <si>
    <t>WOS:000747681600016</t>
  </si>
  <si>
    <t>Jiang, XD; Zhong, MC; Dong, X; Li, SB; Hu, JY</t>
  </si>
  <si>
    <t>Jiang, Xiao-Dong; Zhong, Mi-Cai; Dong, Xue; Li, Shu-Bin; Hu, Jin-Yong</t>
  </si>
  <si>
    <t>Rosoideae-specific duplication and functional diversification of FT-like genes in Rosaceae</t>
  </si>
  <si>
    <t>HORTICULTURE RESEARCH</t>
  </si>
  <si>
    <t>Letter</t>
  </si>
  <si>
    <t>GROWTH</t>
  </si>
  <si>
    <t>Jiang, Xiao-Dong</t>
  </si>
  <si>
    <t>[Jiang, Xiao-Dong; Zhong, Mi-Cai; Dong, Xue; Hu, Jin-Yong] Chinese Acad Sci, Kunming Inst Bot, CAS Key Lab Plant Div &amp; Biogeog East Asia, Kunming 650201, Yunnan, Peoples R China; [Dong, Xue] Chinese Acad Sci, Kunming Inst Bot, Germplasm Bank Wild Species, Kunming 650201, Yunnan, Peoples R China; [Li, Shu-Bin] Yunnan Agr Acad Sci, Flower Res Inst, Kunming 650231, Yunnan, Peoples R China; [Jiang, Xiao-Dong] Univ Chinese Acad Sci, Kunming Coll Life Sci, Kunming 650204, Yunnan, Peoples R China</t>
  </si>
  <si>
    <t>Hu, JY (通讯作者)，Chinese Acad Sci, Kunming Inst Bot, CAS Key Lab Plant Div &amp; Biogeog East Asia, Kunming 650201, Yunnan, Peoples R China.;Li, SB (通讯作者)，Yunnan Agr Acad Sci, Flower Res Inst, Kunming 650231, Yunnan, Peoples R China.</t>
  </si>
  <si>
    <t>hujinyong@mail.kib.ac.cn</t>
  </si>
  <si>
    <t>micai, zhong/HGD-7294-2022</t>
  </si>
  <si>
    <t>Strategic Priority Research Program of the Chinese Academy of Sciences [XDB31000000]; Germplasm Bank of Wild Species, Kunming Institute of Botany, Chinese Academy of Sciences [E16O9111D1]; Science and Technology Foundation of Yunnan Province [202001AS070007]</t>
  </si>
  <si>
    <t>Strategic Priority Research Program of the Chinese Academy of Sciences(Chinese Academy of Sciences); Germplasm Bank of Wild Species, Kunming Institute of Botany, Chinese Academy of Sciences; Science and Technology Foundation of Yunnan Province</t>
  </si>
  <si>
    <t>We appreciate Shulan Chen, Hongyuan Yu, Yuanlin Lv, and Wang Xi for their help in providing and cultivating the rose plants. We acknowledge Kai-Xue Tang and Jiu-Xia Zhao for useful discussions. This work was partially facilitated by the Germplasm Bank of Wild Species and the Kunming Botanical Garden, Kunming Institute of Botany, Chinese Academy of Sciences. Research was supported by the Strategic Priority Research Program of the Chinese Academy of Sciences (XDB31000000), the Germplasm Bank of Wild Species, Kunming Institute of Botany, Chinese Academy of Sciences (E16O9111D1) to J-Y H, and the Science and Technology Foundation of Yunnan Province to S-B L (202001AS070007).</t>
  </si>
  <si>
    <t>2662-6810</t>
  </si>
  <si>
    <t>2052-7276</t>
  </si>
  <si>
    <t>HORTIC RES-ENGLAND</t>
  </si>
  <si>
    <t>Hortic. Res.-England</t>
  </si>
  <si>
    <t>JAN 5</t>
  </si>
  <si>
    <t>uhac059</t>
  </si>
  <si>
    <t>10.1093/hr/uhac059</t>
  </si>
  <si>
    <t>Plant Sciences; Genetics &amp; Heredity; Horticulture</t>
  </si>
  <si>
    <t>Plant Sciences; Genetics &amp; Heredity; Agriculture</t>
  </si>
  <si>
    <t>3C5VQ</t>
  </si>
  <si>
    <t>WOS:000828691700039</t>
  </si>
  <si>
    <t>Wu, SB; Wu, D; Song, J; Zhang, YY; Tan, Q; Yang, TQ; Yang, JY; Wang, SB; Xu, JC; Xu, W; Liu, AZ</t>
  </si>
  <si>
    <t>Wu, Shibo; Wu, Di; Song, Juan; Zhang, Yanyu; Tan, Qing; Yang, Tianquan; Yang, Jingya; Wang, Songbiao; Xu, Jianchu; Xu, Wei; Liu, Aizhong</t>
  </si>
  <si>
    <t>Metabolomic and transcriptomic analyses reveal new insights into the role of abscisic acid in modulating mango fruit ripening</t>
  </si>
  <si>
    <t>MANGIFERA-INDICA L.; TRIGGERING ETHYLENE BIOSYNTHESIS; POSTHARVEST PHYSIOLOGY; ACCUMULATION; EXPRESSION; TOMATO; KEITT; ABA; NETWORK; QUANTIFICATION</t>
  </si>
  <si>
    <t>Mango (Mangifera indica L.) is a climacteric tropical fruit consumed around the world. Although ethylene and abscisic acid (ABA) have been considered to be stimulators that trigger mango fruit ripening, their regulation mechanisms in modulating mango fruit ripening remain uncertain. In this study, we performed integrative analyses of metabolome and transcriptome data combined with a series of physiological and experimental analyses in the 'Keitt' mango, and we characterized changes in accumulation of specific metabolites at different stages during fruit development and ripening, which were strongly correlated with transcriptional changes and embodied physiological changes as well as taste formation. Specifically, we found that ABA, rather than ethylene, was highly associated with mango ripening, and exogenous ABA application promoted mango fruit ripening. Transcriptomic analysis identified diverse ripening-related genes involved in sugar and carotenoid biosynthesis and softening-related metabolic processes. Furthermore, networks of ABA- and ripening-related genes (such as MiHY5, MiGBF4, MiABI5, and MibZIP9) were constructed, and the direct regulation by the key ABA-responsive transcription factor MiHY5 of ripening-related genes was experimentally confirmed by a range of evidence. Taken together, our results indicate that ABA plays a key role in directly modulating mango fruit ripening through MiHY5, suggesting the need to reconsider how we understand ABA function in modulating climacteric fruit ripening.</t>
  </si>
  <si>
    <t>Wu, Shibo</t>
  </si>
  <si>
    <t>[Wu, Shibo; Wu, Di; Song, Juan; Zhang, Yanyu; Tan, Qing; Yang, Jingya; Xu, Jianchu; Xu, Wei] Chinese Acad Sci, Kunming Inst Bot, Key Lab Econ Plants &amp; Biotechnol, 132 Lanhei Rd, Kunming 650201, Yunnan, Peoples R China; [Liu, Aizhong] Southwest Forestry Univ, Minist Educ, Key Lab Forest Resource Conservat &amp; Utilizat Sout, Kunming 650224, Yunnan, Peoples R China; [Yang, Tianquan] Chinese Acad Sci, Kunming Inst Bot, Germplasm Bank Wild Species, Kunming 650201, Yunnan, Peoples R China; [Wu, Shibo; Wu, Di; Zhang, Yanyu; Tan, Qing; Yang, Jingya] Univ Chinese Acad Sci, Beijing 100049, Peoples R China; [Wang, Songbiao] Chinese Acad Trop Agr Sci, South Subtrop Crops Res Inst, Minist Agr, Key Lab Trop Fruit Biol, Zhanjiang 524091, Peoples R China</t>
  </si>
  <si>
    <t>Chinese Academy of Sciences; Kunming Institute of Botany, CAS; Southwest Forestry University - China; Chinese Academy of Sciences; Kunming Institute of Botany, CAS; Chinese Academy of Sciences; University of Chinese Academy of Sciences, CAS; Chinese Academy of Tropical Agricultural Sciences; Ministry of Agriculture &amp; Rural Affairs</t>
  </si>
  <si>
    <t>Xu, JC; Xu, W (通讯作者)，Chinese Acad Sci, Kunming Inst Bot, Key Lab Econ Plants &amp; Biotechnol, 132 Lanhei Rd, Kunming 650201, Yunnan, Peoples R China.;Liu, AZ (通讯作者)，Southwest Forestry Univ, Minist Educ, Key Lab Forest Resource Conservat &amp; Utilizat Sout, Kunming 650224, Yunnan, Peoples R China.;Wang, SB (通讯作者)，Chinese Acad Trop Agr Sci, South Subtrop Crops Res Inst, Minist Agr, Key Lab Trop Fruit Biol, Zhanjiang 524091, Peoples R China.</t>
  </si>
  <si>
    <t>wangsongbiao@catas.cn; jxu@mail.kib.ac.cn; xuwei@mail.ki.ac.cn; liuaizhong@mail.kib.ac.cn</t>
  </si>
  <si>
    <t>Xu, Wei/0000-0003-0581-7872</t>
  </si>
  <si>
    <t>Department of Science and Technology of Yunnan, China [202003 AD150004]</t>
  </si>
  <si>
    <t>Department of Science and Technology of Yunnan, China</t>
  </si>
  <si>
    <t>This work was supported by the Department of Science and Technology of Yunnan, China (Grant No. 202003 AD150004). We are grateful to the Service Center for Experimental Biotechnology at the Kunming Institute of Botany, CAS, for supporting plant cultivation and instrument. We are also grateful to Dr Fei Li (Service Center for Experimental Biotechnology) for his assistance in ethylene production analysis.</t>
  </si>
  <si>
    <t>uhac102</t>
  </si>
  <si>
    <t>10.1093/hr/uhac102</t>
  </si>
  <si>
    <t>WOS:000828691700036</t>
  </si>
  <si>
    <t>Zhang, RG; Li, GY; Wang, XL; Dainat, J; Wang, ZX; Ou, SJ; Ma, YP</t>
  </si>
  <si>
    <t>Zhang, Ren-Gang; Li, Guang-Yuan; Wang, Xiao-Ling; Dainat, Jacques; Wang, Zhao-Xuan; Ou, Shujun; Ma, Yongpeng</t>
  </si>
  <si>
    <t>TEsorter: An accurate and fast method to classify LTR-retrotransposons in plant genomes</t>
  </si>
  <si>
    <t>TRANSPOSABLE ELEMENTS; CLASSIFICATION</t>
  </si>
  <si>
    <t>Zhang, Ren-Gang</t>
  </si>
  <si>
    <t>[Zhang, Ren-Gang; Ma, Yongpeng] Chinese Acad Sci, Kunming Inst Bot, Yunnan Key Lab Integrat Conservat Plant Species E, Kunming 650201, Yunnan, Peoples R China; [Zhang, Ren-Gang; Li, Guang-Yuan] Ori Shandong Gene Sci &amp; Technol Co Ltd, Dept Bioinformat, Weifang 261322, Shandong, Peoples R China; [Wang, Xiao-Ling] BGI Shenzhen, Shenzhen 518083, Peoples R China; [Dainat, Jacques] Uppsala Univ, Dept Med Biochem &amp; Microbiol, Natl Bioinformat Infrastruct Sweden, Sci Life Lab, Uppsala, Sweden; [Wang, Zhao-Xuan] Shijiazhuang Peoples Med Coll, Shijiazhuang 050091, Hebei, Peoples R China; [Ou, Shujun] Iowa State Univ, Dept Ecol Evolut &amp; Organismal Biol EEOB, Ames, IA 50010 USA</t>
  </si>
  <si>
    <t>Chinese Academy of Sciences; Kunming Institute of Botany, CAS; Beijing Genomics Institute (BGI); Uppsala University; Iowa State University</t>
  </si>
  <si>
    <t>Zhang, RG; Ma, YP (通讯作者)，Chinese Acad Sci, Kunming Inst Bot, Yunnan Key Lab Integrat Conservat Plant Species E, Kunming 650201, Yunnan, Peoples R China.;Zhang, RG (通讯作者)，Ori Shandong Gene Sci &amp; Technol Co Ltd, Dept Bioinformat, Weifang 261322, Shandong, Peoples R China.;Ou, SJ (通讯作者)，Iowa State Univ, Dept Ecol Evolut &amp; Organismal Biol EEOB, Ames, IA 50010 USA.</t>
  </si>
  <si>
    <t>zhangrengang@ori-gene.cn; oushujun@iastate.edu; mayongpeng@mail.kib.ac.cn</t>
  </si>
  <si>
    <t>Zhang, Ren-Gang/GWQ-4268-2022</t>
  </si>
  <si>
    <t>Reserve Talents for Academic and Technical Leaders of Middle-aged and Young People in Yunnan Province [2018HB066]; Ten Thousand Talent Program of Yunnan Province [YNWR-QNBJ-2018-174]; Key Basic Research Program of Yunnan Province, China [202101 BC070003]</t>
  </si>
  <si>
    <t>Reserve Talents for Academic and Technical Leaders of Middle-aged and Young People in Yunnan Province; Ten Thousand Talent Program of Yunnan Province; Key Basic Research Program of Yunnan Province, China</t>
  </si>
  <si>
    <t>This work was supported by the Reserve Talents for Academic and Technical Leaders of Middle-aged and Young People in Yunnan Province (Grant No. 2018HB066), Ten Thousand Talent Program of Yunnan Province (Grant No. YNWR-QNBJ-2018-174), and the Key Basic Research Program of Yunnan Province, China (grant no. 202101 BC070003).</t>
  </si>
  <si>
    <t>uhac017</t>
  </si>
  <si>
    <t>10.1093/hr/uhac017</t>
  </si>
  <si>
    <t>Green Published, Green Submitted, gold</t>
  </si>
  <si>
    <t>WOS:000828691700016</t>
  </si>
  <si>
    <t>Cui, WH; Du, XY; Zhong, MC; Fang, W; Suo, ZQ; Wang, D; Dong, X; Jiang, XD; Hu, JY</t>
  </si>
  <si>
    <t>Cui, Wei-Hua; Du, Xin-Yu; Zhong, Mi-Cai; Fang, Wei; Suo, Zhi-Quan; Wang, Dan; Dong, Xue; Jiang, Xiao-Dong; Hu, Jin-Yong</t>
  </si>
  <si>
    <t>Complex and reticulate origin of edible roses (Rosa, Rosaceae) in China</t>
  </si>
  <si>
    <t>NUCLEAR-DNA CONTENT; COMPLETE CHLOROPLAST GENOME; DENSITY GENETIC-MAP; GENUS ROSA; PHYLOGENETIC-RELATIONSHIPS; MOLECULAR EVIDENCE; RIBOSOMAL DNA; GARDEN ROSES; WILD ROSES; EVOLUTION</t>
  </si>
  <si>
    <t>While roses are today among the most popular ornamental plants, the petals and fruits of some cultivars have flavored foods for millennia. The genetic origins of these edible cultivars remain poorly investigated. We collected the major varieties of edible roses available in China, assembled their plastome sequences, and phased the haplotypes for internal transcribed spacers (ITS1/ITS2) of the 18S-5.8S-26S nuclear ribosomal cistron. Our phylogenetic reconstruction using 88 plastid genomes, of primarily maternal origin, uncovered well-supported genetic relationships within Rosa, including all sections and all subgenera. We phased the ITS sequences to identify potential donor species ancestral to the development of known edible cultivars. The tri-parental Middle-Eastern origin of R. x damascena, the species most widely used in perfume products and food additives, was confirmed as a descendent of past hybridizations among R. moschata, R. gallica, and R. majalis/R. fedtschenkoana/R. davurica. In contrast, R. chinensis, R. rugosa, and R. gallica, in association with six other wild species, were the main donors for fifteen varieties of edible roses. The domesticated R. rugosa 'Plena' was shown to be a hybrid between R. rugosa and R. davurica, sharing a common origin with R. 'Fenghua'. Only R. 'Jinbian' and R. 'Crimson Glory' featured continuous flowering. All remaining cultivars of edible roses bloomed only once a year. Our study provides important resources for clarifying the origin of edible roses and suggests a future for breeding new cultivars with unique traits, such as continuous flowering.</t>
  </si>
  <si>
    <t>Cui, Wei-Hua</t>
  </si>
  <si>
    <t>[Cui, Wei-Hua; Zhong, Mi-Cai; Fang, Wei; Suo, Zhi-Quan; Wang, Dan; Dong, Xue; Jiang, Xiao-Dong; Hu, Jin-Yong] Chinese Acad Sci, Kunming Inst Bot, Key Lab Plant Divers &amp; Biogeog East Asia, Kunming 650201, Yunnan, Peoples R China; [Du, Xin-Yu; Dong, Xue] Chinese Acad Sci, Kunming Inst Bot, Germplasm Bank Wild Species, Kunming 650201, Yunnan, Peoples R China; [Cui, Wei-Hua; Suo, Zhi-Quan; Wang, Dan; Jiang, Xiao-Dong] Univ Chinese Acad Sci, Kunming Coll Life Sci, Kunming 650204, Yunnan, Peoples R China</t>
  </si>
  <si>
    <t>Jiang, XD; Hu, JY (通讯作者)，Chinese Acad Sci, Kunming Inst Bot, Key Lab Plant Divers &amp; Biogeog East Asia, Kunming 650201, Yunnan, Peoples R China.;Jiang, XD (通讯作者)，Univ Chinese Acad Sci, Kunming Coll Life Sci, Kunming 650204, Yunnan, Peoples R China.</t>
  </si>
  <si>
    <t>jiangxiaodong@mail.kib.ac.cn; hujinyong@mail.kib.ac.cn</t>
  </si>
  <si>
    <t>micai, zhong/HGD-7294-2022; XINYU, DU/AHE-6763-2022</t>
  </si>
  <si>
    <t>Science and Technology Leading Talent Project of Yunnan, China [2017HA014]; Strategic Priority Research Program of the Chinese Academy of Sciences (CAS) [XDB31000000]; CAS Pioneer Hundred Talents Program [292015312D11035]; CAS Key Laboratory for Plant Diversity and Biogeography of East Asia; Yunnan Recruitment Program of Experts in Science</t>
  </si>
  <si>
    <t>Science and Technology Leading Talent Project of Yunnan, China; Strategic Priority Research Program of the Chinese Academy of Sciences (CAS); CAS Pioneer Hundred Talents Program; CAS Key Laboratory for Plant Diversity and Biogeography of East Asia; Yunnan Recruitment Program of Experts in Science</t>
  </si>
  <si>
    <t>We thank Yan-Xia Jia for measuring the C-values for all samples. We appreciate Shubin Li, Shulan Chen, Hongyuan Yu, Yuanlin Lv, Xianshui Meng, Jie Cai, and Wang Xi for their help in providing and cultivating the rose plants. We are grateful to Jun-Yun Wang for providing rose information. We acknowledge De-Zhu Li and Lian-Ming Gao for useful discussions. Prof. Peter Bernhardt served as the `word doctor'. This work was partially facilitated by the Germplasm Bank of Wild Species and the Kunming Botanical Garden, Kunming Institute of Botany, Chinese Academy of Sciences. Research was supported by the following grants: the Science and Technology Leading Talent Project of Yunnan, China (2017HA014), the Strategic Priority Research Program of the Chinese Academy of Sciences (CAS; XDB31000000), the CAS Pioneer Hundred Talents Program (292015312D11035), CAS Key Laboratory for Plant Diversity and Biogeography of East Asia, and Yunnan Recruitment Program of Experts in Science.</t>
  </si>
  <si>
    <t>uhab051</t>
  </si>
  <si>
    <t>10.1093/hr/uhab051</t>
  </si>
  <si>
    <t>0Z4KS</t>
  </si>
  <si>
    <t>WOS:000791049400011</t>
  </si>
  <si>
    <t>Li, XX; Zhang, P; Yang, Y; Wang, JJ; Zheng, YJ; Tan, JL; Liu, SY; Yan, YM; Zhang, YY; Cheng, YX; Yang, HT</t>
  </si>
  <si>
    <t>Li, Xu-xia; Zhang, Peng; Yang, Yang; Wang, Jing-jing; Zheng, Yan-jun; Tan, Ji-liang; Liu, Shen-yan; Yan, Yong-ming; Zhang, You-yi; Cheng, Yong-xian; Yang, Huang-tian</t>
  </si>
  <si>
    <t>Small molecule QF84139 ameliorates cardiac hypertrophy via activating the AMPK signaling pathway</t>
  </si>
  <si>
    <t>ACTA PHARMACOLOGICA SINICA</t>
  </si>
  <si>
    <t>cardiac hypertrophy; pyrazine derivative; QF84139; phenylephrine; transverse aortic constriction; AMPK signaling pathway</t>
  </si>
  <si>
    <t>PROTEIN-KINASE; MAMMALIAN TARGET; OVERLOAD; METFORMIN; MACROPHAGES; MECHANISMS; MEDICINE; ALPHA; CELLS; MODEL</t>
  </si>
  <si>
    <t>Cardiac hypertrophy is a common adaptive response to a variety of stimuli, but prolonged hypertrophy leads to heart failure. Hence, discovery of agents treating cardiac hypertrophy is urgently needed. In the present study, we investigated the effects of QF84139, a newly synthesized pyrazine derivative, on cardiac hypertrophy and the underlying mechanisms. In neonatal rat cardiomyocytes (NRCMs), pretreatment with QF84139 (1-10 mu M) concentration-dependently inhibited phenylephrine-induced hypertrophic responses characterized by fetal genes reactivation, increased ANP protein level and enlarged cardiomyocytes. In adult male mice, administration of QF84139 (5-90 mg center dot kg(-1)center dot d(-1), i.p., for 2 weeks) dose-dependently reversed transverse aortic constriction (TAC)-induced cardiac hypertrophy displayed by cardiomyocyte size, left ventricular mass, heart weights, and reactivation of fetal genes. We further revealed that QF84139 selectively activated the AMPK signaling pathway without affecting the phosphorylation of CaMKII delta, ERK1/2, AKT, PKC epsilon, and P38 kinases in phenylephrine-treated NRCMs and in the hearts of TAC-treated mice. In NRCMs, QF84139 did not show additive effects with metformin on the AMPK activation, whereas the anti-hypertrophic effect of QF84139 was abolished by an AMPK inhibitor Compound C or knockdown of AMPK alpha 2. In AMPK alpha 2-deficient mice, the anti-hypertrophic effect of QF84139 was also vanished. These results demonstrate that QF84139 attenuates the PE- and TAC-induced cardiac hypertrophy via activating the AMPK signaling. This structurally novel compound would be a promising lead compound for developing effective agents for the treatment of cardiac hypertrophy.</t>
  </si>
  <si>
    <t>Li, Xu-xia</t>
  </si>
  <si>
    <t>[Li, Xu-xia; Zhang, Peng; Zheng, Yan-jun; Tan, Ji-liang; Liu, Shen-yan; Yang, Huang-tian] Chinese Acad Sci, Univ Chinese Acad Sci, CAS Key Lab Tissue Microenvironm &amp; Tumor, Lab Mol Cardiol,Shanghai Inst Nutr &amp; Hlth, Shanghai 200031, Peoples R China; [Yang, Yang; Yan, Yong-ming; Cheng, Yong-xian] Chinese Acad Sci, Kunming Inst Bot, State Key Lab Phytochem &amp; Plant Resources West Ch, Kunming 650201, Yunnan, Peoples R China; [Wang, Jing-jing; Zhang, You-yi] Peking Univ Third Hosp, Dept Cardiol, Beijing 100191, Peoples R China; [Wang, Jing-jing; Zhang, You-yi] Peking Univ Third Hosp, Inst Vasc Med, Beijing 100191, Peoples R China; [Wang, Jing-jing; Zhang, You-yi] NHC Key Lab Cardiovasc Mol Biol &amp; Regulatory Pept, Beijing 100191, Peoples R China; [Wang, Jing-jing; Zhang, You-yi] Minist Educ, Beijing Key Lab Cardiovasc Receptors Res, Key Lab Mol Cardiovasc Sci, Beijing 100191, Peoples R China; [Cheng, Yong-xian] Shenzhen Univ, Hlth Sci Ctr, Sch Pharmaceut Sci, Shenzhen 518060, Peoples R China; [Yang, Huang-tian] Shanghai Jiao Tong Univ Affiliated Peoples Hosp 6, Dept Cardiol, Shanghai 200233, Peoples R China; [Yang, Huang-tian] Chinese Acad Sci, Inst Stem Cell &amp; Regenerat, Beijing 100101, Peoples R China</t>
  </si>
  <si>
    <t>Chinese Academy of Sciences; Shanghai Institute of Nutrition &amp; Health, CAS; University of Chinese Academy of Sciences, CAS; Chinese Academy of Sciences; Kunming Institute of Botany, CAS; Peking University; Peking University; Shenzhen University; Shanghai Jiao Tong University; Chinese Academy of Sciences</t>
  </si>
  <si>
    <t>Yang, HT (通讯作者)，Chinese Acad Sci, Univ Chinese Acad Sci, CAS Key Lab Tissue Microenvironm &amp; Tumor, Lab Mol Cardiol,Shanghai Inst Nutr &amp; Hlth, Shanghai 200031, Peoples R China.;Cheng, YX (通讯作者)，Chinese Acad Sci, Kunming Inst Bot, State Key Lab Phytochem &amp; Plant Resources West Ch, Kunming 650201, Yunnan, Peoples R China.;Cheng, YX (通讯作者)，Shenzhen Univ, Hlth Sci Ctr, Sch Pharmaceut Sci, Shenzhen 518060, Peoples R China.;Yang, HT (通讯作者)，Shanghai Jiao Tong Univ Affiliated Peoples Hosp 6, Dept Cardiol, Shanghai 200233, Peoples R China.;Yang, HT (通讯作者)，Chinese Acad Sci, Inst Stem Cell &amp; Regenerat, Beijing 100101, Peoples R China.</t>
  </si>
  <si>
    <t>yxcheng@szu.edu.cn; htyang@sibs.ac.cn</t>
  </si>
  <si>
    <t>, Wang/0000-0002-5119-3960</t>
  </si>
  <si>
    <t>National Natural Science Foundation of China [81770402, 81520108004]; Strategic Priority Research Program of the CAS [XDA16010201]; National Key R&amp;D Program of China [2017YFA0103700]; Shanghai Jiao Tong University Affiliated Sixth People's Hospital; National Science Fund for Distinguished Young Scholars [81525026]</t>
  </si>
  <si>
    <t>National Natural Science Foundation of China(National Natural Science Foundation of China (NSFC)); Strategic Priority Research Program of the CAS; National Key R&amp;D Program of China; Shanghai Jiao Tong University Affiliated Sixth People's Hospital; National Science Fund for Distinguished Young Scholars(National Natural Science Foundation of China (NSFC)National Science Fund for Distinguished Young Scholars)</t>
  </si>
  <si>
    <t>This work was supported by the National Natural Science Foundation of China (81770402; 81520108004 to H-tY), Strategic Priority Research Program of the CAS (No. XDA16010201 to HTY), National Key R&amp;D Program of China (2017YFA0103700 to HTY), the research funding from Shanghai Jiao Tong University Affiliated Sixth People's Hospital to HTY and National Science Fund for Distinguished Young Scholars (81525026 to YXC). We thank Prof. Yong Ji (Nanjing Medical University, Nanjing, China) for valuable scientific advice. We also thank Dr. Jin-xi Wang and Dr. Shan-shan Gu (Shanghai Institute of Nutrition and Health, Shanghai, China) for the technical support.</t>
  </si>
  <si>
    <t>NATURE PUBL GROUP</t>
  </si>
  <si>
    <t>MACMILLAN BUILDING, 4 CRINAN ST, LONDON N1 9XW, ENGLAND</t>
  </si>
  <si>
    <t>1671-4083</t>
  </si>
  <si>
    <t>1745-7254</t>
  </si>
  <si>
    <t>ACTA PHARMACOL SIN</t>
  </si>
  <si>
    <t>Acta Pharmacol. Sin.</t>
  </si>
  <si>
    <t>10.1038/s41401-021-00678-5</t>
  </si>
  <si>
    <t>MAY 2021</t>
  </si>
  <si>
    <t>Chemistry, Multidisciplinary; Pharmacology &amp; Pharmacy</t>
  </si>
  <si>
    <t>Chemistry; Pharmacology &amp; Pharmacy</t>
  </si>
  <si>
    <t>ZK2TH</t>
  </si>
  <si>
    <t>WOS:000648507200001</t>
  </si>
  <si>
    <t>Yao, XP; Jiao, TY; Jiang, YM; Fan, SC; Zhao, YY; Yang, X; Gao, Y; Li, F; Zhou, YY; Chen, PP; Huang, M; Bi, HC</t>
  </si>
  <si>
    <t>Yao, Xin-peng; Jiao, Ting-ying; Jiang, Yi-ming; Fan, Shi-cheng; Zhao, Ying-yuan; Yang, Xiao; Gao, Yue; Li, Fei; Zhou, Yan-ying; Chen, Pan-pan; Huang, Min; Bi, Hui-chang</t>
  </si>
  <si>
    <t>PXR mediates mifepristone-induced hepatomegaly in mice</t>
  </si>
  <si>
    <t>mifepristone; hepatomegaly; pregnane X receptor (PXR); yes-associated protein (YAP)</t>
  </si>
  <si>
    <t>Mifepristone (Mif), an effective synthetic steroidal antiprogesterone drug, is widely used for medical abortion and pregnancy prevention. Due to its anti-glucocorticoid effect, high-dose Mif is also used to treat Cushing's syndrome. Mif was reported to active pregnane X receptor (PXR) in vitro and PXR can induce hepatomegaly via activation and interaction with yes-associated protein (YAP) pathway. High-dose Mif was reported to induce hepatomegaly in rats and mice, but the underlying mechanism remains unclear. Here, the role of PXR was studied in Mif-induced hepatomegaly in C57BL/6 mice and Pxr-knockout mice. The results demonstrated that high-dose Mif (100 mg center dot kg(-1) center dot d(-1), i.p.) treatment for 5 days significantly induced hepatomegaly with enlarged hepatocytes and promoted proliferation, but low dose of Mif (5 mg center dot kg(-1) center dot d(-1), i.p.) cannot induce hepatomegaly. The dual-luciferase reporter gene assays showed that Mif can activate human PXR in a concentration-dependent manner. In addition, Mif could promote nuclear translocation of PXR and YAP, and significantly induced the expression of PXR, YAP, and their target proteins such as CYP3A11, CYP2B10, UGT1A1, ANKRD, and CTGF. However, Mif (100 mg center dot kg(-1) center dot d(-1), i.p.) failed to induce hepatomegaly in Pxr-knockout mice, as well as hepatocyte enlargement and proliferation, further indicating that Mif-induced hepatomegaly is PXR-dependent. In summary, this study demonstrated that PXR-mediated Mif-induced hepatomegaly in mice probably via activation of YAP pathway. This study provides new insights in Mif-induced hepatomegaly, and provides novel evidence on the crucial function of PXR in liver enlargement and regeneration.</t>
  </si>
  <si>
    <t>Yao, Xin-peng</t>
  </si>
  <si>
    <t>[Yao, Xin-peng; Jiao, Ting-ying; Jiang, Yi-ming; Fan, Shi-cheng; Zhao, Ying-yuan; Yang, Xiao; Gao, Yue; Zhou, Yan-ying; Chen, Pan-pan; Huang, Min; Bi, Hui-chang] Sun Yat Sen Univ, Sch Pharmaceut Sci, Guangdong Prov Key Lab New Drug Design &amp; Evaluat, Guangzhou 510006, Peoples R China; [Li, Fei] Chinese Acad Sci, Kunming Inst Bot, Kunming 650201, Yunnan, Peoples R China; [Bi, Hui-chang] Southern Med Univ, Sch Pharm, Guangzhou 510515, Peoples R China</t>
  </si>
  <si>
    <t>Sun Yat Sen University; Chinese Academy of Sciences; Kunming Institute of Botany, CAS; Southern Medical University - China</t>
  </si>
  <si>
    <t>Bi, HC (通讯作者)，Sun Yat Sen Univ, Sch Pharmaceut Sci, Guangdong Prov Key Lab New Drug Design &amp; Evaluat, Guangzhou 510006, Peoples R China.;Bi, HC (通讯作者)，Southern Med Univ, Sch Pharm, Guangzhou 510515, Peoples R China.</t>
  </si>
  <si>
    <t>bihchang@mail.sysu.edu.cn</t>
  </si>
  <si>
    <t>National Natural Science Foundation of China [81973392, 82025034]; National Key Research and Development Program [2017YFE0109900]; Shenzhen Science and Technology Program [KQTD20190929174023858]; Natural Science Foundation of Guangdong [2017A030311018]; 111 project [B16047]; Key Laboratory Foundation of Guangdong Province [2017B030314030]; Local Innovative and Research Teams Project of Guangdong Pearl River Talents Program [2017BT01Y093]; National Engineering and Technology Research Center for New drug Druggability Evaluation [2017B090903004]</t>
  </si>
  <si>
    <t>National Natural Science Foundation of China(National Natural Science Foundation of China (NSFC)); National Key Research and Development Program; Shenzhen Science and Technology Program; Natural Science Foundation of Guangdong(National Natural Science Foundation of Guangdong Province); 111 project(Ministry of Education, China - 111 Project); Key Laboratory Foundation of Guangdong Province; Local Innovative and Research Teams Project of Guangdong Pearl River Talents Program; National Engineering and Technology Research Center for New drug Druggability Evaluation</t>
  </si>
  <si>
    <t>The work was supported by the National Natural Science Foundation of China (Grants: 81973392, 82025034); the National Key Research and Development Program (Grant: 2017YFE0109900); the Shenzhen Science and Technology Program (KQTD20190929174023858); the Natural Science Foundation of Guangdong (Grant: 2017A030311018); the 111 project (Grant: B16047); the Key Laboratory Foundation of Guangdong Province (Grant: 2017B030314030); the Local Innovative and Research Teams Project of Guangdong Pearl River Talents Program (2017BT01Y093); and the National Engineering and Technology Research Center for New drug Druggability Evaluation (Seed Program of Guangdong Province, 2017B090903004).</t>
  </si>
  <si>
    <t>10.1038/s41401-021-00633-4</t>
  </si>
  <si>
    <t>MAR 2021</t>
  </si>
  <si>
    <t>YA0WH</t>
  </si>
  <si>
    <t>WOS:000634685300001</t>
  </si>
  <si>
    <t>Li, X; Li, BQ; Zheng, Y; Luo, LD; Qin, XS; Yang, YP; Xu, JC</t>
  </si>
  <si>
    <t>Li, Xiong; Li, Boqun; Zheng, Yan; Luo, Landi; Qin, Xiangshi; Yang, Yongping; Xu, Jianchu</t>
  </si>
  <si>
    <t>Physiological and rhizospheric response characteristics to cadmium of a newly identified cadmium accumulator Coreopsis grandiflora Hogg. (Asteraceae)</t>
  </si>
  <si>
    <t>ECOTOXICOLOGY AND ENVIRONMENTAL SAFETY</t>
  </si>
  <si>
    <t>Coreopsis grandiflora; Cd accumulator; Phytoextraction; Amino acid metabolism; Plant growth-promoting microorganism</t>
  </si>
  <si>
    <t>TOLERANCE; STRESS; GROWTH; PHYTOREMEDIATION; TAILINGS; COPPER; PLANTS</t>
  </si>
  <si>
    <t>Screening for superior cadmium (Cd) phytoremediation resources and uncovering the mechanisms of plant response to Cd are important for effective phytoremediation of Cd-polluted soils. In this study, the characteristics of Coreopsis grandiflora related to Cd tolerance and accumulation were analyzed to evaluate its Cd phytoremediation potential. The results revealed that C. grandiflora can tolerate up to 20 mg kg(-1) of Cd in the soil. This species showed relatively high shoot bioconcentration factors (1.09-1.85) and translocation factors (0.46-0.97) when grown in soils spiked with 5-45 mg kg(-1) Cd, suggesting that C. grandiflora is a Cd accumulator and can potentially be used for Cd phytoextraction. Physiological analysis indicated that antioxidant enzymes (i.e., superoxide dismutase, peroxidase, and catalase) and various free amino acids (e.g., proline, histidine, and methionine) participate in Cd detoxification in C. grandiflora grown in soil spiked with 20 mg kg(-1) of Cd (Cd20). The overall microbial richness and diversity remained similar between the control (Cd0) and Cd20 soils. However, the abundance of multiple rhizospheric microbial taxa was altered in the Cd20 soil compared with that in the Cd0 soil. Interestingly, many plant growth-promoting microorganisms (e.g., Nocardioides, Flavisolibacter, Rhizobium, Achromobacter, and Penicillium) enriched in the Cd20 soil likely contributed to the growth and vitality of C. grandiflora under Cd stress. Among these, some microorganisms (e.g., Rhizobium, Achromobacter, and Penicillium) likely affected Cd uptake by C. grandiflora. These abundant plant growth-promoting microorganisms potentially interacted with soil pH and the concentrations of Cd and AK in soil. Notably, potassium-solubilizing microbes (e.g., Rhizobium and Penicillium) may effectively solubilize potassium to assist Cd uptake by C. grandiflora. This study provides a new plant resource for Cd phytoextraction and improves our understanding of rhizosphere-associated mechanisms of plant adaptation to Cd-contaminated soil.</t>
  </si>
  <si>
    <t>[Li, Xiong; Xu, Jianchu] Chinese Acad Sci, Kunming Inst Bot, Dept Econ Plants &amp; Biotechnol, Yunnan Key Lab Wild Plant Resources, Kunming 650201, Yunnan, Peoples R China; [Li, Xiong; Xu, Jianchu] Chinese Acad Sci, Honghe Ctr Mt Futures, Kunming Inst Bot, Honghe 654400, Peoples R China; [Li, Boqun] Chinese Acad Sci, Sci &amp; Technol Informat Ctr, Kunming Inst Bot, Kunming 650201, Yunnan, Peoples R China; [Zheng, Yan; Luo, Landi; Qin, Xiangshi; Yang, Yongping] Chinese Acad Sci, Kunming Inst Bot, Germplasm Bank Wild Species, Kunming 650201, Yunnan, Peoples R China; [Luo, Landi; Yang, Yongping] Chinese Acad Sci, Xishuangbanna Trop Bot Garden, Xishuangbanna 666303, Peoples R China</t>
  </si>
  <si>
    <t>Chinese Academy of Sciences; Kunming Institute of Botany, CAS; Chinese Academy of Sciences; Kunming Institute of Botany, CAS; Chinese Academy of Sciences; Kunming Institute of Botany, CAS; Chinese Academy of Sciences; Kunming Institute of Botany, CAS; Chinese Academy of Sciences; Xishuangbanna Tropical Botanical Garden, CAS</t>
  </si>
  <si>
    <t>Li, X (通讯作者)，Chinese Acad Sci, Kunming Inst Bot, 132 Lanhei Rd, Kunming 650201, Yunnan, Peoples R China.</t>
  </si>
  <si>
    <t>lixiong@mail.kib.ac.cn</t>
  </si>
  <si>
    <t>Youth Innovation Promotion Association CAS [2020387]</t>
  </si>
  <si>
    <t>Youth Innovation Promotion Association CAS</t>
  </si>
  <si>
    <t>This study was financially supported by the Youth Innovation Promotion Association CAS (2020387) .</t>
  </si>
  <si>
    <t>ACADEMIC PRESS INC ELSEVIER SCIENCE</t>
  </si>
  <si>
    <t>SAN DIEGO</t>
  </si>
  <si>
    <t>525 B ST, STE 1900, SAN DIEGO, CA 92101-4495 USA</t>
  </si>
  <si>
    <t>0147-6513</t>
  </si>
  <si>
    <t>1090-2414</t>
  </si>
  <si>
    <t>ECOTOX ENVIRON SAFE</t>
  </si>
  <si>
    <t>Ecotox. Environ. Safe.</t>
  </si>
  <si>
    <t>AUG</t>
  </si>
  <si>
    <t>10.1016/j.ecoenv.2022.113739</t>
  </si>
  <si>
    <t>Environmental Sciences; Toxicology</t>
  </si>
  <si>
    <t>Environmental Sciences &amp; Ecology; Toxicology</t>
  </si>
  <si>
    <t>3I4US</t>
  </si>
  <si>
    <t>WOS:000832714500008</t>
  </si>
  <si>
    <t>Li, M; She, XL; Ou, YF; Liu, JX; Yuan, ZF; Zhao, QS</t>
  </si>
  <si>
    <t>Li, Meng; She, Xianlan; Ou, Yufei; Liu, Jiangxin; Yuan, Zaifeng; Zhao, Qin-shi</t>
  </si>
  <si>
    <t>Design, synthesis and biological evaluation of a new class of Hsp90 inhibitors vibsanin C derivatives</t>
  </si>
  <si>
    <t>EUROPEAN JOURNAL OF MEDICINAL CHEMISTRY</t>
  </si>
  <si>
    <t>Natural product; Vibsanin C; Hsp90 inhibitor; Antitumor</t>
  </si>
  <si>
    <t>PROTEIN 90 INHIBITORS; GELDANAMYCIN DERIVATIVES; POTENT; DISCOVERY; NOVOBIOCIN; DOMAIN; ACID</t>
  </si>
  <si>
    <t>Hsp90, an ATP-dependent chaperone that is essential for a wide range of protein assembly and folding processes, has long been recognized as a potential target for cancer. Hsp90 has more recently been identified as having a significant pathogenic role in viral infection, neurodegenerative disease, and inflammation, therefore, the development of the agents to inhibit the chaperone could potentially treat such intractable diseases. Here, on the basis of primary structure-activity relationships and docking analysis, a series of novel vibsanin C analogues with an emphasis on the C18 position was first designed, synthesized and biologically evaluated. The most effective Hsp90 inhibitory activity among these analogues was demonstrated by 29 and 31, with IC50 values of 0.39 and 0.27 mu M respectively. Direct interaction between Hsp90 and its inhibitors were further confirmed. Mechanism studies indicated that 29 promoted HL-60 cell apoptosis by mitochondrial-mediated apoptosis pathway. In addition, 29 suppressed tumor growth in the H22 tumor-bearing mice model and revealed low acute toxicity in mice (LD50 &gt; 500 mg/kg), suggesting its potential for further investigations.</t>
  </si>
  <si>
    <t>Li, Meng</t>
  </si>
  <si>
    <t>[Li, Meng; She, Xianlan; Ou, Yufei; Liu, Jiangxin; Yuan, Zaifeng; Zhao, Qin-shi] Chinese Acad Sci, Kunming Inst Bot, State Key Lab Phytochemistry &amp; Plant Resources Wes, Kunming 650201, Peoples R China; [Li, Meng; She, Xianlan; Ou, Yufei] Univ Chinese Acad Sci, Beijing 100049, Peoples R China</t>
  </si>
  <si>
    <t>Liu, JX; Yuan, ZF; Zhao, QS (通讯作者)，Chinese Acad Sci, Kunming Inst Bot, State Key Lab Phytochemistry &amp; Plant Resources Wes, Kunming 650201, Peoples R China.</t>
  </si>
  <si>
    <t>liujiangxin@mail.kib.ac.cn; zaifengyuan@mail.kib.ac.cn; qinshizhao@mail.kib.ac.cn</t>
  </si>
  <si>
    <t>National Natural Science Founda-tion of China; Natural Science Foundation of Yunnan; Ten thousand talents program of Yunnan Province;  [21778059];  [81903521];  [21837003];  [202201AT070183];  [202001AT070067]</t>
  </si>
  <si>
    <t xml:space="preserve">National Natural Science Founda-tion of China(National Natural Science Foundation of China (NSFC)); Natural Science Foundation of Yunnan(Natural Science Foundation of Yunnan Province); Ten thousand talents program of Yunnan Province; ; ; ; ; </t>
  </si>
  <si>
    <t>Acknowledgements This work was supported by The National Natural Science Founda-tion of China (21778059, 81903521, 21837003) , Natural Science Foundation of Yunnan (202201AT070183, 202001AT070067) and the Ten thousand talents program of Yunnan Province (to Jiangxin Liu) .</t>
  </si>
  <si>
    <t>0223-5234</t>
  </si>
  <si>
    <t>1768-3254</t>
  </si>
  <si>
    <t>EUR J MED CHEM</t>
  </si>
  <si>
    <t>Eur. J. Med. Chem.</t>
  </si>
  <si>
    <t>10.1016/j.ejmech.2022.114844</t>
  </si>
  <si>
    <t>Chemistry, Medicinal</t>
  </si>
  <si>
    <t>5W5WE</t>
  </si>
  <si>
    <t>WOS:000877983000007</t>
  </si>
  <si>
    <t>Jiang, NN; Yue, GGL; Li, P; Ye, YS; Gomes, AJ; Kwok, FHF; Lee, JKM; Gao, S; Lau, CBS; Xu, G</t>
  </si>
  <si>
    <t>Jiang, Na-Na; Yue, Grace Gar-Lee; Li, Peng; Ye, Yan-Song; Gomes, Adele Joyce; Kwok, Frankie Hin-Fai; Lee, Julia Kin-Ming; Gao, Si; Lau, Clara Bik-San; Xu, Gang</t>
  </si>
  <si>
    <t>Discovery of dearomatized isoprenylated acylphloroglucinols with colon tumor suppressive activities in mice via inhibiting NF kappa B-FAT1-PDCD4 signaling activation</t>
  </si>
  <si>
    <t>Dearomatized isoprenylated; acylphloroglucinols; Hypericum; Colon cancer; HCT116; FAT1</t>
  </si>
  <si>
    <t>POLYPRENYLATED ACYLPHLOROGLUCINOLS; HYPERICUM; DERIVATIVES; ANTIOXIDANT; FLOWERS; FAT1</t>
  </si>
  <si>
    <t>Dearomatized isoprenylated acylphloroglucinols (DIAPs) are specific natural products mainly distributed in the plants of genus Hypericum. In this study, guided by HPLC-UV screening, 46 DIAPs (approximately 70% of all DIAPs) including 20 new ones and an unprecedented architecture, were discovered from the roots of Hypericum henryi, which were elucidated by comprehensive spectroscopic, X-ray crystallography, and ECD methods. Compounds 1-7, 39, and 41-42 exhibited remarkable cytotoxicities (IC50 = 0.84-5.63 mu M) in human colon cancer HCT116 cells, in which 2 and 6 possessed selective cytotoxicities towards colon cancer cells. The preliminary structure-activity relationships of these tested compounds were discussed. In addition, mechanistic investigations demonstrated that 2 and 6 could significantly suppress the expressions of NF kappa B, FAT1, and promoted novel tumor suppressor gene PDCD4 in HCT116 cells. Furthermore, in HCT116 colon xenograft-bearing mouse model, treatments with 2 and 6 reduced the growth of xenograft tumors in dose-dependent manner. Expressions of FAT1 in tumors were also decreased in mice treated with 2 and 6, suggesting their anti-tumor effects were via FAT1 signaling pathway. In conclusion, this is the first report on the mechanistic and in vivo studies of DIAP, indicating that these metabolites can be considered as a new type of anti-colon cancer lead agents for further drug development.</t>
  </si>
  <si>
    <t>Jiang, Na-Na</t>
  </si>
  <si>
    <t>[Jiang, Na-Na; Ye, Yan-Song; Xu, Gang] Chinese Acad Sci, Kunming Inst Bot, State Key Lab Phytochem &amp; Plant Resources West Ch, Kunming 650201, Yunnan, Peoples R China; [Jiang, Na-Na; Ye, Yan-Song; Xu, Gang] Yunnan Key Lab Nat Med Chem, Kunming 650201, Yunnan, Peoples R China; [Yue, Grace Gar-Lee; Kwok, Frankie Hin-Fai; Lee, Julia Kin-Ming; Gao, Si; Lau, Clara Bik-San] Chinese Univ Hong Kong, Inst Chinese Med, Shatin, Hong Kong, Peoples R China; [Yue, Grace Gar-Lee; Kwok, Frankie Hin-Fai; Lee, Julia Kin-Ming; Gao, Si; Lau, Clara Bik-San] Chinese Univ Hong Kong, State Key Lab Res Bioact &amp; Clin Applicat Med Plan, Shatin, Hong Kong, Peoples R China; [Li, Peng; Gomes, Adele Joyce] Chinese Univ Hong Kong, Dept Surg, Shatin, Hong Kong, Peoples R China; [Jiang, Na-Na] Univ Chinese Acad Sci, Beijing 100049, Peoples R China</t>
  </si>
  <si>
    <t>Chinese Academy of Sciences; Kunming Institute of Botany, CAS; Chinese University of Hong Kong; Chinese University of Hong Kong; Chinese University of Hong Kong; Chinese Academy of Sciences; University of Chinese Academy of Sciences, CAS</t>
  </si>
  <si>
    <t>Xu, G (通讯作者)，Chinese Acad Sci, Kunming Inst Bot, State Key Lab Phytochem &amp; Plant Resources West Ch, Kunming 650201, Yunnan, Peoples R China.;Xu, G (通讯作者)，Yunnan Key Lab Nat Med Chem, Kunming 650201, Yunnan, Peoples R China.;Lau, CBS (通讯作者)，Chinese Univ Hong Kong, Inst Chinese Med, Shatin, Hong Kong, Peoples R China.</t>
  </si>
  <si>
    <t>claralau@cuhk.edu.hk; xugang008@mail.kib.ac.cn</t>
  </si>
  <si>
    <t>Lau, Clara Bik-San/AAF-3989-2020</t>
  </si>
  <si>
    <t>Lau, Clara Bik-San/0000-0002-7409-1270</t>
  </si>
  <si>
    <t>NSFC-Joint Foundation of Yunnan Province [U1902213]; Plateau Scientific Expedition and Research (STEP) program [2019QZKK0502]; State Key Laboratory of Research on Bioactivities and Clinical Applications of Medicinal Plants (CUHK) from Innovation and Technology Commission, HKSAR</t>
  </si>
  <si>
    <t>NSFC-Joint Foundation of Yunnan Province; Plateau Scientific Expedition and Research (STEP) program; State Key Laboratory of Research on Bioactivities and Clinical Applications of Medicinal Plants (CUHK) from Innovation and Technology Commission, HKSAR</t>
  </si>
  <si>
    <t>The work was financially supported by the NSFC-Joint Foundation of Yunnan Province (U1902213), Plateau Scientific Expedition and Research (STEP) program (2019QZKK0502). This study was also partly supported by funding of the State Key Laboratory of Research on Bioactivities and Clinical Applications of Medicinal Plants (CUHK) from Innovation and Technology Commission, HKSAR.</t>
  </si>
  <si>
    <t>SEP 5</t>
  </si>
  <si>
    <t>10.1016/j.ejmech.2022.114532</t>
  </si>
  <si>
    <t>3J6US</t>
  </si>
  <si>
    <t>WOS:000833530200005</t>
  </si>
  <si>
    <t>Zhang, Y; Yang, H; Wang, FT; Peng, X; Liu, HY; Li, QJ; An, LK</t>
  </si>
  <si>
    <t>Zhang, Yu; Yang, Hao; Wang, Fang-Ting; Peng, Xing; Liu, Hai-Yang; Li, Qing-Jiang; An, Lin-Kun</t>
  </si>
  <si>
    <t>Discovery, enantioselective synthesis of myrtucommulone E analogues as tyrosyl-DNA phosphodiesterase 2 inhibitors and their biological activities</t>
  </si>
  <si>
    <t>Tyrosyl-DNA phosphodiesterase; Topoisomerase; Inhibitor; Myrtucommulone; DNA damage; Synergy; Anticancer</t>
  </si>
  <si>
    <t>SMALL-MOLECULE INHIBITORS; SELECTIVE INHIBITORS; COLORIMETRIC ASSAY; ENZYME; TOPOISOMERASES; ACTIVATION; GENERATION; CELLS; MODE; ACID</t>
  </si>
  <si>
    <t>As a recently discovered DNA repair enzyme, tyrosyl-DNA phosphodiesterase 2 (TDP2) can specifically repair topoisomerase 2 (TOP2)-mediated DNA damage, resulting in cancer cell resistance to TOP2 inhibitors. Its in-hibitors can enhance the anticancer efficacy of TOP2 inhibitors. In this work, we report the discovery of natural product myrtucommulone E as selective TDP2 inhibitor and its first enantioselective total synthesis through a pivotal CPA-catalyzed Michael addition reaction. A series of myrtucommulone E analogues were asymmetrically synthesized and evaluated for TDP2 and TDP1 inhibitions, and cytotoxicity. Analogue (+)-29 shows good TDP2 inhibition potency (5.4 +/- 0.25 mu M), but no TDP1 inhibition at 100 mu M concentration, and can significantly enhance the cytotoxicity of TOP2 inhibitor etoposide in both DU145 (CI = 0.26) and DT40 hTDP2 cells (CI = 0.48).</t>
  </si>
  <si>
    <t>Zhang, Yu</t>
  </si>
  <si>
    <t>[Zhang, Yu; Yang, Hao; Wang, Fang-Ting; Peng, Xing; Li, Qing-Jiang; An, Lin-Kun] Sun Yat sen Univ, Sch Pharmaceut Sci, Guangzhou 510006, Peoples R China; [Liu, Hai-Yang] Chinese Acad Sci, Kunming Inst Bot, State Key Lab Phytochem &amp; Plant Resources West Chi, Kunming 650201, Peoples R China; [An, Lin-Kun] Guangdong Prov Key Lab New Drug Design &amp; Evaluat, Guangzhou 510006, Peoples R China</t>
  </si>
  <si>
    <t>Sun Yat Sen University; Chinese Academy of Sciences; Kunming Institute of Botany, CAS</t>
  </si>
  <si>
    <t>Li, QJ; An, LK (通讯作者)，Sun Yat sen Univ, Sch Pharmaceut Sci, Guangzhou 510006, Peoples R China.</t>
  </si>
  <si>
    <t>liqingj3@mail.sysu.edu.cn; lssalk@mail.sysu.edu.cn</t>
  </si>
  <si>
    <t>Zhang, Yu/0000-0003-3179-0538</t>
  </si>
  <si>
    <t>Guangdong Basic and Applied Basic Research Foundation [2019A1515011317, 2214050005435]; Guangdong Provincial Key Laboratory of Construction Foundation [2017B030314030]</t>
  </si>
  <si>
    <t>Guangdong Basic and Applied Basic Research Foundation; Guangdong Provincial Key Laboratory of Construction Foundation</t>
  </si>
  <si>
    <t>Acknowledgment This work was supported by the Guangdong Basic and Applied Basic Research Foundation (No. 2019A1515011317, 2214050005435) , Guangdong Provincial Key Laboratory of Construction Foundation (No. 2017B030314030) .</t>
  </si>
  <si>
    <t>AUG 5</t>
  </si>
  <si>
    <t>10.1016/j.ejmech.2022.114445</t>
  </si>
  <si>
    <t>1X0OF</t>
  </si>
  <si>
    <t>WOS:000807163000001</t>
  </si>
  <si>
    <t>Xiong, F; Kong, LM; Chen, L; Xue, MG; Cao, F; Zhang, SQ; Li, HM; Yan, H; Li, Y; Zuo, ZL</t>
  </si>
  <si>
    <t>Xiong, Feng; Kong, Lingmei; Chen, Liang; Xue, Minggao; Cao, Feng; Zhang, Shuqun; Li, Hongmei; Yan, Hui; Li, Yan; Zuo, Zhili</t>
  </si>
  <si>
    <t>Discovery of potential novel CRBN modulators by virtual screening and bioassay</t>
  </si>
  <si>
    <t>CRBN modulators; Virtual screening; Antitumor evaluation; Apoptosis assay; Western blot</t>
  </si>
  <si>
    <t>E3 UBIQUITIN LIGASE; MULTIPLE-MYELOMA; THALIDOMIDE; LENALIDOMIDE; DEGRADATION; BINDING; COMPLEX; MIMICS; IKAROS</t>
  </si>
  <si>
    <t>The incidence of malignant tumor with high mortality is increasing yearly. CRBN E3 ubiquitin ligase was proved to be an antitumor target. It was found that thalidomide and its analogs could bind to CRBN E3 ubiquitin ligase and modulate CRBN. CRBN modulators could promote the binding of CRBN to specific target proteins or block the binding of CRBN to some endogenous proteins. In this way, CRBN modulators suppress various tumor cells by modulating the interactions between CRBN and various antitumor target proteins. However, almost all CRBN modulators reported include glutarimide scaffold. Therefore, the aim of this study is to developed novel CRBN modulators. Virtual screening methods and bioassay methods, including structural similarity search, molecular docking, substructure search, antitumor evaluation and apoptosis assay were used to search novel potential CRBN modulators in Specs database. Finally, 15 compounds exhibited strong inhibition activity against A549 cells. Among these active compounds, The IC50 value against A549 of AG6033 was 0.853 +/- 0.030 mu M. Apoptosis assay demonstrated that AG6033 could promote apoptosis of A549 cells. Further mechanism studies suggested that AG6033 caused remarkable decrease of GSPT1 and IKZF1, the substrates of CRBN, and AG6033 induced cytotoxic effects was CRBN-dependent. (C) 2022 Elsevier Masson SAS. All rights reserved.</t>
  </si>
  <si>
    <t>Xiong, Feng</t>
  </si>
  <si>
    <t>[Xiong, Feng; Kong, Lingmei; Chen, Liang; Cao, Feng; Zhang, Shuqun; Li, Hongmei; Yan, Hui; Li, Yan; Zuo, Zhili] Chinese Acad Sci, Kunming Inst Bot, State Key Lab Phytochem &amp; Plant Resources West Ch, Kunming 650201, Yunnan, Peoples R China; [Xiong, Feng; Zuo, Zhili] Univ Chinese Acad Sci, Beijing 100049, Peoples R China; [Xue, Minggao; Li, Yan] Yunnan Univ, Key Lab Med Chem Nat Resource, Minist Educ, Kunming 650091, Yunnan, Peoples R China</t>
  </si>
  <si>
    <t>Chinese Academy of Sciences; Kunming Institute of Botany, CAS; Chinese Academy of Sciences; University of Chinese Academy of Sciences, CAS; Yunnan University</t>
  </si>
  <si>
    <t>Li, Y; Zuo, ZL (通讯作者)，Chinese Acad Sci, Kunming Inst Bot, State Key Lab Phytochem &amp; Plant Resources West Ch, Kunming 650201, Yunnan, Peoples R China.</t>
  </si>
  <si>
    <t>yan.li@ynu.edu.cn; zuozhili@mail.kib.ac.cn</t>
  </si>
  <si>
    <t>Zuo, Zhili/0000-0003-3576-2884</t>
  </si>
  <si>
    <t>General Program of Applied Basic Research of Yunnan Province [2020FB28]; State Key Laboratory of Phytochemistry and Plant Resources in West China [P2017-KF07, P2018-KF14]; National Natural Science Foundation of China [81773783]; Yunnan Young &amp; Elite Talents Project; Youth Innovation Promotion Association CAS</t>
  </si>
  <si>
    <t>General Program of Applied Basic Research of Yunnan Province; State Key Laboratory of Phytochemistry and Plant Resources in West China; National Natural Science Foundation of China(National Natural Science Foundation of China (NSFC)); Yunnan Young &amp; Elite Talents Project; Youth Innovation Promotion Association CAS</t>
  </si>
  <si>
    <t>Acknowledgments This project was financially supported by the General Program of Applied Basic Research of Yunnan Province (Grant No: 2020FB28) , and the State Key Laboratory of Phytochemistry and Plant Resources in West China (Grant No: P2017-KF07, P2018-KF14) , the National Natural Science Foundation of China (No. 81773783) , the Yunnan Young &amp; Elite Talents Project (to L.K.) , the Youth Innovation Promotion Association CAS (to L.K.)</t>
  </si>
  <si>
    <t>JUN 5</t>
  </si>
  <si>
    <t>10.1016/j.ejmech.2022.114355</t>
  </si>
  <si>
    <t>1W3JV</t>
  </si>
  <si>
    <t>WOS:000806672800002</t>
  </si>
  <si>
    <t>Wu, XD; Huang, SL; Shi, Y; Shen, Y; Tu, WC; Leng, Y; Zhao, QS</t>
  </si>
  <si>
    <t>Wu, Xing-De; Huang, Suling; Shi, Yu; Shen, Yu; Tu, Wen-Chao; Leng, Ying; Zhao, Qin-Shi</t>
  </si>
  <si>
    <t>Design, synthesis and structural-activity relationship studies of phanginin A derivatives for regulating SIK1-cAMP/CREB signaling to suppress hepatic gluconeogenesis</t>
  </si>
  <si>
    <t>Hepatic gluconeogenesis; Type 2 diabetes; Phanginin A derivatives; SIK1; Structural-activity relationship</t>
  </si>
  <si>
    <t>NATURAL-PRODUCTS; TRANSCRIPTION FACTORS; HORMONAL-REGULATION; DITERPENOIDS; METFORMIN; SEEDS</t>
  </si>
  <si>
    <t>Persistent activation of hepatic gluconeogenesis is a main cause of fasting hyperglycemia in patients with type 2 diabetes (T2D), and the salt-induced kinase 1 (SIK1) acts as a key modulator in regulating hepatic gluconeogenesis. Recently, we first reported phanginin A (PA, 1), a natural cassane diterpenoid isolated from the seeds of Caesalpinia sappan, exhibited potent anti-diabetic effect through activation of SIK1 and increasing PDE4 activity to inhibit hepatic gluconeogenesis pathway by suppressing the cAMP/PKA/CREB pathway in the liver. In present study, we designed and prepared 25 PA derivatives and their structure-activity relationship (SAR) for gluconeogenesis inhibitory activity were established. Among them, compound 7 exhibited remarkable inhibitory activity on hepatic gluconeogenesis by enhancing the SIK1 phosphorylation and ameliorated the hyperglyceamia of type 2 diabetic mice. Our results supported that compound 7 could be served as a potential candidate for the treatment of T2D. (c) 2022 Elsevier Masson SAS. All rights reserved.</t>
  </si>
  <si>
    <t>Wu, Xing-De</t>
  </si>
  <si>
    <t>[Wu, Xing-De; Tu, Wen-Chao; Zhao, Qin-Shi] Chinese Acad Sci, Kunming Inst Bot, State Key Lab Phytochem &amp; Plant Resources West Ch, Kunming 650201, Yunnan, Peoples R China; [Huang, Suling; Shi, Yu; Shen, Yu; Leng, Ying] Chinese Acad Sci, Shanghai Inst Mat Med, State Key Lab Drug Res, Shanghai 201203, Peoples R China; [Wu, Xing-De] Yunnan Minzu Univ, Key Lab Ethn Med Resource Chem, State Ethn Affairs Commiss, Kunming 650500, Yunnan, Peoples R China; [Wu, Xing-De] Yunnan Minzu Univ, Minist Educ, Kunming 650500, Yunnan, Peoples R China; [Shi, Yu; Leng, Ying] Univ Chinese Acad Sci, Beijing 100049, Peoples R China</t>
  </si>
  <si>
    <t>Chinese Academy of Sciences; Kunming Institute of Botany, CAS; Chinese Academy of Sciences; Shanghai Institute of Materia Medica, CAS; Yunnan Minzu University; Yunnan Minzu University; Chinese Academy of Sciences; University of Chinese Academy of Sciences, CAS</t>
  </si>
  <si>
    <t>Zhao, QS (通讯作者)，Chinese Acad Sci, Kunming Inst Bot, State Key Lab Phytochem &amp; Plant Resources West Ch, Kunming 650201, Yunnan, Peoples R China.;Leng, Y (通讯作者)，Chinese Acad Sci, Shanghai Inst Mat Med, State Key Lab Drug Res, Shanghai 201203, Peoples R China.</t>
  </si>
  <si>
    <t>yleng@simm.ac.cn; qinshizhao@mail.kib.ac.cn</t>
  </si>
  <si>
    <t>Huang, Suling/0000-0003-2338-8004</t>
  </si>
  <si>
    <t>Natural Science Foundation of China [81773611, 21837003]; Science and Technology Program of Yunnan province [2019FA037]; National Science and Technology Major Project-Key New Drug Creation and Manufacturing Program [2018ZX09711002-006-012]; Science and Technology Commission of Shanghai Municipality [19ZR1467600]; Top Young Talent of the Ten Thousand Talents Program of Yunnan Province</t>
  </si>
  <si>
    <t>Natural Science Foundation of China(National Natural Science Foundation of China (NSFC)); Science and Technology Program of Yunnan province; National Science and Technology Major Project-Key New Drug Creation and Manufacturing Program; Science and Technology Commission of Shanghai Municipality(Science &amp; Technology Commission of Shanghai Municipality (STCSM)); Top Young Talent of the Ten Thousand Talents Program of Yunnan Province</t>
  </si>
  <si>
    <t>This work was supported by the project of the Natural Science Foundation of China (Nos. 81773611 and 21837003), the Science and Technology Program of Yunnan province (No. 2019FA037), the National Science and Technology Major Project-Key New Drug Creation and Manufacturing Program (2018ZX09711002-006-012), the Science and Technology Commission of Shanghai Municipality (19ZR1467600), and the Top Young Talent of the Ten Thousand Talents Program of Yunnan Province (X.-D. Wu).</t>
  </si>
  <si>
    <t>MAR 15</t>
  </si>
  <si>
    <t>10.1016/j.ejmech.2022.114171</t>
  </si>
  <si>
    <t>1R0IN</t>
  </si>
  <si>
    <t>WOS:000803062900006</t>
  </si>
  <si>
    <t>Liu, JX; Ren, J; Yang, K; Chen, S; Yang, XN; Zhao, QS</t>
  </si>
  <si>
    <t>Liu, Jiangxin; Ren, Jian; Yang, Kun; Chen, Shuang; Yang, Xinni; Zhao, Qin-Shi</t>
  </si>
  <si>
    <t>Discovery and biological evaluation of tanshinone derivatives as potent dual inhibitors of indoleamine 2, 3-dioxygenase 1 and tryptophan 2, 3-dioxygenase</t>
  </si>
  <si>
    <t>Tanshinone; Indoleamine 2; 3-dioxygenase 1; Tryptophan 2; 3-dioxygenase; Dual inhibitor</t>
  </si>
  <si>
    <t>TUMORAL IMMUNE RESISTANCE; VASODILATIVE ACTIVITY; 2,3-DIOXYGENASE; DESIGN; IIA; EXPRESSION; CHALLENGES; MECHANISM; PROTEIN; TARGET</t>
  </si>
  <si>
    <t>Indoleamine 2, 3-dioxygenase 1 (IDO1) and tryptophan 2, 3-dioxygenase (TDO), catalyzing the first and rate-limiting step of tryptophan-kynurenine (Trp-Kyn) metabolism pathway, are the appealing targets for cancer immunotherapy. A few dual IDO1/TDO inhibitors are reported in literature. However, small molecule IDO1 and TDO inhibitors are not yet available for clinical use. Here, we report synthetic analogues of the naturally occurring terpenoids tanshinone IIA and crytotanshinone, and their IDO1/TDO inhibitory activities using enzymatic and cellular assays. The most potent compound 30 was further characterized with respect to the direct interaction, inhibition kinetics, and different binding modes against IDO1 and TDO through surface plasmon resonance (SPR), enzyme kinetics, and spectroscopic analysis approaches, respectively. Preliminary mechanistic studies showed that 30 significantly promoted cell apoptosis through the potential mitochondria-mediated Bcl-2/Bax pathway. IDO1overexpressing HeLa cells, mimicking cancer cells, were sensitive to 30 treatments. These results provide further insights for new clinical application of tanshinones, the main component of traditional herbal medicine. (c) 2022 Elsevier Masson SAS. All rights reserved.</t>
  </si>
  <si>
    <t>Liu, Jiangxin</t>
  </si>
  <si>
    <t>[Liu, Jiangxin; Ren, Jian; Yang, Kun; Chen, Shuang; Yang, Xinni; Zhao, Qin-Shi] Chinese Acad Sci, Kunming Inst Bot, State Key Lab Phytochem &amp; Plant Resources West Ch, Kunming 650201, Yunnan, Peoples R China</t>
  </si>
  <si>
    <t>Zhao, QS (通讯作者)，Chinese Acad Sci, Kunming Inst Bot, State Key Lab Phytochem &amp; Plant Resources West Ch, Kunming 650201, Yunnan, Peoples R China.</t>
  </si>
  <si>
    <t>qinshizhao@mail.kib.ac.cn</t>
  </si>
  <si>
    <t>National Natural Science Foundation of China [21778059, 21837003]; ten thousand-talent program of Yunnan Province</t>
  </si>
  <si>
    <t>National Natural Science Foundation of China(National Natural Science Foundation of China (NSFC)); ten thousand-talent program of Yunnan Province</t>
  </si>
  <si>
    <t>Acknowledgements The authors thank the anonymous reviewers for their detailed and constructive comments that helped to improve the quality of this work. This work was supported by the National Natural Science Foundation of China (21778059, 21837003) and the ten thousand-talent program of Yunnan Province to Jiangxin Liu.</t>
  </si>
  <si>
    <t>MAY 5</t>
  </si>
  <si>
    <t>10.1016/j.ejmech.2022.114294</t>
  </si>
  <si>
    <t>1C7DX</t>
  </si>
  <si>
    <t>WOS:000793276100010</t>
  </si>
  <si>
    <t>Zhou, ZP; Zhang, LL; Wu, X; Luo, L; Wu, J; Xu, D; Wu, MY</t>
  </si>
  <si>
    <t>Zhou, Zhipeng; Zhang, Linlin; Wu, Xin; Luo, Lan; Wu, Jian; Xu, Dan; Wu, Mingyi</t>
  </si>
  <si>
    <t>Chemical synthesis and pharmacological properties of heparin pentasaccharide analogues</t>
  </si>
  <si>
    <t>Heparin; Pentasaccharide; Anticoagulant; Structure-activity relationships; Synthesis</t>
  </si>
  <si>
    <t>MOLECULAR-WEIGHT HEPARIN; THROMBIN GENERATION; ANTICOAGULANT; FONDAPARINUX; IDRAPARINUX; XA</t>
  </si>
  <si>
    <t>The pentasaccharide fondaparinux is a synthetic anticoagulant based on heparin antithrombin-binding sequence. Fondaparinux improves safety and predictable pharmacodynamics compared with heparins; however, it requires a complicate synthesis process which contain more than 50 steps of synthesis. Herein, we designed and synthesized four fondaparinux analogues (compounds 1, 2, 3, 4) using a [2 thorn 3] convergent synthetic method, which greatly simplified the synthetic process, improved the product yield, and curtailed the expenditures. These synthesized compounds showed stronger anticoagulant activities by factor Xa inhibition (IC50 725-1126 nM vs. 1909 nM for fondaparinux) in the AT-dependent manner. After subcutaneous (s.c.) administration to rats, the compounds displayed long-lasting antifactor Xa activities and inhibition of thrombin generation ex vivo. Compared with fondaparinux, these compounds were slowly eliminated after s.c. administration to rats, the half-lies (t1/2) were more than 2fold of that of fondaparinux. These results suggested the pentasaccharide analogues may exhibit better pharmacokinetic and predictable pharmacodynamic characteristics. (c) 2022 Elsevier Masson SAS. All rights reserved.</t>
  </si>
  <si>
    <t>Zhou, Zhipeng</t>
  </si>
  <si>
    <t>[Zhou, Zhipeng; Wu, Xin; Luo, Lan; Wu, Mingyi] Chinese Acad Sci, Kunming Inst Bot, State Key Lab Phytochem &amp; Plant Resources West Ch, Kunming 650201, Yunnan, Peoples R China; [Zhang, Linlin; Wu, Jian; Xu, Dan] Nanjing Chia Tai Tianqing Pharmaceut Co Ltd, Nanjing 210046, Peoples R China; [Wu, Xin; Wu, Mingyi] Univ Chinese Acad Sci, Beijing 100049, Peoples R China</t>
  </si>
  <si>
    <t>Wu, MY (通讯作者)，Chinese Acad Sci, Kunming Inst Bot, State Key Lab Phytochem &amp; Plant Resources West Ch, Kunming 650201, Yunnan, Peoples R China.;Xu, D (通讯作者)，Nanjing Chia Tai Tianqing Pharmaceut Co Ltd, Nanjing 210046, Peoples R China.</t>
  </si>
  <si>
    <t>xiaoxux@gmail.com; wumingyi@mail.kib.ac.cn</t>
  </si>
  <si>
    <t>Wu, Mingyi/0000-0002-7764-458X</t>
  </si>
  <si>
    <t>National Natural Science Foundation of China [81872774, 81930097]; Youth Innovation Promotion Association CAS [Y2021104]; CAS Light of West China Program; Ten-thousand Talents Program of Yunnan Province [YNWR-QNBJ-2018-271]; Yunnan Fundamental Research Projects [202101AS070292, 202101AT070152]</t>
  </si>
  <si>
    <t>National Natural Science Foundation of China(National Natural Science Foundation of China (NSFC)); Youth Innovation Promotion Association CAS; CAS Light of West China Program; Ten-thousand Talents Program of Yunnan Province; Yunnan Fundamental Research Projects</t>
  </si>
  <si>
    <t>This work was supported in part by the National Natural Science Foundation of China (NO. 81872774 and 81930097), Youth Innovation Promotion Association CAS (Y2021104), CAS Light of West China Program and the Ten-thousand Talents Program of Yunnan Province (YNWR-QNBJ-2018-271), and Yunnan Fundamental Research Projects (grant NO. 202101AS070292 and 202101AT070152).</t>
  </si>
  <si>
    <t>APR 15</t>
  </si>
  <si>
    <t>10.1016/j.ejmech.2022.114256</t>
  </si>
  <si>
    <t>1C7ES</t>
  </si>
  <si>
    <t>WOS:000793278200006</t>
  </si>
  <si>
    <t>Wang, YT; Long, XY; Ding, X; Fan, SR; Cai, JY; Yang, BJ; Zhang, XF; Luo, RH; Yang, L; Ruan, T; Ren, J; Jing, CX; Zheng, YT; Hao, XJ; Chen, DZ</t>
  </si>
  <si>
    <t>Wang, Yi-Ting; Long, Xin-Yan; Ding, Xiao; Fan, Shi-Rui; Cai, Jie-Yun; Yang, Bi-Juan; Zhang, Xin-Fang; Luo, Rong-hua; Yang, Lian; Ruan, Ting; Ren, Juan; Jing, Chen-Xu; Zheng, Yong-Tang; Hao, Xiao-Jiang; Chen, Duo-Zhi</t>
  </si>
  <si>
    <t>Novel nucleocapsid protein-targeting phenanthridine inhibitors of SARS-CoV-2</t>
  </si>
  <si>
    <t>Phenanthridine; Nucleocapsid protein; SARS-CoV-2; N-terminal domain</t>
  </si>
  <si>
    <t>N-TERMINAL DOMAIN; CORONAVIRUS</t>
  </si>
  <si>
    <t>The COVID-19 pandemic caused by severe acute respiratory syndrome coronavirus 2 (SARS-CoV-2) is unprecedented in human history. As a major structural protein, nucleocapsid protein (NPro) is critical to the replication of SARS-CoV-2. In this work, 17 NPro-targeting phenanthridine derivatives were rationally designed and synthesized, based on the crystal structure of NPro. Most of these compounds can interact with SARS-CoV-2 NPro tightly and inhibit the replication of SARS-CoV-2 in vitro. Compounds 12 and 16 exhibited the most potent anti-viral activities with 50% effective concentration values of 3.69 and 2.18 mu M, respectively. Furthermore, site-directed mutagenesis of NPro and Surface Plasmon Resonance (SPR) assays revealed that 12 and 16 target N-terminal domain (NTD) of NPro by binding to Tyr109. This work found two potent anti-SARS-CoV-2 bioactive compounds and also indicated that SARS-CoV-2 NPro-NTD can be a target for new anti-virus agents. (C) 2021 Elsevier Masson SAS. All rights reserved.</t>
  </si>
  <si>
    <t>Wang, Yi-Ting</t>
  </si>
  <si>
    <t>[Wang, Yi-Ting; Ding, Xiao; Fan, Shi-Rui; Cai, Jie-Yun; Yang, Bi-Juan; Zhang, Xin-Fang; Yang, Lian; Ruan, Ting; Ren, Juan; Jing, Chen-Xu; Hao, Xiao-Jiang; Chen, Duo-Zhi] Chinese Acad Sci, Kunming Inst Bot, State Key Lab Phytochem &amp; Plant Resources West Ch, Kunming 650201, Yunnan, Peoples R China; [Long, Xin-Yan; Luo, Rong-hua; Zheng, Yong-Tang] Chinese Acad Sci, Key Lab Anim Models &amp; Human Dis Mech, Key Lab Bioact Peptides Yunnan Prov, Kunming Inst Zool, Kunming 650223, Yunnan, Peoples R China; [Long, Xin-Yan; Ruan, Ting] Univ Chinese Acad Sci, Kunming Coll Life Sci, Kunming 650204, Yunnan, Peoples R China; [Zhang, Xin-Fang; Ren, Juan] Yunnan Univ, Dept Chem Sci &amp; Engn, Kunming 650091, Yunnan, Peoples R China</t>
  </si>
  <si>
    <t>Chinese Academy of Sciences; Kunming Institute of Botany, CAS; Chinese Academy of Sciences; Kunming Institute of Zoology; Chinese Academy of Sciences; University of Chinese Academy of Sciences, CAS; Yunnan University</t>
  </si>
  <si>
    <t>Hao, XJ; Chen, DZ (通讯作者)，Chinese Acad Sci, Kunming Inst Bot, State Key Lab Phytochem &amp; Plant Resources West Ch, Kunming 650201, Yunnan, Peoples R China.;Zheng, YT (通讯作者)，Chinese Acad Sci, Key Lab Anim Models &amp; Human Dis Mech, Key Lab Bioact Peptides Yunnan Prov, Kunming Inst Zool, Kunming 650223, Yunnan, Peoples R China.</t>
  </si>
  <si>
    <t>zhengyt@mail.kiz.ac.cn; haoxj@mail.kib.ac.cn; chenduozhi@mail.kib.ac.cn</t>
  </si>
  <si>
    <t>Ding, Xiao/0000-0002-3287-7611</t>
  </si>
  <si>
    <t>National Natural Science Foundation of China [81773610, 81973212]; Youth Innovation Promotion Association of CAS [2018429]; Central Asian Drug Discovery and Development Center of Chinese Academy of Sciences [CAM202103]; Natural Science Foundation of Yunnan [202101AT070169]</t>
  </si>
  <si>
    <t>National Natural Science Foundation of China(National Natural Science Foundation of China (NSFC)); Youth Innovation Promotion Association of CAS; Central Asian Drug Discovery and Development Center of Chinese Academy of Sciences; Natural Science Foundation of Yunnan(Natural Science Foundation of Yunnan Province)</t>
  </si>
  <si>
    <t>This research was funded by the National Natural Science Foundation of China (81773610, 81973212) ; the Youth Innovation Promotion Association of CAS (2018429) ; the Central Asian Drug Discovery and Development Center of Chinese Academy of Sciences (CAM202103) ; Natural Science Foundation of Yunnan (202101AT070169) .</t>
  </si>
  <si>
    <t>10.1016/j.ejmech.2021.113966</t>
  </si>
  <si>
    <t>YJ0KP</t>
  </si>
  <si>
    <t>Green Published, Bronze</t>
  </si>
  <si>
    <t>WOS:000744228500007</t>
  </si>
  <si>
    <t>Yuan, XG; Zhao, Y; Guo, Y; Ge, LM; Liu, W; Wen, SY; Li, Q; Wan, ZB; Zheng, PN; Guo, T; Li, ZD; Peifer, M; Cun, YP</t>
  </si>
  <si>
    <t>Yuan, Xi-Guo; Zhao, Yuan; Guo, Yang; Ge, Lin-Mei; Liu, Wei; Wen, Shi-Yu; Li, Qi; Wan, Zhang-Bo; Zheng, Pei-Na; Guo, Tao; Li, Zhi-Da; Peifer, Martin; Cun, Yu-Peng</t>
  </si>
  <si>
    <t>COSINE: A web server for clonal and subclonal structure inference and evolution in cancer genomics</t>
  </si>
  <si>
    <t>ZOOLOGICAL RESEARCH</t>
  </si>
  <si>
    <t>TUMOR; HETEROGENEITY</t>
  </si>
  <si>
    <t>Yuan, Xi-Guo</t>
  </si>
  <si>
    <t>[Yuan, Xi-Guo; Zhao, Yuan; Guo, Yang; Li, Qi; Wan, Zhang-Bo; Zheng, Pei-Na] Xidian Univ, Sch Comp Sci &amp; Technol, Xian 710071, Shaanxi, Peoples R China; [Ge, Lin-Mei; Cun, Yu-Peng] Chinese Acad Sci, Kunming Inst Bot, IFlora Bioinformat Ctr, Germplasm Bank Wild Species, Kunming 650201, Yunnan, Peoples R China; [Liu, Wei; Wen, Shi-Yu; Guo, Tao; Li, Zhi-Da] Yuxi Rongjian Informat Technol Co Ltd, Yuxi 653100, Yunan, Peoples R China; [Peifer, Martin] Univ Cologne, Ctr Mol Med Cologne CMMC, D-50931 Cologne, Germany; [Cun, Yu-Peng] Childrens Hosp Chongqing Med Univ, Chongqing Key Lab Translat Med Res Cognit Dev &amp; L, China Int Sci &amp; Technol Cooperat Base Child Dev &amp;, Natl Clin Res Ctr Child Hlth &amp; Disorders,Key Lab, Chongqing 400014, Peoples R China</t>
  </si>
  <si>
    <t>Xidian University; Chinese Academy of Sciences; Kunming Institute of Botany, CAS; University of Cologne</t>
  </si>
  <si>
    <t>Cun, YP (通讯作者)，Chinese Acad Sci, Kunming Inst Bot, IFlora Bioinformat Ctr, Germplasm Bank Wild Species, Kunming 650201, Yunnan, Peoples R China.;Cun, YP (通讯作者)，Childrens Hosp Chongqing Med Univ, Chongqing Key Lab Translat Med Res Cognit Dev &amp; L, China Int Sci &amp; Technol Cooperat Base Child Dev &amp;, Natl Clin Res Ctr Child Hlth &amp; Disorders,Key Lab, Chongqing 400014, Peoples R China.</t>
  </si>
  <si>
    <t>cunyp@cqmu.edu.cn</t>
  </si>
  <si>
    <t>Cun, Yupeng/B-5864-2011</t>
  </si>
  <si>
    <t>Cun, Yupeng/0000-0002-4241-8099; zhao, yuan/0000-0002-2916-1276</t>
  </si>
  <si>
    <t>CAS Pioneer Hundred Talents Program; National Natural Science Foundation of China [61771369, 32070683]; Science and Technology Planning Project of XI'AN [GXYD6.2]</t>
  </si>
  <si>
    <t>CAS Pioneer Hundred Talents Program; National Natural Science Foundation of China(National Natural Science Foundation of China (NSFC)); Science and Technology Planning Project of XI'AN</t>
  </si>
  <si>
    <t>This work was supported by the CAS Pioneer Hundred Talents Program and National Natural Science Foundation of China (32070683) to Y.P.C.; the Science and Technology Planning Project of XI'AN (GXYD6.2) and National Natural Science Foundation of China (61771369) to X.G.Y.</t>
  </si>
  <si>
    <t>SCIENCE PRESS</t>
  </si>
  <si>
    <t>16 DONGHUANGCHENGGEN NORTH ST, BEIJING 100717, PEOPLES R CHINA</t>
  </si>
  <si>
    <t>2095-8137</t>
  </si>
  <si>
    <t>ZOOL RES</t>
  </si>
  <si>
    <t>Zool. Res.</t>
  </si>
  <si>
    <t>10.24272/j.issn.2095-8137.2021.250</t>
  </si>
  <si>
    <t>Zoology</t>
  </si>
  <si>
    <t>YD8AL</t>
  </si>
  <si>
    <t>Green Published, gold, Green Submitted</t>
  </si>
  <si>
    <t>WOS:000740658200010</t>
  </si>
  <si>
    <t>Qian, H; Qian, SH; Sandel, B</t>
  </si>
  <si>
    <t>Qian, Hong; Qian, Shenhua; Sandel, Brody</t>
  </si>
  <si>
    <t>Phylogenetic structure of alien and native species in regional plant assemblages across China: Testing niche conservatism hypothesis versus niche convergence hypothesis</t>
  </si>
  <si>
    <t>GLOBAL ECOLOGY AND BIOGEOGRAPHY</t>
  </si>
  <si>
    <t>angiosperms; community assembly; Darwin's preadaptation hypothesis; environmental filtering; exotic species; introduced species; niche conservatism; niche convergence; phylogenetic dispersion; phylogenetic structure</t>
  </si>
  <si>
    <t>NATURALIZATION; TEMPERATURE; COMMUNITIES; RICHNESS; INSIGHTS; ECOLOGY; SCALE</t>
  </si>
  <si>
    <t>Aim The introduction of alien species may be influenced by the phylogenetic structure of the native assemblage, while at the same time altering that structure. Understanding these effects sheds light on both the factors influencing naturalization of introduced species and their impacts. Considering regional angiosperm assemblages across China, we ask the following questions: (a) Do geographic patterns and climate relationships of alien species richness and phylogenetic structure mirror those of natives? (b) Has the addition of alien species resulted in stronger phylogenetic clustering as predicted by Darwin's preadaptation hypothesis? (c) To what degree does the answer to these questions depend on phylogenetic scale? Location China. Time period Current. Taxon Angiosperms (flowering plants). Methods We divided China into 28 province-level regions and collated native and naturalized alien species lists of angiosperms for each region. For each region, we computed two types of phylogenetic structure metrics [mean phylogenetic distance (MPD) and mean nearest neighbour distance (MNND), and their standardized effect sizes] for the native, alien and combined assemblages, and for angiosperms as a whole, 5 major clades and 10 well-represented families. We then related these to climatic factors using correlation analyses. Results Richness of alien angiosperms is highest in regions with species rich and phylogenetically dispersed native assemblages. The standardized effect size of mean phylogenetic distance (MPDses) for aliens was positively correlated with that for natives. The introduction of alien species generally increased phylogenetic clustering of the combined assemblage compared to the natives for large phylogenetic extents, but effects within plant families were mixed. The MPDses was positively correlated with temperature and precipitation for both natives and aliens. Main conclusions The phylogenetic relationships at a lower level of phylogenetic scale may differ substantially from those at a higher level of phylogenetic scale. At the broadest phylogenetic extents, alien species tend to recapitulate the biogeographic patterns of natives, showing similar spatial patterns of species richness and phylogenetic structure, and tending to represent the same major angiosperm clades. This is highly consistent with Darwin's preadaptation hypothesis. Across narrower swaths of the phylogeny, these patterns are less clear, with a substantial number of plant families showing support for the biogeographic barrier hypothesis.</t>
  </si>
  <si>
    <t>Qian, Hong</t>
  </si>
  <si>
    <t>[Qian, Hong] Chinese Acad Sci, Kunming Inst Bot, CAS Key Lab Plant Divers &amp; Biogeog East Asia, Kunming, Yunnan, Peoples R China; [Qian, Hong] Illinois State Museum, Res &amp; Collect Ctr, Springfield, IL USA; [Qian, Shenhua] Chongqing Univ, Minist Educ, Key Lab Three Gorges Reservoir Reg Ecoenvironm, Chongqing 400045, Peoples R China; [Sandel, Brody] Santa Clara Univ, Dept Biol, Santa Clara, CA 95053 USA</t>
  </si>
  <si>
    <t>Chinese Academy of Sciences; Kunming Institute of Botany, CAS; Chongqing University; Santa Clara University</t>
  </si>
  <si>
    <t>Qian, SH (通讯作者)，Chongqing Univ, Minist Educ, Key Lab Three Gorges Reservoir Reg Ecoenvironm, Chongqing 400045, Peoples R China.</t>
  </si>
  <si>
    <t>qian@cqu.edu.cn</t>
  </si>
  <si>
    <t>Qian, Shenhua/0000-0003-1565-8748</t>
  </si>
  <si>
    <t>1466-822X</t>
  </si>
  <si>
    <t>1466-8238</t>
  </si>
  <si>
    <t>GLOBAL ECOL BIOGEOGR</t>
  </si>
  <si>
    <t>Glob. Ecol. Biogeogr.</t>
  </si>
  <si>
    <t>10.1111/geb.13566</t>
  </si>
  <si>
    <t>Ecology; Geography, Physical</t>
  </si>
  <si>
    <t>Environmental Sciences &amp; Ecology; Physical Geography</t>
  </si>
  <si>
    <t>3W0XJ</t>
  </si>
  <si>
    <t>WOS:000826741000001</t>
  </si>
  <si>
    <t>Qian, H; Sandel, B</t>
  </si>
  <si>
    <t>Qian, Hong; Sandel, Brody</t>
  </si>
  <si>
    <t>Darwin's preadaptation hypothesis and the phylogenetic structure of native and alien regional plant assemblages across North America</t>
  </si>
  <si>
    <t>NATURALIZATION HYPOTHESIS; FLORISTIC ANALYSIS; SPECIES-DIVERSITY; ECOLOGY; CONUNDRUM; PATTERNS; INVASIVENESS; RELATEDNESS; GRADIENTS; INVASIONS</t>
  </si>
  <si>
    <t>Aim Studies focusing on relatively small spatial scales have shown that alien plants are more likely to invade phylogenetically clustered communities, and that the introduction of alien plants further increases phylogenetic clustering in the recipient communities. However, whether these patterns hold at a continental scale remains untested. Here, we investigate the phylogenetic structure of native and alien regional assemblages of angiosperms across North America. Location North America north of Mexico. Time period Current. Major taxon studied Angiosperms (flowering plants). Methods We divided North America into 65 regions across two longitudinal zones, and collated native and naturalized alien species lists of angiosperms for each region. Two phylogenetic metrics, which represent different evolutionary depths, were used to quantify phylogenetic structure of angiosperms as a whole and each major clade in each region, and were related to temperature and precipitation using correlation analyses. Results We found that alien angiosperm richness is highest in regions with diverse and phylogenetically dispersed native floras. The introduction of alien species nearly uniformly increases phylogenetic clustering. Main conclusions Alien species are generally from the same major clades as native species, consistent with Darwin's preadaptation hypothesis. The results of this study are consistent across a wide range of phylogenetic extents, but not always with analyses conducted at smaller spatial extents.</t>
  </si>
  <si>
    <t>[Qian, Hong] Chinese Acad Sci, Kunming Inst Bot, CAS Key Lab Plant Divers &amp; Biogeog East Asia, Kunming, Yunnan, Peoples R China; [Qian, Hong] Illinois State Museum, Res &amp; Collect Ctr, 1011 East Ash St, Springfield, IL 62703 USA; [Sandel, Brody] Santa Clara Univ, Dept Biol, Santa Clara, CA 95053 USA</t>
  </si>
  <si>
    <t>Chinese Academy of Sciences; Kunming Institute of Botany, CAS; Santa Clara University</t>
  </si>
  <si>
    <t>Qian, H (通讯作者)，Illinois State Museum, Res &amp; Collect Ctr, 1011 East Ash St, Springfield, IL 62703 USA.</t>
  </si>
  <si>
    <t>hqian@museum.state.il.us</t>
  </si>
  <si>
    <t>10.1111/geb.13445</t>
  </si>
  <si>
    <t>YS2VG</t>
  </si>
  <si>
    <t>WOS:000734725000001</t>
  </si>
  <si>
    <t>Qian, H; Deng, T; Ricklefs, RE</t>
  </si>
  <si>
    <t>Qian, Hong; Deng, Tao; Ricklefs, Robert E.</t>
  </si>
  <si>
    <t>Evolutionary assembly of the Arctic flora</t>
  </si>
  <si>
    <t>cold tolerance; community assembly; environmental filtering; flowering plants; niche conservatism; phylogenetic structure</t>
  </si>
  <si>
    <t>SPECIES RICHNESS; DIVERSITY; ECOLOGY; ORIGIN; DIVERSIFICATION; CONSERVATISM; BIOGEOGRAPHY; PATTERNS; HISTORY</t>
  </si>
  <si>
    <t>Aim The Arctic is the coldest inhabited region on Earth, and it supports few terrestrial species. The tropical-climate origin of many angiosperm clades, along with strong phylogenetic niche conservatism, likely constrained colonization of cold environments for many plants. However, invasion of the Arctic by many lineages might also have opened up a new adaptive landscape that facilitated subsequent diversification. We might, therefore, expect species in this biome to be descendants of a few cold-tolerant lineages. Here, we explore the assembly of the Arctic flora using data on the relationships and distributions of &gt; 80,000 species. Location The Northern Hemisphere. Time period Current. Taxon Flowering plants. Methods The Arctic was divided into five bioclimate subzones. We assembled a species pool for flowering plants in the Northern Hemisphere, and determined which species of the species pool are distributed in the Arctic and each of its subzones. We used two metrics (the standardized effect sizes of mean pairwise distance and Faith's phylogenetic diversity; MPDses and PDses, respectively) to quantify phylogenetic dispersion of flowering plant assemblages. Results When the Arctic species were compared to all the species in the Northern Hemisphere, MPDses and PDses were -12.85 and -27.17, respectively, indicating that the Arctic flora is a phylogenetically clustered subset of the Northern Hemisphere species pool. In general, MPDses and PDses decreased from the south to the north within the Arctic, indicating that some lineages are further filtered stepwise into more northerly Arctic subzones. Main conclusions The species of the Arctic flora comprise a phylogenetically clustered subset of the broader Northern Hemisphere flora. The more negative value for PDses compared to MPDses indicates that clustering is stronger towards the tips of the phylogenetic tree. We suggest that the majority of Arctic species are nested within clades having attributes that enabled adaptation to cold climates.</t>
  </si>
  <si>
    <t>[Qian, Hong; Deng, Tao] Chinese Acad Sci, Kunming Inst Bot, CAS Key Lab Plant Divers &amp; Biogeog East Asia, Kunming 650201, Yunnan, Peoples R China; [Qian, Hong] Illinois State Museum, Res &amp; Collect Ctr, 1011 East Ash St, Springfield, IL 62703 USA; [Ricklefs, Robert E.] Univ Missouri St Louis, Dept Biol, St Louis, MO USA</t>
  </si>
  <si>
    <t>Chinese Academy of Sciences; Kunming Institute of Botany, CAS; University of Missouri System; University of Missouri Saint Louis</t>
  </si>
  <si>
    <t>Deng, T (通讯作者)，Chinese Acad Sci, Kunming Inst Bot, CAS Key Lab Plant Divers &amp; Biogeog East Asia, Kunming 650201, Yunnan, Peoples R China.;Qian, H (通讯作者)，Illinois State Museum, Res &amp; Collect Ctr, 1011 East Ash St, Springfield, IL 62703 USA.</t>
  </si>
  <si>
    <t>hqian@museum.state.il.us; dengtao@mail.kib.ac.cn</t>
  </si>
  <si>
    <t>Strategic Priority Research Program of Chinese Academy of Sciences [XDA20050203]; Youth Innovation Promotion Association of Chinese Academy of Sciences [2019382]</t>
  </si>
  <si>
    <t>Strategic Priority Research Program of Chinese Academy of Sciences(Chinese Academy of Sciences); Youth Innovation Promotion Association of Chinese Academy of Sciences</t>
  </si>
  <si>
    <t>We thank T. Jonathan Davies, Melanie Tietje and an anonymous referee for their constructive comments on the manuscript. This study was supported by the Strategic Priority Research Program of Chinese Academy of Sciences (XDA20050203), and the Youth Innovation Promotion Association of Chinese Academy of Sciences (2019382).</t>
  </si>
  <si>
    <t>10.1111/geb.13434</t>
  </si>
  <si>
    <t>WOS:000722309300001</t>
  </si>
  <si>
    <t>Qian, H; Kessler, M; Jin, Y</t>
  </si>
  <si>
    <t>Qian, Hong; Kessler, Michael; Jin, Yi</t>
  </si>
  <si>
    <t>Spatial patterns and climatic drivers of phylogenetic structure for ferns along the longest elevational gradient in the world</t>
  </si>
  <si>
    <t>ECOGRAPHY</t>
  </si>
  <si>
    <t>ferns; Himalaya; Nepal; phylogenetic diversity; phylogenetic relatedness; tropical niche conservatism</t>
  </si>
  <si>
    <t>PTERIDOPHYTE SPECIES RICHNESS; GLOBAL PATTERNS; COMMUNITY ECOLOGY; DIVERSITY; EVOLUTIONARY; TRAIT; DIVERSIFICATION; DISTRIBUTIONS; CONSERVATISM; BIOGEOGRAPHY</t>
  </si>
  <si>
    <t>Many biodiversity hotspots are located in montane regions, thus, understanding the underlying mechanisms driving species assembly along elevational gradients is of major interest in ecology and biogeography. Here, we assess spatial patterns and climatic drivers, and the effects of clade age, on patterns of phylogenetic structure of ferns along the world's longest elevational gradient in the central Himalaya. We used correlation and regression analyses to relate metrics of phylogenetic structure reflecting both shallow (tip-weighted) and deep (basal-weighted) evolutionary histories of ferns, and their two major groups reflecting different ages (polypods representing a young clade, all other ferns representing old clades), in fifty 100-m vertical bands to climatic factors representing different aspects of climatic conditions (mean climate, stressful climate and climate seasonality). Variation partitioning analysis was used to determine the relative importance of each group of climatic factors on phylogenetic structure. We find that the composition of fern assemblages along the Himalayan elevational gradient in Nepal shows strong signatures of evolutionary processes. In a simplified way, species-rich assemblages at mid-elevations are likely the result of recent radiations in combination with low extinction rates, whereas species-poor assemblages at low elevations are composed of numerous lineages with limited radiations, and those at high elevations of few lineages, also with limited signature of recent radiations. Variables related to temperature and climatic extremes tended to play a more important role than precipitation- and seasonality-related variables, respectively, in driving fern phylogenetic structure. Combining the results of ferns and angiosperms suggests that there are a few generally consistent evolutionary processes that apply to all plant groups (e.g. niche conservatism and environmental filtering), but that the specific outcomes of these processes vary with elevation, clade age and taxon.</t>
  </si>
  <si>
    <t>[Qian, Hong] Chinese Acad Sci, Kunming Inst Bot, CAS Key Lab Plant Divers &amp; Biogeog East Asia, Kunming, Peoples R China; [Qian, Hong] Illinois State Museum, Res &amp; Collect Ctr, Springfield, IL 62706 USA; [Kessler, Michael] Univ Zurich, Dept Systemat Bot, Zurich, Switzerland; [Jin, Yi] Guizhou Normal Univ, Key Lab Natl Forestry &amp; Grassland Adm Biodivers Co, Guiyang, Peoples R China</t>
  </si>
  <si>
    <t>Chinese Academy of Sciences; Kunming Institute of Botany, CAS; University of Zurich; Guizhou Normal University</t>
  </si>
  <si>
    <t>Qian, H (通讯作者)，Chinese Acad Sci, Kunming Inst Bot, CAS Key Lab Plant Divers &amp; Biogeog East Asia, Kunming, Peoples R China.;Qian, H (通讯作者)，Illinois State Museum, Res &amp; Collect Ctr, Springfield, IL 62706 USA.</t>
  </si>
  <si>
    <t>Kessler, Michael/A-3605-2009</t>
  </si>
  <si>
    <t>Kessler, Michael/0000-0003-4612-9937</t>
  </si>
  <si>
    <t>Swiss National Science Foundation [SNF 310030_188498]</t>
  </si>
  <si>
    <t>Swiss National Science Foundation(Swiss National Science Foundation (SNSF)European Commission)</t>
  </si>
  <si>
    <t>This research was carried out with the support of a Swiss National Science Foundation project to MK (SNF 310030_188498)</t>
  </si>
  <si>
    <t>0906-7590</t>
  </si>
  <si>
    <t>1600-0587</t>
  </si>
  <si>
    <t>Ecography</t>
  </si>
  <si>
    <t>10.1111/ecog.06516</t>
  </si>
  <si>
    <t>Biodiversity Conservation; Ecology</t>
  </si>
  <si>
    <t>7G9BS</t>
  </si>
  <si>
    <t>WOS:000892080200001</t>
  </si>
  <si>
    <t>Zhao, Y; Qin, XJ; Wang, ZJ; Jin, Q; Wang, XN; Chen, SS; Luo, XD</t>
  </si>
  <si>
    <t>Zhao, Yun; Qin, Xu-Jie; Wang, Zhao-Jie; Jin, Qiong; Wang, Xiao-Na; Chen, Shan-Shan; Luo, Xiao-Dong</t>
  </si>
  <si>
    <t>Amphotericin B and 5-flucytosine as fungicides against Penicillium italicum for citrus fruit rot</t>
  </si>
  <si>
    <t>POSTHARVEST BIOLOGY AND TECHNOLOGY</t>
  </si>
  <si>
    <t>Amphotericin B; 5-Flucytosine; Penicillium italicum; Antifungal activity; Membrane integrity</t>
  </si>
  <si>
    <t>ANTIFUNGAL ACTIVITY; ESSENTIAL OILS; ASPERGILLUS; EFFICACY; VORICONAZOLE; FLUCYTOSINE; FLUCONAZOLE; COMBINATION; PATHOGENS; JUJUBE</t>
  </si>
  <si>
    <t>The expansion of the global population and improved living standards has created an increasing demand for fresh fruit. The combination of agricultural and medical development for new fungicides is one of the most effective approaches for keeping fruit fresh. Both amphotericin B and 5-flucytosine are quite safe and have a wide spectrum of antifungal activity. For the purpose of investigating their potential applications for preserving fruit freshness, we evaluated their antifungal efficiencies against Penicillium italicum in vitro and in vivo. The results showed that amphotericin B and 5-flucytosine significantly inhibited spore germination and the mycelial growth of P. italicum. The 5-flucytosine showed much better bioactivity than the well-known agricultural fungicide prochloraz, both in vitro and in vivo. Furthermore, crystal violet staining, propidium iodide dyeing, ultrastructural observation and the ergosterol content indicated that amphotericin B and 5-flucytosine destroyed the cellular ultrastructure and membrane integrity. In addition, nucleic acids (OD260) and proteins (OD280) escaped from P. italicum cells in a dose-dependent manner. The results of this study indicated that amphotericin B and 5-flucytosine have good potential as antifungal preservatives for postharvest citrus fruit due to their excellent antifungal effects, and that the primary mode of action was the destruction of the membrane integrity and permeability of P. italicum.</t>
  </si>
  <si>
    <t>Zhao, Yun</t>
  </si>
  <si>
    <t>[Zhao, Yun; Qin, Xu-Jie; Jin, Qiong; Chen, Shan-Shan; Luo, Xiao-Dong] Chinese Acad Sci, Kunming Inst Bot, State Key Lab Phytochem &amp; Plant Resources West Ch, Kunming 650201, Yunnan, Peoples R China; [Wang, Zhao-Jie; Wang, Xiao-Na; Luo, Xiao-Dong] Yunnan Univ, Sch Chem Sci &amp; Technol, Key Lab Med Chem Nat Resource, Yunnan Characterist Plant Extract Lab, Kunming 650500, Yunnan, Peoples R China; [Zhao, Yun; Qin, Xu-Jie; Jin, Qiong; Chen, Shan-Shan] Univ Chinese Acad Sci, Beijing 100049, Peoples R China</t>
  </si>
  <si>
    <t>Chinese Academy of Sciences; Kunming Institute of Botany, CAS; Yunnan University; Chinese Academy of Sciences; University of Chinese Academy of Sciences, CAS</t>
  </si>
  <si>
    <t>Luo, XD (通讯作者)，Chinese Acad Sci, Kunming Inst Bot, State Key Lab Phytochem &amp; Plant Resources West Ch, Kunming 650201, Yunnan, Peoples R China.</t>
  </si>
  <si>
    <t>xdluo@mail.kib.ac.cn</t>
  </si>
  <si>
    <t>High-level Talent Promotion and Training Project of Kunming, P. R. China [2022SCP003]; Project of Yunnan Characteristic Plant Screening and R&amp;D Service CXO Platform, P. R. China [2022YKZY001]; Scientific and Technological Innovation Team of Yunnan Province, P. R. China [202105AE160006]; State Key Laboratory for Conservation and Utilization of Bio-Resources in Kunming, Yunnan Province, P. R. China</t>
  </si>
  <si>
    <t>High-level Talent Promotion and Training Project of Kunming, P. R. China; Project of Yunnan Characteristic Plant Screening and R&amp;D Service CXO Platform, P. R. China; Scientific and Technological Innovation Team of Yunnan Province, P. R. China; State Key Laboratory for Conservation and Utilization of Bio-Resources in Kunming, Yunnan Province, P. R. China</t>
  </si>
  <si>
    <t>The authors gratefully acknowledge the High-level Talent Promotion and Training Project of Kunming, P. R. China (2022SCP003), Project of Yunnan Characteristic Plant Screening and R&amp;D Service CXO Platform, P. R. China (2022YKZY001), and Scientific and Technological Innovation Team of Yunnan Province, P. R. China (202105AE160006) for partial financial support. Authors thank Advanced Analysis and Measurement Center of Yunnan University for the sample testing service. We are grateful to the State Key Laboratory for Conservation and Utilization of Bio-Resources in Kunming, Yunnan Province, P. R. China for providing fungal cultures.</t>
  </si>
  <si>
    <t>0925-5214</t>
  </si>
  <si>
    <t>1873-2356</t>
  </si>
  <si>
    <t>POSTHARVEST BIOL TEC</t>
  </si>
  <si>
    <t>Postharvest Biol. Technol.</t>
  </si>
  <si>
    <t>10.1016/j.postharvbio.2022.112058</t>
  </si>
  <si>
    <t>Agronomy; Food Science &amp; Technology; Horticulture</t>
  </si>
  <si>
    <t>Agriculture; Food Science &amp; Technology</t>
  </si>
  <si>
    <t>6L5EG</t>
  </si>
  <si>
    <t>WOS:000888205500006</t>
  </si>
  <si>
    <t>He, MQ; Wang, MQ; Chen, ZH; Deng, WQ; Li, TH; Vizzini, A; Jeewon, R; Hyde, KD; Zhao, RL</t>
  </si>
  <si>
    <t>He, Mao-Qiang; Wang, Mei-Qi; Chen, Zuo-Hong; Deng, Wang-Qiu; LI, Tai-Hui; Vizzini, Alfredo; Jeewon, Rajesh; Hyde, Kevin D.; Zhao, Rui-Lin</t>
  </si>
  <si>
    <t>Potential benefits and harms: a review of poisonous mushrooms in the world</t>
  </si>
  <si>
    <t>FUNGAL BIOLOGY REVIEWS</t>
  </si>
  <si>
    <t>Macrofungi; wild mushrooms; oral poisoning; toadstool</t>
  </si>
  <si>
    <t>AGARICUS SECTION XANTHODERMATEI; LIFE-THREATENING CANCER; ALPHA-AMANITIN; TOXICOLOGICAL INVESTIGATIONS; PROLYL OLIGOPEPTIDASE; PSILOCYBIN TREATMENT; RENAL-FAILURE; DOUBLE-BLIND; ANXIETY; CHINA</t>
  </si>
  <si>
    <t>Mushrooms have long been considered as delicacies as well as used as important dietary supplements and food. However, there are major concerns with poisonous mushrooms as these pose threats to public health and safety. In this paper, we provide a review focusing on poisonous mushrooms, their toxins, symptoms and utilizations. In addition, this paper establishes a poisonous mushroom list which includes 643 species from two phyla, 16 orders, 51 families and 148 genera. The toxicity of all these species was verified and 332 species were ranked as P1 signifying that these species have toxic studies and or clinical poisoning case records and 311 species were P2 meaning they had previously been recorded as poisonous in other studies. Furthermore, we discuss advances in technol-ogy including how genomic studies could be used as a breakthrough tool in the field of toxic mushrooms. With this comprehensive review, we aim to promote public awareness of poisonous mushrooms, including how to avoid mushroom poisoning, and how to better utilize poisonous mushroom resources.(c) 2022 British Mycological Society. Published by Elsevier Ltd. All rights reserved.</t>
  </si>
  <si>
    <t>[He, Mao-Qiang; Wang, Mei-Qi; Zhao, Rui-Lin] Chinese Acad Sci, Inst Microbiol, State Key Lab Mycol, Beijing 100101, Peoples R China; [Chen, Zuo-Hong] Hunan Normal Univ, Coll Life Sci, Changsha 410081, Peoples R China; [LI, Tai-Hui] Guangdong Acad Sci, Guangdong Inst Microbiol, State Key Lab Appl Microbiol Southern China, Guangdong Prov Key Lab Microbial Culture Collect &amp;, Guangzhou 510070, Peoples R China; [Vizzini, Alfredo] Univ Torino, Dipartimento Sci Vita &amp; Biol Sistemi, Viale PA Mattioli 25, I-10125 Turin, Italy; [Jeewon, Rajesh] Univ Mauritius, Fac Med &amp; Hlth Sci, Dept Hlth Sci, Reduit, Mauritius; [Hyde, Kevin D.] Mae Fah Luang Univ, Ctr Excellence Fungal Res, Chiang Rai 57100, Thailand; [Hyde, Kevin D.] Chinese Acad Sci, Kunming Inst Bot, CAS Key Lab Plant Biodivers &amp; Biogeog East Asia KL, Kunming 650201, Yunnan, Peoples R China; [Hyde, Kevin D.] Zhongkai Univ Agr &amp; Engn, Innovat Inst Plant Hlth, Guangzhou 510225, Peoples R China; [Wang, Mei-Qi; Zhao, Rui-Lin] Univ Chinese Acad Sci, Coll Life Sci, Beijing 100408, Peoples R China</t>
  </si>
  <si>
    <t>Chinese Academy of Sciences; Institute of Microbiology, CAS; Hunan Normal University; Guangdong Academy of Sciences; Institute of Microbiology, Guangdong Academy of Sciences; University of Turin; University of Mauritius; Mae Fah Luang University; Chinese Academy of Sciences; Kunming Institute of Botany, CAS; Zhongkai University of Agriculture &amp; Engineering; Chinese Academy of Sciences; University of Chinese Academy of Sciences, CAS</t>
  </si>
  <si>
    <t>Zhao, RL (通讯作者)，Chinese Acad Sci, Inst Microbiol, State Key Lab Mycol, Beijing 100101, Peoples R China.</t>
  </si>
  <si>
    <t>National Natural Science Foundation of China [31961143010, 31970010, 31470152, 32100011]; Beijing Innovative Consortium of Agriculture Research System [BAIC05-2021]; CAS Engineering Laboratory for Advanced Microbial Technology of Agriculture [KFJ-PTXM-016]; Biological Resources Programme, Chinese Academy of Sciences [KFJ-BRP-009]; Self-Topic Fund of the State Key Laboratory of Mycology [SKLMZD202102]; Projects of Science and Technology Programs of Guizhou Province [[2019] 2451]; China Postdoctoral Science Foundation [2021M693361]</t>
  </si>
  <si>
    <t>National Natural Science Foundation of China(National Natural Science Foundation of China (NSFC)); Beijing Innovative Consortium of Agriculture Research System; CAS Engineering Laboratory for Advanced Microbial Technology of Agriculture; Biological Resources Programme, Chinese Academy of Sciences; Self-Topic Fund of the State Key Laboratory of Mycology; Projects of Science and Technology Programs of Guizhou Province; China Postdoctoral Science Foundation(China Postdoctoral Science Foundation)</t>
  </si>
  <si>
    <t>Rui-Lin Zhao thanks the National Natural Science Foundation of China (Project ID: 31961143010, 31970010, 31470152) , Beijing Innovative Consortium of Agriculture Research System (Proj- ect ID: BAIC05-2021) , CAS Engineering Laboratory for Advanced Microbial Technology of Agriculture (Project ID: KFJ-PTXM-016) , Biological Resources Programme, Chinese Academy of Sciences (KFJ-BRP-009) , Self-Topic Fund of the State Key Laboratory of Mycology (SKLMZD202102) and Projects of Science and Technology Programs of Guizhou Province {Project ID: [2019] 2451} . Mao-Qiang He thanks China Postdoctoral Science Foundation (Project ID: 2021M693361) and the National Natural Science Foundation of China (Project ID: 32100011) .</t>
  </si>
  <si>
    <t>1749-4613</t>
  </si>
  <si>
    <t>1878-0253</t>
  </si>
  <si>
    <t>FUNGAL BIOL REV</t>
  </si>
  <si>
    <t>Fungal Biol. Rev.</t>
  </si>
  <si>
    <t>10.1016/j.fbr.2022.06.002</t>
  </si>
  <si>
    <t>6Z0CC</t>
  </si>
  <si>
    <t>WOS:000897450800003</t>
  </si>
  <si>
    <t>Han, JJ; Tian, LD; Cai, ZY; Ren, W; Liu, WW; Li, J; Tai, JR</t>
  </si>
  <si>
    <t>Han, Jiaojiao; Tian, Lide; Cai, Zhongyin; Ren, Wei; Liu, Weiwei; Li, Jin; Tai, Jiangrong</t>
  </si>
  <si>
    <t>Season-specific evapotranspiration partitioning using dual water isotopes in a Pinus yunnanensis ecosystem, southwest China</t>
  </si>
  <si>
    <t>JOURNAL OF HYDROLOGY</t>
  </si>
  <si>
    <t>Evapotranspiration partitioning; Water isotopes; Seasonality; Forest ecosystem; Southwest China</t>
  </si>
  <si>
    <t>CARBON-DIOXIDE; SOIL EVAPORATION; STABLE-ISOTOPES; 2-SOURCE MODEL; WINTER-WHEAT; TRANSPIRATION; VAPOR; FOREST; PLANT; FIELD</t>
  </si>
  <si>
    <t>Quantifying the regional evapotranspiration is critical in terrestrial water balance and global water cycle, while partitioning of evapotranspiration is challenging but fundamental to predict the fate of terrestrial ecosystems under climate changes. Here, we performed in-situ measurements of water isotopes in atmospheric vapor, plant tissues and soil pools in a Pinus yunnanensis forest ecosystem in southwest China, aiming to partitioning ET by estimating the stable isotopic compositions of ET and that of its two components, i.e., plant transpiration and soil water evaporation. We used combined high-frequency laser spectroscopy and chamber methods, to constrain the estimates of T/ET. We first found that the estimated daily T/ET ratio ranges from 0.59 to 0.81, with an apparent increasing shift in the early growing season and maintaining a plateau level of over 0.75 during the peak growing season. This higher averaged T/ET of 0.73 +/- 0.06 indicates that plant transpiration is the main component of evapotranspiration. The estimated dE and dT are in agreement with result from customized chamber method. We also found that in monsoon season (in June-September), soil water content is the main control of T/ET variations, with leaf area index playing only a partial role. Our study confirms the critical impact of soil water on the seasonal change of T/ET in Pinus yunnanensis ecosystem such as the SW China. However, we are also aware the sensitivity of controls on estimated T/ET at different time scale interested. Our results here provide insight into the regional hydrological cycle in alpine forest ecosystem and potentially benefits many applications from forest ecosystem protection to paleo isotope archives.</t>
  </si>
  <si>
    <t>Han, Jiaojiao</t>
  </si>
  <si>
    <t>[Han, Jiaojiao; Tian, Lide; Cai, Zhongyin; Ren, Wei; Tai, Jiangrong] Yunnan Univ, Inst Int Rivers &amp; Ecosecur, Kunming 650500, Yunnan, Peoples R China; [Han, Jiaojiao; Tian, Lide; Cai, Zhongyin; Tai, Jiangrong] Yunnan Key Lab Int Rivers &amp; Transboundary Ecosecu, Kunming 650091, Yunnan, Peoples R China; [Ren, Wei] Southwest Univ, Sch Geog Sci, Chongqing Jinfo Mt Karst Ecosyst Natl Observat &amp;, Chongqing 400715, Peoples R China; [Liu, Weiwei; Li, Jin] Chinese Acad Sci, Kunming Inst Bot, Yunnan Lijiang Forest Ecosyst Natl Observat &amp; Res, Kunming, Yunnan, Peoples R China</t>
  </si>
  <si>
    <t>Yunnan University; Southwest University - China; Chinese Academy of Sciences; Kunming Institute of Botany, CAS</t>
  </si>
  <si>
    <t>Tian, LD (通讯作者)，Yunnan Univ, Inst Int Rivers &amp; Ecosecur, Kunming 650500, Yunnan, Peoples R China.</t>
  </si>
  <si>
    <t>ldtian@ynu.edu.cn</t>
  </si>
  <si>
    <t>Strategic Priority Research Program of Chinese Academy of Sciences [XDB40000000]; National Natural Science Foundation of China [41771043]; Applied Basic Research Foundation of Yunnan Province [202001BB050066]</t>
  </si>
  <si>
    <t>Strategic Priority Research Program of Chinese Academy of Sciences(Chinese Academy of Sciences); National Natural Science Foundation of China(National Natural Science Foundation of China (NSFC)); Applied Basic Research Foundation of Yunnan Province</t>
  </si>
  <si>
    <t>We thank two reviewers and editor for their valuable comments and suggestions. This work was supported by the Strategic Priority Research Program of Chinese Academy of Sciences (Grant No. XDB40000000); the National Natural Science Foundation of China (Grant No. 41771043) and the Applied Basic Research Foundation of Yunnan Province (Grant No. 202001BB050066). We thank staff in Yunnan Lijiang Forest Ecosystem National Observation and Research Station, Kunming Institute of Botany, Chinese Academy of Sciences for their assistance.</t>
  </si>
  <si>
    <t>0022-1694</t>
  </si>
  <si>
    <t>1879-2707</t>
  </si>
  <si>
    <t>J HYDROL</t>
  </si>
  <si>
    <t>J. Hydrol.</t>
  </si>
  <si>
    <t>10.1016/j.jhydrol.2022.127672</t>
  </si>
  <si>
    <t>Engineering, Civil; Geosciences, Multidisciplinary; Water Resources</t>
  </si>
  <si>
    <t>Engineering; Geology; Water Resources</t>
  </si>
  <si>
    <t>2U3XU</t>
  </si>
  <si>
    <t>WOS:000823095400006</t>
  </si>
  <si>
    <t>Tan, B; Wang, YX; Zhang, XD; Sun, XJ</t>
  </si>
  <si>
    <t>Tan, Bing; Wang, Yuxi; Zhang, Xudong; Sun, Xiangjun</t>
  </si>
  <si>
    <t>Recent Studies on Protective Effects of Walnuts against Neuroinflammation</t>
  </si>
  <si>
    <t>NUTRIENTS</t>
  </si>
  <si>
    <t>walnuts; neuroinflammation; neurodegenerative diseases; oxidative stress; antioxidant activity; gut microbes</t>
  </si>
  <si>
    <t>ALPHA-LINOLENIC ACID; BETA-AMYLOID PROTEIN; NF-KAPPA-B; OXIDATIVE STRESS; COGNITIVE IMPAIRMENT; MEDITERRANEAN DIET; INDUCED ACTIVATION; BV-2 MICROGLIA; ELLAGIC ACID; GALLIC ACID</t>
  </si>
  <si>
    <t>Neuroinflammation plays a significant role in the aging process and the pathophysiology of neurodegenerative diseases, such as Alzheimer's disease. Accordingly, possible therapeutic strategies aimed at anti-inflammatory effects may be beneficial to brain health. Walnut kernels contain large quantities of unsaturated fatty acids, peptides, and phenolic compounds that have anti-inflammatory effects. The long-term intake of walnuts has been found to improve cognitive function and memory in rats and humans. However, the modulatory effect of walnuts on neuroinflammation has received much less attention. This review focuses on the potential influence and main regulating mechanisms of walnuts and their active ingredients on neuroinflammation, including the regulation of microglia activation induced by amyloid beta or lipopolysaccharides, inhibition of peripheral inflammation mediated by macrophages, reduction in oxidative stress by decreasing free radical levels and boosting antioxidant defenses, and control of gut microbes to maintain homeostasis. However, the majority of evidence of the beneficial effects of walnuts or their components on neuroinflammation and neurodegeneration comes from experimental work, whereas evidence from clinical studies on the beneficial effects is scarcer and less conclusive. This review aims to provide new insights into the neuroinflammation-regulating mechanisms and natural active ingredients of walnuts and the development of walnut-based functional foods for the alleviation of neurodegenerative diseases.</t>
  </si>
  <si>
    <t>Tan, Bing</t>
  </si>
  <si>
    <t>[Tan, Bing; Wang, Yuxi; Sun, Xiangjun] Shanghai Jiao Tong Univ, Sch Agr &amp; Biol, Dept Food Sci &amp; Engn, Shanghai 200240, Peoples R China; [Zhang, Xudong] Chinese Acad Sci, Kunming Inst Bot, Germplasm Bank Wild Species, Kunming 650201, Yunnan, Peoples R China</t>
  </si>
  <si>
    <t>Shanghai Jiao Tong University; Chinese Academy of Sciences; Kunming Institute of Botany, CAS</t>
  </si>
  <si>
    <t>Sun, XJ (通讯作者)，Shanghai Jiao Tong Univ, Sch Agr &amp; Biol, Dept Food Sci &amp; Engn, Shanghai 200240, Peoples R China.</t>
  </si>
  <si>
    <t>xjsun@sjtu.edu.cn</t>
  </si>
  <si>
    <t>Zhang, Xudong/0000-0002-9836-2194</t>
  </si>
  <si>
    <t>Yunnan Applied Basic Research Project [2017FB057]; Yunnan Young &amp; Elite Talents Project [YNWR-QNBJ-2020-284]</t>
  </si>
  <si>
    <t>Yunnan Applied Basic Research Project; Yunnan Young &amp; Elite Talents Project</t>
  </si>
  <si>
    <t>This work was supported by Yunnan Applied Basic Research Project (Grant No. 2017FB057) and Yunnan Young &amp; Elite Talents Project (Grant No. YNWR-QNBJ-2020-284).</t>
  </si>
  <si>
    <t>2072-6643</t>
  </si>
  <si>
    <t>Nutrients</t>
  </si>
  <si>
    <t>10.3390/nu14204360</t>
  </si>
  <si>
    <t>Nutrition &amp; Dietetics</t>
  </si>
  <si>
    <t>5T6DV</t>
  </si>
  <si>
    <t>WOS:000875955500001</t>
  </si>
  <si>
    <t>Zhao, ZH; Deng, ZT; Huang, SL; Ning, MM; Feng, Y; Shen, Y; Zhao, QS; Leng, Y</t>
  </si>
  <si>
    <t>Zhao, Zhuohui; Deng, Zhen-Tao; Huang, Suling; Ning, Mengmeng; Feng, Ying; Shen, Yu; Zhao, Qin-Shi; Leng, Ying</t>
  </si>
  <si>
    <t>Alisol B Alleviates Hepatocyte Lipid Accumulation and Lipotoxicity via Regulating RAR alpha-PPAR gamma-CD36 Cascade and Attenuates Non-Alcoholic Steatohepatitis in Mice</t>
  </si>
  <si>
    <t>Alisol B; non-alcoholic steatohepatitis; RAR alpha; CD36</t>
  </si>
  <si>
    <t>FATTY LIVER; HEPATIC STEATOSIS; RECEPTOR; ORIENTALE; LIPOPROTEINS; 23-ACETATE; AGONIST; CD36</t>
  </si>
  <si>
    <t>Non-alcoholic steatohepatitis (NASH) is a common chronic liver disease worldwide, with no effective therapies available. Discovering lead compounds from herb medicine might be a valuable strategy for the treatment of NASH. Here, we discovered Alisol B, a natural compound isolated from Alisma orientalis (Sam.), that attenuated hepatic steatosis, inflammation, and fibrosis in high-fat diet plus carbon tetrachloride (DIO+CCl4)-induced and choline-deficient and amino acid-defined (CDA)-diet-induced NASH mice. RNA-seq showed Alisol B significantly suppressed CD36 expression and regulated retinol metabolism in NASH mice. In mouse primary hepatocytes, Alisol B decreased palmitate-induced lipid accumulation and lipotoxicity, which were dependent on CD36 suppression. Further study revealed that Alisol B enhanced the gene expression of RAR alpha with no direct RAR alpha agonistic activity. The upregulation of RAR alpha by Alisol B reduced HNF4 alpha and PPAR gamma expression and further decreased CD36 expression. This effect was fully abrogated after RAR alpha knockdown, suggesting Alisol B suppressed CD36 via regulating RAR alpha-HNF4 alpha-PPAR gamma cascade. Moreover, the hepatic gene expression of RAR alpha was obviously decreased in murine NASH models, whereas Alisol B significantly increased RAR alpha expression and decreased CD36 expression, along with the downregulation of HNF4 alpha and PPAR gamma. Therefore, this study showed the unrecognized therapeutic effects of Alisol B against NASH with a novel mechanism by regulating RAR alpha-PPAR gamma-CD36 cascade and highlighted Alisol B as a promising lead compound for the treatment of NASH.</t>
  </si>
  <si>
    <t>Zhao, Zhuohui</t>
  </si>
  <si>
    <t>[Zhao, Zhuohui; Huang, Suling; Ning, Mengmeng; Feng, Ying; Shen, Yu; Leng, Ying] Chinese Acad Sci, Shanghai Inst Mat Med, State Key Lab Drug Res, Shanghai 201203, Peoples R China; [Zhao, Zhuohui; Deng, Zhen-Tao; Zhao, Qin-Shi; Leng, Ying] Univ Chinese Acad Sci, Beijing 100049, Peoples R China; [Deng, Zhen-Tao; Zhao, Qin-Shi] Chinese Acad Sci, Kunming Inst Bot, State Key Lab Phytochem &amp; Plant Resources West Ch, Kunming 650201, Yunnan, Peoples R China</t>
  </si>
  <si>
    <t>Chinese Academy of Sciences; Shanghai Institute of Materia Medica, CAS; Chinese Academy of Sciences; University of Chinese Academy of Sciences, CAS; Chinese Academy of Sciences; Kunming Institute of Botany, CAS</t>
  </si>
  <si>
    <t>Leng, Y (通讯作者)，Chinese Acad Sci, Shanghai Inst Mat Med, State Key Lab Drug Res, Shanghai 201203, Peoples R China.;Zhao, QS; Leng, Y (通讯作者)，Univ Chinese Acad Sci, Beijing 100049, Peoples R China.;Zhao, QS (通讯作者)，Chinese Acad Sci, Kunming Inst Bot, State Key Lab Phytochem &amp; Plant Resources West Ch, Kunming 650201, Yunnan, Peoples R China.</t>
  </si>
  <si>
    <t>201628012342080@simm.ac.cn; dengzhentaoa@mail.kib.ac.cn; slhuang@simm.ac.cn; ningmengmeng@aliyun.com; yingfeng@simm.ac.cn; shenyu1125@simm.ac.cn; qinshizhao@mail.kib.ac.cn; yleng@simm.ac.cn</t>
  </si>
  <si>
    <t>State Key laboratory of Drug Research, Shanghai Institute of Materia Medica, Chinese Academy of Sciences [SIMM2103ZZ-04]; State Key Laboratory of Phytochemistry and Plant Resources in West China [P2022-KF06]</t>
  </si>
  <si>
    <t>State Key laboratory of Drug Research, Shanghai Institute of Materia Medica, Chinese Academy of Sciences(Chinese Academy of Sciences); State Key Laboratory of Phytochemistry and Plant Resources in West China</t>
  </si>
  <si>
    <t>This study was financially supported by a grant from State Key laboratory of Drug Research, Shanghai Institute of Materia Medica, Chinese Academy of Sciences (no. SIMM2103ZZ-04) and the Fund of State Key Laboratory of Phytochemistry and Plant Resources in West China (no. P2022-KF06).</t>
  </si>
  <si>
    <t>10.3390/nu14122411</t>
  </si>
  <si>
    <t>2N1ZE</t>
  </si>
  <si>
    <t>WOS:000818185300001</t>
  </si>
  <si>
    <t>Chen, FY; Geng, CA; Chou, CK; Zheng, JB; Yang, Y; Wang, YF; Li, TZ; Li, P; Chen, JJ; Chen, X</t>
  </si>
  <si>
    <t>Chen, Feng-Yang; Geng, Chang-An; Chou, Chon-Kit; Zheng, Jing-Bin; Yang, Yang; Wang, Yi-Fei; Li, Tian-Ze; Li, Ping; Chen, Ji-Jun; Chen, Xin</t>
  </si>
  <si>
    <t>Distepharinamide, a novel dimeric proaporphine alkaloid from Diploclisia glaucescens, inhibits the differentiation and proliferative expansion of CD4(+)Foxp3(+) regulatory T cells</t>
  </si>
  <si>
    <t>PHYTOMEDICINE</t>
  </si>
  <si>
    <t>Cancer immunotherapy; Treg; Foxp3; Dimeric proaporphine alkaloid; Diploclisia glaucescens</t>
  </si>
  <si>
    <t>HUMANIZED ANTI-CCR4 ANTIBODY; CANCER PATIENTS; TNFR2; DEPLETION; KW-0761</t>
  </si>
  <si>
    <t>Background: CD4(+)Foxp3(+) regulatory T cells (Tregs) represent the primary cellular mechanism of tumor immune evasion. Elimination of Treg activity by the pharmacological agent may enhance anti-tumor immune responses. However, Treg-eliminating agents, especially those with small molecules, are rarely reported. Purpose: To identify small molecule inhibitors of Treg cells from natural products. Methods: Compounds from Diploclisia glaucescens were isolated by column chromatography, and structures were identified by spectroscopic evidence and quantum calculations. The tet-On system for Foxp3-GFP expression in Jurkat T cells was generated to screen Treg inhibitors based on Foxp3 expression. The effect of the compound on TNF-induced proliferative expansion of naturally occurring Tregs (nTregs) and TGF-beta-induced generation of Tregs (iTregs) from naive CD4(+) Tcells was further examined. Results: A novel dimeric proaporphine alkaloid, designated as distepharinamide (DSA) with a symmetric struc-ture isolated from the stems of D. glaucescens, restrained the doxycycline (Doxy)-induced Foxp3-tGFP expression, decreased the half-life of Foxp3 mRNA as well as reduced the mRNA levels of chemokine receptors (CCR4, CCR8 and CCR10) in Jurkat T cells with inducible Foxp3-tGFP expression. In lymphocytes or purified Tregs from wild-type C57BL/6 mice or from C57BL/6-Tg(Foxp3-DTR/EGFP)23.2Spar/Mmjax mice, DSA markedly inhibited TNF-induced proliferative expansion of Tregs present in the unfractionated CD4(+) T cells, accompanied by the down-regulation of TNFR2, CD25 and CTLA4 expression on Tregs. Furthermore, DSA potently inhibited TGF-beta-induced differentiation of Foxp3-expressing iTregs. Importantly, the expression of Foxp3 mRNA by both nTregs and iTregs was decreased by DSA treatment. Nevertheless, DSA at the same concentrations did not inhibit the proliferation of conventional CD4(+) and CD8(+) T cells stimulated by anti-CD3/CD28 antibodies. Conclusion: DSA, a novel dimeric proaporphine alkaloid, potently inhibited the expansion of nTregs and generation of iTregs. Therefore, DSA or its analogs may merit further investigation as novel immunotherapeutic agents.</t>
  </si>
  <si>
    <t>Chen, Feng-Yang</t>
  </si>
  <si>
    <t>[Chen, Feng-Yang; Chou, Chon-Kit; Zheng, Jing-Bin; Yang, Yang; Wang, Yi-Fei; Li, Ping; Chen, Xin] Univ Macau, Inst Chinese Med Sci, State Key Lab Qual Res Chinese Med, Macau 999078, Peoples R China; [Geng, Chang-An; Li, Tian-Ze; Chen, Ji-Jun] Chinese Acad Sci, Kunming Inst Bot, State Key Lab Phytochem &amp; Plant Resources West Chi, Kunming 650201, Peoples R China; [Chen, Feng-Yang] Hangzhou Med Coll, Sch Basic Med Sci &amp; Forens Med, Hangzhou 310053, Peoples R China</t>
  </si>
  <si>
    <t>University of Macau; Chinese Academy of Sciences; Kunming Institute of Botany, CAS; Hangzhou Medical College</t>
  </si>
  <si>
    <t>Chen, X (通讯作者)，Univ Macau, Inst Chinese Med Sci, State Key Lab Qual Res Chinese Med, Macau 999078, Peoples R China.;Chen, JJ (通讯作者)，Chinese Acad Sci, Kunming Inst Bot, State Key Lab Phytochem &amp; Plant Resources West Chi, Kunming 650201, Peoples R China.</t>
  </si>
  <si>
    <t>chenjj@mail.kib.ac.cn; xchen@umac.mo</t>
  </si>
  <si>
    <t>chen, JJ/HGB-6029-2022; Li, Ping/GYV-4914-2022; Chen, Xin/I-6601-2015</t>
  </si>
  <si>
    <t>Chen, Xin/0000-0002-2628-4027</t>
  </si>
  <si>
    <t>National Natural Science Foundation of China [81961160709]; Macao Science and Technology Development Fund (FDCT) [0056/2019/AFJ, 0099/2021/A2, SKL-QRCM (UM)-2020-2022]; University of Macau [MYRG2019-00169-ICMS, CPG2021-00007-ICMS, MYRG2022-00260-ICMS, YNWR-KJLJ-2019-002]</t>
  </si>
  <si>
    <t>National Natural Science Foundation of China(National Natural Science Foundation of China (NSFC)); Macao Science and Technology Development Fund (FDCT); University of Macau</t>
  </si>
  <si>
    <t>This work was supported by the National Natural Science Foundation of China (81961160709) ; Macao Science and Technology Development Fund (FDCT) under grant 0056/2019/AFJ, 0099/2021/A2 and SKL- QRCM (UM) -2020-2022; University of Macau under Grants MYRG2019- 00169-ICMS, CPG2021-00007-ICMS, MYRG2022-00260-ICMS and Xingdian Yingcai Project (YNWR-KJLJ-2019-002) .</t>
  </si>
  <si>
    <t>ELSEVIER GMBH</t>
  </si>
  <si>
    <t>MUNICH</t>
  </si>
  <si>
    <t>HACKERBRUCKE 6, 80335 MUNICH, GERMANY</t>
  </si>
  <si>
    <t>0944-7113</t>
  </si>
  <si>
    <t>1618-095X</t>
  </si>
  <si>
    <t>Phytomedicine</t>
  </si>
  <si>
    <t>10.1016/j.phymed.2022.154482</t>
  </si>
  <si>
    <t>Plant Sciences; Chemistry, Medicinal; Integrative &amp; Complementary Medicine; Pharmacology &amp; Pharmacy</t>
  </si>
  <si>
    <t>Plant Sciences; Pharmacology &amp; Pharmacy; Integrative &amp; Complementary Medicine</t>
  </si>
  <si>
    <t>5J3KQ</t>
  </si>
  <si>
    <t>WOS:000868943200001</t>
  </si>
  <si>
    <t>Dai, Z; Zhu, PF; Liu, H; Li, XC; Zhu, YY; Liu, YY; Shi, XL; Chen, WD; Liu, YP; Zhao, YL; Zhao, LX; Liu, HY; Luo, XD</t>
  </si>
  <si>
    <t>Dai, Zhi; Zhu, Pei-Feng; Liu, Hui; Li, Xuan-Chen; Zhu, Yan-Yan; Liu, Yang-Yang; Shi, Xiao-Long; Chen, Wei-Di; Liu, Ya-Ping; Zhao, Yun-li; Zhao, Li-Xing; Liu, Hai-Yang; Luo, Xiao-Dong</t>
  </si>
  <si>
    <t>Discovery of potent immune-modulating molecule taccaoside A against cancers from structures-active relationships of natural steroidal saponins</t>
  </si>
  <si>
    <t>Steroidal saponins; Structure-activity relationship; Immunomodulation; Taccaoside A; T-cell; Cancer immunotherapy</t>
  </si>
  <si>
    <t>CELL; PROLIFERATION; MECHANISM</t>
  </si>
  <si>
    <t>Background: In recent years, the T-cell therapy and immune checkpoint inhibitors toward CTLA-4 and PD-1/PDLl axis antibody therapy have acquired encouraging success. However, most of patients were still not benefited with lots of troubles, such as low penetration of tissues/cells, strong immunogenicity and cytokine release syndrome, and long manufacturing process and expensive costs. By contrast, the immune-modulating small molecules possessed natural advantages to overcome these obstacles and might achieve greater success. Purpose: Exploring the potent immune-modulating natural small molecules and revealing what kinds of molecules or structures with the immunomodulatory activity against cancers. Methods: A novel non-cytotoxic T-cell immunomodulating screening model was used to identify the cytotoxic/selective/immunomodulatory bioactivity for 148 natural steroidal saponins. The structure-activity relationships (SARs) research was used to reveal the key groups for immunomodulation/cytotoxicity/selectivity. The negative selection was used to isolate and purify the T-cell. The cell viability assay was used to measure the anti-cancer effect in vitro. The ELISA assay was used to detect the cytokines for IL-1 beta, IL-6, TNF-alpha, IFN-gamma, IL-12, perforM and granzyme B (GZMB). The western blotting assay was used to research the immunomodulatory mechanism. The siRNA knockdown was used to generate the IFN-gamma resistant melanoma cells. The NOG immune-deficient mice were used to evaluate the anti-tumor efficacy in vivo. The peripheral blood samples from 10 cancer patients were used to detect the broad population anti-tumor efficacy. Results: It was reported that the correlation among structures and immunomodulation/ cytotoxicity/selectivity, in which opening ring-F with 26-0-glucopyranosyl, disaccharide and trisaccharide chains at C-3, steric hindrance and polarity of C-22 were key immunomodulatory groups. Moreover, taccaoside A was identified as the most potent candidate against cancer cells, including non-small cell lung cancer, triple negative breast cancer, and the IFN-y resistant melanoma, partly through enhancing T lymphocyte mTORC1-Blimp-1 signal to secrete GZMB. Besides, 10 patients derived T-cell also would be modulated against cancer cells in vitro. Moreover, the overall survival was great extended (&gt;140 days vs 93 days) with nearly 100% tumor burden disappearance (0 mm(3) vs 1006 +/- 79.5 mm(3)) in mice. Conclusion: This work demonstrated one possibility for this concerned purpose, and identified a potent immunemodulating natural molecule taccaoside A, which might contribute to cancer immunotherapy in future.</t>
  </si>
  <si>
    <t>Dai, Zhi</t>
  </si>
  <si>
    <t>[Dai, Zhi; Zhu, Yan-Yan; Liu, Yang-Yang; Shi, Xiao-Long; Zhao, Yun-li; Zhao, Li-Xing; Luo, Xiao-Dong] Yunnan Univ, Sch Chem Sci &amp; Technol, Key Lab Med Chem Nat Resource, Yunnan Characterist Plant Extract Lab,Minist Educ, Kunming 650500, Peoples R China; [Zhu, Pei-Feng; Liu, Hui; Chen, Wei-Di; Liu, Ya-Ping; Liu, Hai-Yang; Luo, Xiao-Dong] Chinese Acad Sci, Kunming Inst Bot, State Key Lab Phytochemistry &amp; Plant Resources Wes, Kunming 650201, Peoples R China; [Li, Xuan-Chen] Kunming Med Univ, Dept Neurosurg, Affiliated Hosp 2, Kunming 650101, Peoples R China</t>
  </si>
  <si>
    <t>Yunnan University; Chinese Academy of Sciences; Kunming Institute of Botany, CAS; Kunming Medical University</t>
  </si>
  <si>
    <t>Luo, XD (通讯作者)，Yunnan Univ, Sch Chem Sci &amp; Technol, Key Lab Med Chem Nat Resource, Yunnan Characterist Plant Extract Lab,Minist Educ, Kunming 650500, Peoples R China.;Luo, XD (通讯作者)，Chinese Acad Sci, Kunming Inst Bot, State Key Lab Phytochemistry &amp; Plant Resources Wes, Kunming 650201, Peoples R China.</t>
  </si>
  <si>
    <t>Li, Xuanchen/0000-0003-4922-0226</t>
  </si>
  <si>
    <t>Yunnan Joint Funds of the National Natural Science Foundation of China [U1802281]; High-level Talent Promotion and Training Project of Kunming [2022SCP004]</t>
  </si>
  <si>
    <t>Yunnan Joint Funds of the National Natural Science Foundation of China; High-level Talent Promotion and Training Project of Kunming</t>
  </si>
  <si>
    <t>This work was financially supported by the Yunnan Joint Funds of the National Natural Science Foundation of China (U1802281) , and the Spring City Plan: the High-level Talent Promotion and Training Project of Kunming (2022SCP004) . We thanks the Advanced Analysis and Measurement Center of Yunnan University for technical support.</t>
  </si>
  <si>
    <t>10.1016/j.phymed.2022.154335</t>
  </si>
  <si>
    <t>3U5CX</t>
  </si>
  <si>
    <t>WOS:000840989700003</t>
  </si>
  <si>
    <t>Li, R; Zhao, YL; Qin, F; Zhao, Y; Xiao, XR; Cao, WY; Fan, MR; Wang, SG; Wu, Y; Wang, B; Fan, CZ; Guo, ZN; Yang, QN; Zhang, WT; Li, XG; Li, F; Luo, XD; Gao, R</t>
  </si>
  <si>
    <t>Li, Rui; Zhao, Yun-Li; Qin, Feng; Zhao, Yang; Xiao, Xue-Rong; Cao, Wei-Yi; Fan, Mao-Rong; Wang, Shu-Ge; Wu, Yi; Wang, Bing; Fan, Chang-Zheng; Guo, Zhong-Ning; Yang, Qiao-Ning; Zhang, Wan-Tong; Li, Xin-Gang; Li, Fei; Luo, Xiao-Dong; Gao, Rui</t>
  </si>
  <si>
    <t>The clinical population pharmacokinetics, metabolomics and therapeutic analysis of alkaloids from Alstonia scholaris leaves in acute bronchitis patients</t>
  </si>
  <si>
    <t>Indole alkaloid; Alstonia scholaris; Acute tracheobronchitis; Population pharmacokinetics; Metabolomics</t>
  </si>
  <si>
    <t>MONOTERPENOID INDOLE ALKALOIDS; DOUBLE-BLIND; MASS-SPECTROMETRY; LIQUID; MICE; CONSTITUENTS; EXTRACT; SAFETY; LYSOPHOSPHATIDYLCHOLINE; METABOLITES</t>
  </si>
  <si>
    <t>Background: Capsule of alkaloids from leaf of Alstonia scholaris (CALAS) is a new investigational botanical drug (No. 2011L01436) for respiratory disease. Clinical population pharmacokinetics (PK), metabolomics and therapeutic data are essential to guide dosing in patients. Previous research has demonstrated the potential therapeutic effect of CALAS on acute bronchitis. Further clinical trial data are needed to verify its clinical efficacy, pharmacokinetics behavior, and influence of dosage and other factors. Purpose: To verify the clinical efficacy and explore the potential biomarkers related to CALAS treatment for acute bronchitis.Materials and Methods: : Oral CALAS was assessed in a randomized, double-blind, placebo-controlled trial. Fiftyfive eligible patients were randomly assigned to four cohorts to receive 20, 40 or 80 mg, of CALAS three times daily for seven days, or placebo. Each CALAS cohort included 15 subjects, and the placebo group included 10 subjects. A population PK model of CALAS was developed using plasma with four major alkaloid components. Metabolomics analysis was performed to identify biomarkers correlated with the therapeutic effect of CALAS, and efficacy and safety were assessed based on clinical symptoms and adverse events.Results: The symptoms of acute bronchitis were alleviated by CALAS treatment without serious adverse events or clinically significant changes in vital signs, electrocardiography or upper abdominal Doppler ultrasonography. Moreover, one compartment model with first-order absorption showed that an increase in aspartate transaminase will reduce the clearance (CL) of scholaricine, and picrinine CL was inversely proportional to body mass index, while 19-epischolaricine and vallesamine CL increased with aging. The serum samples from acute bronchitis patients at different time points were analyzed using UPLC-QTOF in combination with the orthogonal projection to latent structures-discriminant analysis, which indicated higher levels of lysophosphatidylcholines, lysophosphatidylethanolamines and amino acids with CALAS treatment than with placebo.Conclusion: This is the first study to evaluate the clinical efficacy and explored the potential biomarkers related to CALAS therapeutic mechanism of acute bronchitis by means of clinical trial combined the metabolomics study. This exploratory study provides a basis for further research on clinical efficacy and optimal dosing regimens based on pharmacokinetics behavior. Additional acute bronchitis patients and CALAS PK samples collected in future studies may be used to improve model performance and maximize its clinical value.</t>
  </si>
  <si>
    <t>Li, Rui</t>
  </si>
  <si>
    <t>[Li, Rui; Zhao, Yang; Cao, Wei-Yi; Fan, Mao-Rong; Wang, Shu-Ge; Wu, Yi; Wang, Bing; Fan, Chang-Zheng; Guo, Zhong-Ning; Yang, Qiao-Ning; Zhang, Wan-Tong; Gao, Rui] China Acad Chinese Med Sci, Inst Clin Pharmacol, Xiyuan Hosp, Natl Clin Res Ctr Chinese Med Cardiol, 1 R Xiyuangcaochang, Beijing 100091, Peoples R China; [Li, Rui] Natl Clin Res Ctr Chinese Med Cardiol, NMPA Key Lab Clin Res &amp; Evaluat Tradit Chinese Me, Beijing, Peoples R China; [Xiao, Xue-Rong; Li, Fei; Luo, Xiao-Dong] Chinese Acad Sci, Kunming Inst Bot, State Key Lab Phytochem &amp; Plant Resources West Ch, Kunming 650201, Yunnan, Peoples R China; [Zhao, Yun-Li; Luo, Xiao-Dong] Yunnan Univ, Sch Chem Sci &amp; Technol, Key Lab Med Chem Nat Resource, Minist Educ, Kunming 650091, Yunnan, Peoples R China; [Zhao, Yun-Li; Luo, Xiao-Dong] Yunnan Univ, Yunnan Prov Ctr Res &amp; Dev Nat Prod, Sch Chem Sci &amp; Technol, Kunming 650091, Yunnan, Peoples R China; [Qin, Feng] Shenyang Pharmaceut Univ, Dept Analyt Chem, 103 Wenhua Rd, Shenyang 110016, Peoples R China; [Li, Xin-Gang] Capital Med Univ, Beijing Friendship Hosp, Dept Pharm, Beijing 100050, Peoples R China; [Li, Fei] Sichuan Univ, West China Hosp, Frontiers Sci Ctr Dis Related Mol Network, Lab Metabol &amp; Drug Induced Liver Injury, Chengdu 610041, Peoples R China</t>
  </si>
  <si>
    <t>China Academy of Chinese Medical Sciences; Xiyuan Hospital, CACMS; Chinese Academy of Sciences; Kunming Institute of Botany, CAS; Yunnan University; Yunnan University; Shenyang Pharmaceutical University; Capital Medical University; Sichuan University</t>
  </si>
  <si>
    <t>Li, XG; Li, F; Luo, XD; Gao, R (通讯作者)，Chinese Acad Sci, State Key Lab Phytochem &amp; Plant Resources, West China Kunming Inst Bot, ChenDongWaiHuan Rd 2, Kunming, Yunnan, Peoples R China.</t>
  </si>
  <si>
    <t>lxg198320022003@163.com; lifeib@mail.kib.ac.cn; xdluo@mail.kib.ac.cn; xyyygr@126.com</t>
  </si>
  <si>
    <t>Fan, Changzheng/GRR-7907-2022</t>
  </si>
  <si>
    <t>Natural Science Foundation of China [81603505]; National Key Research and Development Program of China [2017YFC1704007]; Science and Technology Innovation Project, China Academy of Chinese Medical Sciences [CI2021A00903]</t>
  </si>
  <si>
    <t>Natural Science Foundation of China(National Natural Science Foundation of China (NSFC)); National Key Research and Development Program of China; Science and Technology Innovation Project, China Academy of Chinese Medical Sciences</t>
  </si>
  <si>
    <t>Acknowledgments We thank all the volunteers participating in the clinical trial and the operation team of Xiyuan Hospital for carrying out this trial. The authors are grateful to Natural Science Foundation of China (81603505) , the National Key Research and Development Program of China (2017YFC1704007) , Science and Technology Innovation Project, China Academy of Chinese Medical Sciences (CI2021A00903) for partial financial support.</t>
  </si>
  <si>
    <t>10.1016/j.phymed.2022.153979</t>
  </si>
  <si>
    <t>1F3CU</t>
  </si>
  <si>
    <t>WOS:000795049600004</t>
  </si>
  <si>
    <t>Li, X; Li, BQ; Jin, T; Chen, HF; Zhao, GJ; Qin, XS; Yang, YP; Xu, JC</t>
  </si>
  <si>
    <t>Li, Xiong; Li, Boqun; Jin, Tao; Chen, Huafang; Zhao, Gaojuan; Qin, Xiangshi; Yang, Yongping; Xu, Jianchu</t>
  </si>
  <si>
    <t>Rhizospheric microbiomics integrated with plant transcriptomics provides insight into the Cd response mechanisms of the newly identified Cd accumulator Dahlia pinnata</t>
  </si>
  <si>
    <t>FRONTIERS IN PLANT SCIENCE</t>
  </si>
  <si>
    <t>heavy metal contamination; phytoextraction; Dahlia pinnata; rhizobacteria; signal transduction</t>
  </si>
  <si>
    <t>PHYTOREMEDIATION; GROWTH; L.</t>
  </si>
  <si>
    <t>Phytoremediation that depends on excellent plant resources and effective enhancing measures is important for remediating heavy metal-contaminated soils. This study investigated the cadmium (Cd) tolerance and accumulation characteristics of Dahlia pinnata Cav. to evaluate its Cd phytoremediation potential. Testing in soils spiked with 5-45 mg kg(-1) Cd showed that D. pinnata has a strong Cd tolerance capacity and appreciable shoot Cd bioconcentration factors (0.80-1.32) and translocation factors (0.81-1.59), indicating that D. pinnata can be defined as a Cd accumulator. In the rhizosphere, Cd stress (45 mg kg(-1) Cd) did not change the soil physicochemical properties but influenced the bacterial community composition compared to control conditions. Notably, the increased abundance of the bacterial phylum Patescibacteria and the dominance of several Cd-tolerant plant growth-promoting rhizobacteria (e.g., Sphingomonas, Gemmatimonas, Bryobacter, Flavisolibacter, Nocardioides, and Bradyrhizobium) likely facilitated Cd tolerance and accumulation in D. pinnata. Comparative transcriptomic analysis showed that Cd significantly induced (P &lt; 0.001) the expression of genes involved in lignin synthesis in D. pinnata roots and leaves, which are likely to fix Cd2+ to the cell wall and inhibit Cd entry into the cytoplasm. Moreover, Cd induced a sophisticated signal transduction network that initiated detoxification processes in roots as well as ethylene synthesis from methionine metabolism to regulate Cd responses in leaves. This study suggests that D. pinnata can be potentially used for phytoextraction and improves our understanding of Cd-response mechanisms in plants from rhizospheric and molecular perspectives.</t>
  </si>
  <si>
    <t>[Li, Xiong; Chen, Huafang; Zhao, Gaojuan; Xu, Jianchu] Chinese Acad Sci, Kunming Inst Bot, Dept Econ Plants &amp; Biotechnol, Yunnan Key Lab Wild Plant Resources, Kunming, Peoples R China; [Li, Xiong; Chen, Huafang; Zhao, Gaojuan; Xu, Jianchu] Chinese Acad Sci, Kunming Inst Bot, Ctr Mt Futures, Kunming, Peoples R China; [Li, Xiong; Qin, Xiangshi; Yang, Yongping] Chinese Acad Sci, Kunming Inst Bot, Germplasm Bank Wild Species, Kunming, Peoples R China; [Li, Boqun; Jin, Tao] Chinese Acad Sci, Kunming Inst Bot, Sci &amp; Technol Informat Ctr, Kunming, Peoples R China; [Yang, Yongping] Chinese Acad Sci, Xishuangbanna Trop Bot Garden, Xishuangbanna, Peoples R China</t>
  </si>
  <si>
    <t>Li, X (通讯作者)，Chinese Acad Sci, Kunming Inst Bot, Dept Econ Plants &amp; Biotechnol, Yunnan Key Lab Wild Plant Resources, Kunming, Peoples R China.;Li, X (通讯作者)，Chinese Acad Sci, Kunming Inst Bot, Ctr Mt Futures, Kunming, Peoples R China.;Li, X (通讯作者)，Chinese Acad Sci, Kunming Inst Bot, Germplasm Bank Wild Species, Kunming, Peoples R China.</t>
  </si>
  <si>
    <t>Youth Innovation Promotion Association CAS; Special Project for Basic Research of Yunnan Province;  [2020387];  [2022397];  [202201AT070185]</t>
  </si>
  <si>
    <t xml:space="preserve">Youth Innovation Promotion Association CAS; Special Project for Basic Research of Yunnan Province; ; ; </t>
  </si>
  <si>
    <t>Funding This work was financially supported by the Youth Innovation Promotion Association CAS (2020387, 2022397) and the Special Project for Basic Research of Yunnan Province (202201AT070185).</t>
  </si>
  <si>
    <t>FRONTIERS MEDIA SA</t>
  </si>
  <si>
    <t>LAUSANNE</t>
  </si>
  <si>
    <t>AVENUE DU TRIBUNAL FEDERAL 34, LAUSANNE, CH-1015, SWITZERLAND</t>
  </si>
  <si>
    <t>1664-462X</t>
  </si>
  <si>
    <t>FRONT PLANT SCI</t>
  </si>
  <si>
    <t>Front. Plant Sci.</t>
  </si>
  <si>
    <t>10.3389/fpls.2022.1091056</t>
  </si>
  <si>
    <t>7J9OU</t>
  </si>
  <si>
    <t>WOS:000904915700001</t>
  </si>
  <si>
    <t>Liu, YY; Li, WJ; Sui, XL; Li, AR; Li, KH; Gong, YM</t>
  </si>
  <si>
    <t>Liu, Yanyan; Li, Wenjun; Sui, Xiaolin; Li, Airong; Li, Kaihui; Gong, Yanming</t>
  </si>
  <si>
    <t>An exotic plant successfully invaded as a passenger driven by light availability</t>
  </si>
  <si>
    <t>resource competition; invasive annual plant; species richness; species removal; fertilization; driver-passenger models</t>
  </si>
  <si>
    <t>INVASIVE PLANTS; SPECIES RICHNESS; SOIL; IMPACTS; ALIEN; BIODIVERSITY; COMMUNITIES; DIVERSITY; TRAITS; COMPETITION</t>
  </si>
  <si>
    <t>Invasive exotic plant species (IEPs) are widely distributed across the globe, but whether IEPs are drivers or passengers of habitat change in the invaded spaces remains unclear. Here, we carried out a vegetation and soil survey in 2018 and two independent field experiments (Pedicularis kansuensis removal in 2014 and 2015, and fertilization experiment since 2012) and found that the invasive annual P. kansuensis was at a disadvantage in light competition compared with perennial native grasses, but the successful invasion of P. kansuensis was due to the sufficient light resources provided by the reduced coverage of the native species. Conversely, nitrogen enrichment can effectively inhibit P. kansuensis invasion by increasing the photocompetitive advantage of the native species. sP. kansuensis invasion did not reduce species richness, but did increase plant community coverage, productivity and soil nutrients. Furthermore, the removal of P. kansuensis had little effect on the plant community structure and soil properties. Our results suggest that the passenger model perfectly explains the benign invasive mechanism of P. kansuensis. The invasion ticket of P. kansuensis is a spare ecological niche for light resources released by overgrazing.</t>
  </si>
  <si>
    <t>Liu, Yanyan</t>
  </si>
  <si>
    <t>[Liu, Yanyan; Li, Kaihui; Gong, Yanming] Chinese Acad Sci, Xinjiang Inst Ecol &amp; Geog, Bayinbuluk Grassland Ecosyst Res Stn, Urumqi, Peoples R China; [Liu, Yanyan; Li, Kaihui; Gong, Yanming] Chinese Acad Sci, Res Ctr Ecol &amp; Environm Cent Asia, Urumqi, Peoples R China; [Li, Wenjun] Chinese Acad Sci, Xinjiang Inst Ecol &amp; Geog, State Key Lab Desert &amp; Oasis Ecol, Urumqi, Peoples R China; [Sui, Xiaolin; Li, Airong] Chinese Acad Sci, Dept Econ Plants &amp; Biotechnol, Yunnan Key Lab Wild Plant Resources, Kunming, Peoples R China</t>
  </si>
  <si>
    <t>Chinese Academy of Sciences; Xinjiang Institute of Ecology &amp; Geography, CAS; Chinese Academy of Sciences; Chinese Academy of Sciences; Xinjiang Institute of Ecology &amp; Geography, CAS; Chinese Academy of Sciences</t>
  </si>
  <si>
    <t>Gong, YM (通讯作者)，Chinese Acad Sci, Xinjiang Inst Ecol &amp; Geog, Bayinbuluk Grassland Ecosyst Res Stn, Urumqi, Peoples R China.;Gong, YM (通讯作者)，Chinese Acad Sci, Res Ctr Ecol &amp; Environm Cent Asia, Urumqi, Peoples R China.</t>
  </si>
  <si>
    <t>gongym@ms.xjb.ac.cn</t>
  </si>
  <si>
    <t>CAS Light of West China Program; National Natural Science Foundation of China;  [2019-XBQNXZ-B-002];  [2018-XBQNXZ-B-013];  [31872686];  [U1903104]</t>
  </si>
  <si>
    <t xml:space="preserve">CAS Light of West China Program; National Natural Science Foundation of China(National Natural Science Foundation of China (NSFC)); ; ; ; </t>
  </si>
  <si>
    <t>Funding This work was supported by the CAS Light of West China Program (2019-XBQNXZ-B-002 and 2018-XBQNXZ-B-013), the National Natural Science Foundation of China (No. 31872686 and U1903104).</t>
  </si>
  <si>
    <t>10.3389/fpls.2022.1047670</t>
  </si>
  <si>
    <t>7B6WL</t>
  </si>
  <si>
    <t>WOS:000899271200001</t>
  </si>
  <si>
    <t>Aoki, N; Cui, S; Ito, C; Kumaishi, K; Kobori, S; Ichihashi, Y; Yoshida, S</t>
  </si>
  <si>
    <t>Aoki, Natsumi; Cui, Songkui; Ito, Chiharu; Kumaishi, Kie; Kobori, Shungo; Ichihashi, Yasunori; Yoshida, Satoko</t>
  </si>
  <si>
    <t>Phenolic signals for prehaustorium formation in Striga hermonthica</t>
  </si>
  <si>
    <t>striga; prehaustorium; phenolics; quinone; parasitic plants</t>
  </si>
  <si>
    <t>AGROBACTERIUM VIRULENCE GENES; HAUSTORIUM DEVELOPMENT; QUINONE OXIDOREDUCTASE; PARASITIC ANGIOSPERMS; PLANT; MECHANISM; ACTIVATION; KINASE</t>
  </si>
  <si>
    <t>Striga hermonthica is a root parasitic plant that causes considerable crop yield losses. To parasitize host plants, parasitic plants develop a specialized organ called the haustorium that functions in host invasion and nutrient absorption. The initiation of a prehaustorium, the primitive haustorium structure before host invasion, requires the perception of host-derived compounds, collectively called haustorium-inducing factors (HIFs). HIFs comprise quinones, phenolics, flavonoids and cytokinins for S. hermonthica; however, the signaling pathways from various HIFs leading to prehaustorium formation remain largely uncharacterized. It has been proposed that quinones serve as direct signaling molecules for prehaustorium induction and phenolic compounds originating from the host cell wall are the oxidative precursors, but the overlap and distinction of their downstream signaling remain unknown. Here we show that quinone and phenolic-triggered prehaustorium induction in S. hermonthica occurs through partially divergent signaling pathways. We found that ASBr, an inhibitor of acetosyringone in virulence gene induction in the soil bacterium Agrobacterium, compromised prehaustorium formation in S. hermonthica. In addition, LGR-991, a competitive inhibitor of cytokinin receptors, inhibited phenolic-triggered but not quinone-triggered prehaustorium formation, demonstrating divergent signaling pathways of phenolics and quinones for prehaustorium formation. Comparisons of genome-wide transcriptional activation in response to either phenolic or quinone-type HIFs revealed markedly distinct gene expression patterns specifically at the early initiation stage. While quinone DMBQ triggered rapid and massive transcriptional changes in genes at early stages, only limited numbers of genes were induced by phenolic syringic acid. The number of genes that are commonly upregulated by DMBQ and syringic acid is gradually increased, and many genes involved in oxidoreduction and cell wall modification are upregulated at the later stages by both HIFs. Our results show kinetic and signaling differences in quinone and phenolic HIFs, providing useful insights for understanding how parasitic plants interpret different host signals for successful parasitism.</t>
  </si>
  <si>
    <t>Aoki, Natsumi</t>
  </si>
  <si>
    <t>[Aoki, Natsumi; Cui, Songkui; Ito, Chiharu; Yoshida, Satoko] Nara Inst Sci &amp; Technol, Grad Sch Sci &amp; Technol, Div Biol Sci, Ikoma, Japan; [Cui, Songkui] Chinese Acad Sci, Kunming Inst Bot, Dept Econ Plants &amp; Biotechnol, Yunnan Key Lab Wild Plant Resources, Kunming, Peoples R China; [Kumaishi, Kie; Kobori, Shungo; Ichihashi, Yasunori] RIKEN BioResource Res Ctr, Tsukuba, Japan</t>
  </si>
  <si>
    <t>Nara Institute of Science &amp; Technology; Chinese Academy of Sciences; Kunming Institute of Botany, CAS; RIKEN</t>
  </si>
  <si>
    <t>Yoshida, S (通讯作者)，Nara Inst Sci &amp; Technol, Grad Sch Sci &amp; Technol, Div Biol Sci, Ikoma, Japan.</t>
  </si>
  <si>
    <t>satokoy@bs.naist.jp</t>
  </si>
  <si>
    <t>KAKENHI; JST PRESTO [19K16169, JP19K22432, JP21H02506, JP20H05909]; Asahi Glass Foundation [JPMJPR194D]; Foundation for NAIST</t>
  </si>
  <si>
    <t>KAKENHI(Ministry of Education, Culture, Sports, Science and Technology, Japan (MEXT)Japan Society for the Promotion of ScienceGrants-in-Aid for Scientific Research (KAKENHI)); JST PRESTO(Japan Science &amp; Technology Agency (JST)); Asahi Glass Foundation; Foundation for NAIST</t>
  </si>
  <si>
    <t>This work was partly supported by KAKENHI grant numbers 19K16169 to SC, JP19K22432, JP21H02506 and JP20H05909, and JST PRESTO grant number JPMJPR194D to SY. This work was partially supported by the Asahi Glass Foundation, and Foundation for NAIST.</t>
  </si>
  <si>
    <t>DEC 6</t>
  </si>
  <si>
    <t>10.3389/fpls.2022.1077996</t>
  </si>
  <si>
    <t>7C9CS</t>
  </si>
  <si>
    <t>WOS:000900102600001</t>
  </si>
  <si>
    <t>Ye, JW; Tian, B; Li, DZ</t>
  </si>
  <si>
    <t>Ye, Jun-Wei; Tian, Bin; Li, De-Zhu</t>
  </si>
  <si>
    <t>Monsoon intensification in East Asia triggered the evolution of its flora</t>
  </si>
  <si>
    <t>east asian monsoon; endemism; late miocene; pleistocene; tertiary relict</t>
  </si>
  <si>
    <t>SOUTH CHINA SEA; MOLECULAR PHYLOGEOGRAPHY; SUBTROPICAL CHINA; TEMPERATE PLANTS; RELICT PLANTS; HISTORY; INSIGHTS; DIVERSIFICATION; BIODIVERSITY; DIVERSITY</t>
  </si>
  <si>
    <t>IntroductionEast Asia (EA), which falls within the region of the Asian monsoon that is composed of the East Asia monsoon (EAM) and the Indian monsoon (IM), is known for its high species diversity and endemism. This has been attributed to extreme physiographical heterogeneity in conjunction with climate and sea-level changes during the Pleistocene, this hypothesis has been widely proven by phylogeographic studies. Recently, dated phylogenies have indicated that the origins (stem age) of the flora occurred after the Oligocene-Miocene boundary and are related to the establishment of the EAM. MethodsHence, this study further examined whether the strengthening of the monsoons triggered floral evolution via a meta-analysis of the tempo-spatial pattern of evolutionary radiation dates (crown ages) of 101 endemic seed plant genera. ResultsTaxonomic diversification began during the late Eocene, whereas the accumulated number of diversifications did not significantly accelerate until the late Miocene. The distribution of the weighted mean and the average divergence times in the EAM, IM, or transitional regions all fall within the mid-late Miocene. Fossils of the Tertiary relict genera are mostly and widely distributed outside EA and only half of the earliest fossils in the EA region are not older than Miocene, while their divergence times are mostly after the late Miocene. The pattern of divergence time of monotypic and polytypic taxa suggest the climatic changes after the late Pliocene exert more influence on monotypic taxa. DiscussionThe two key stages of floral evolution coincide with the intensifications of the EAM and IM, especially the summer monsoon which brings a humid climate. An integrated review of previous studies concerning flora, genus, and species levels further supports our suggestion that monsoon intensification in EA triggered the evolution of its flora.</t>
  </si>
  <si>
    <t>Ye, Jun-Wei</t>
  </si>
  <si>
    <t>[Ye, Jun-Wei; Tian, Bin] Southwest Forestry Univ, Key Lab Forest Resources Conservat &amp; Utilizat Sout, Minist Educ, Kunming, Peoples R China; [Ye, Jun-Wei; Li, De-Zhu] Chinese Acad Sci, Kunming Inst Bot, Germplasm Bank Wild Species Southwest China, Kunming, Peoples R China</t>
  </si>
  <si>
    <t>Southwest Forestry University - China; Chinese Academy of Sciences; Kunming Institute of Botany, CAS</t>
  </si>
  <si>
    <t>Li, DZ (通讯作者)，Chinese Acad Sci, Kunming Inst Bot, Germplasm Bank Wild Species Southwest China, Kunming, Peoples R China.</t>
  </si>
  <si>
    <t>CAS Strategic Priority Research Program; China Postdoctoral Science Foundation; National Natural Science Foundation of China (NSFC); High-level Talents Research Start-up Fund Project of Southwest Forestry University;  [XDB31000000];  [2019M663595];  [32260056];  [110222012]</t>
  </si>
  <si>
    <t xml:space="preserve">CAS Strategic Priority Research Program; China Postdoctoral Science Foundation(China Postdoctoral Science Foundation); National Natural Science Foundation of China (NSFC)(National Natural Science Foundation of China (NSFC)); High-level Talents Research Start-up Fund Project of Southwest Forestry University; ; ; ; </t>
  </si>
  <si>
    <t>Funding This study was supported by the CAS Strategic Priority Research Program (XDB31000000), China Postdoctoral Science Foundation (2019M663595), National Natural Science Foundation of China (NSFC) (32260056), and High-level Talents Research Start-up Fund Project of Southwest Forestry University (110222012).</t>
  </si>
  <si>
    <t>10.3389/fpls.2022.1046538</t>
  </si>
  <si>
    <t>6U4TU</t>
  </si>
  <si>
    <t>WOS:000894361800001</t>
  </si>
  <si>
    <t>Peng, L; Huang, X; Qi, MY; Pritchard, HW; Xue, H</t>
  </si>
  <si>
    <t>Peng, Long; Huang, Xu; Qi, Manyao; Pritchard, Hugh W.; Xue, Hua</t>
  </si>
  <si>
    <t>Mechanistic insights derived from re-establishment of desiccation tolerance in germinating xerophytic seeds: Caragana korshinskii as an example</t>
  </si>
  <si>
    <t>caragana korshinskii; desiccation tolerance; germplasm conservation; seed; xerophytic woody species</t>
  </si>
  <si>
    <t>MEDICAGO-TRUNCATULA SEEDS; HEAT-STABLE PROTEOME; FUNCTIONAL-CHARACTERIZATION; LATE MATURATION; RE-INDUCTION; TRANSCRIPTION FACTOR; GALACTINOL-SYNTHASE; RECALCITRANT SEEDS; PLANT-RESPONSES; DNA-REPAIR</t>
  </si>
  <si>
    <t>Germplasm conservation strongly depends on the desiccation tolerance (DT) of seeds. Xerophytic seeds have strong desiccation resistance, which makes them excellent models to study DT. Although some experimental strategies have been applied previously, most methods are difficult to apply to xerophytic seeds. In this review, we attempted to synthesize current strategies for the study of seed DT and provide an in-depth look at Caragana korshinskii as an example. First, we analyze congenital advantages of xerophytes in the study of seed DT. Second, we summarize several strategies used to study DT and illustrate a suitable strategy for xerophytic species. Then, based on our previous studies work with C. korshinskii, a feasible technical strategy for DT re-establishment is provided and we provide illustrate some special molecular mechanisms seen in xerophytic seeds. Finally, several steps to unveil the DT mechanism of xerophytic seeds are suggested, and three scientific questions that the field should consider are listed. We hope to optimize and utilize this strategy for more xerophytic species to more systematically decipher the physiological and molecular processes of seed DT and provide more candidate genes for molecular breeding.</t>
  </si>
  <si>
    <t>Peng, Long</t>
  </si>
  <si>
    <t>[Peng, Long] Chinese Acad Forestry, Res Inst Subtrop Forestry, Hangzhou, Peoples R China; [Huang, Xu; Qi, Manyao; Xue, Hua] Beijing Forestry Univ, Coll Biol Sci &amp; Biotechnol, Natl Engn Res Ctr Tree Breeding &amp; Ecol Remediat, Beijing, Peoples R China; [Pritchard, Hugh W.] Chinese Acad Sci, Kunming Inst Bot, Kunming, Yunnan, Peoples R China; [Pritchard, Hugh W.] Royal Bot Gardens, Wakehurst, W Sussex, England</t>
  </si>
  <si>
    <t>Chinese Academy of Forestry; Research Institute of Subtropical Forestry, CAF; Beijing Forestry University; Chinese Academy of Sciences; Kunming Institute of Botany, CAS; Royal Botanic Gardens, Kew</t>
  </si>
  <si>
    <t>Xue, H (通讯作者)，Beijing Forestry Univ, Coll Biol Sci &amp; Biotechnol, Natl Engn Res Ctr Tree Breeding &amp; Ecol Remediat, Beijing, Peoples R China.</t>
  </si>
  <si>
    <t>xuehua2013@bjfu.edu.cn</t>
  </si>
  <si>
    <t>National Natural Science Foundation of China; Fundamental Research Funds for the Central Non-profit Research of Chinese Academy of Forestry;  [31971646];  [CAFYBB2020QB002]</t>
  </si>
  <si>
    <t xml:space="preserve">National Natural Science Foundation of China(National Natural Science Foundation of China (NSFC)); Fundamental Research Funds for the Central Non-profit Research of Chinese Academy of Forestry; ; </t>
  </si>
  <si>
    <t>Funding This work was supported by the National Natural Science Foundation of China (31971646), and the Fundamental Research Funds for the Central Non-profit Research of Chinese Academy of Forestry (CAFYBB2020QB002).</t>
  </si>
  <si>
    <t>NOV 7</t>
  </si>
  <si>
    <t>10.3389/fpls.2022.1029997</t>
  </si>
  <si>
    <t>6L6TC</t>
  </si>
  <si>
    <t>WOS:000888315500001</t>
  </si>
  <si>
    <t>Wang, LL; Ren, F; Zhang, C; Huang, XJ; Zhang, ZH; He, JS; Yang, YP; Duan, YW</t>
  </si>
  <si>
    <t>Wang, Lin-Lin; Ren, Fei; Zhang, Chan; Huang, Xiao-Juan; Zhang, Zhen-Hua; He, Jin-Sheng; Yang, Yong-Ping; Duan, Yuan-Wen</t>
  </si>
  <si>
    <t>The effects of changes in flowering plant composition caused by nitrogen and phosphorus enrichment on plant-pollinator interactions in a Tibetan alpine grassland</t>
  </si>
  <si>
    <t>climate change; grassland ecosystems; biodiversity loss; nutrition addition; pollination network; Qinghai-Tibet Plateau</t>
  </si>
  <si>
    <t>BIODIVERSITY LOSS; NUTRIENT ENRICHMENT; SPECIES LOSS; LIMITATION; DEPOSITION; RESOURCES; COMMUNITY; SPECIALIZATION; DETERMINANTS; DECLINES</t>
  </si>
  <si>
    <t>Soil eutrophication from atmospheric deposition and fertilization threatens biodiversity and the functioning of terrestrial ecosystems worldwide. Increases in soil nitrogen (N) and phosphorus (P) content can alter the biomass and structure of plant communities in grassland ecosystems; however, the impact of these changes on plant-pollinator interactions is not yet clear. In this study, we tested how changes in flowering plant diversity and composition due to N and P enrichment affected pollinator communities and pollination interactions. Our experiments, conducted in a Tibetan alpine grassland, included four fertilization treatments: N (10 g N m(-2) year(-1)), P (5 g P m(-2) year(-1)), a combination of N and P (N + P), and control. We found that changes in flowering plant composition and diversity under the N and P treatments did not alter the pollinator richness or abundance. The N and P treatments also had limited effects on the plant-pollinator interactions, including the interaction numbers, visit numbers, plant and pollinator species dissimilarity, plant-pollinator interaction dissimilarity, average number of pollinator species attracted by each plant species (vulnerability), and average number of plant species visited by each pollinator species (generality). However, the N + P treatment increased the species and interaction dissimilarity in flowering plant and pollinator communities and decreased the generality in plant-pollinator interactions. These data highlight that changes in flowering plants caused by N + P enrichment alter pollination interactions between flowering plants and pollinators. Owing to changes in flowering plant communities, the plant-pollinator interactions could be sensitive to the changing environment in alpine regions.</t>
  </si>
  <si>
    <t>Wang, Lin-Lin</t>
  </si>
  <si>
    <t>[Wang, Lin-Lin; Yang, Yong-Ping; Duan, Yuan-Wen] Kunming Inst Bot, Chinese Acad Sci, Germplasm Bank Wild Species, Kunming, Peoples R China; [Wang, Lin-Lin; Yang, Yong-Ping; Duan, Yuan-Wen] Inst Tibetan Plateau Res Kunming, Kunming Inst Bot, Chinese Acad Sci, Kunming, Peoples R China; [Ren, Fei] Qinghai Univ, State Key Lab Plateau Ecol &amp; Agr, Xining, Peoples R China; [Zhang, Chan] Henan Normal Univ, Coll Life Sci, Xinxiang, Peoples R China; [Huang, Xiao-Juan] Northwest Univ, Coll Life Sci, Xian, Peoples R China; [Huang, Xiao-Juan] Univ Chinese Acad Sci, Beijing, Peoples R China; [Zhang, Zhen-Hua] Northwest Inst Plateau Biol, Chinese Acad Sci, Key Lab Adaptat &amp; Evolutionof Plateau Biota, Haibei Alpine Grassland Ecosyst Res Stn, Xining, Peoples R China; [He, Jin-Sheng] Peking Univ, Dept Ecol, Minist Educ, Key Lab Earth Surface Proc, Beijing, Peoples R China; [He, Jin-Sheng] Lanzhou Univ, Coll Pastoral Agr Sci &amp; Technol, State Key Lab Grassland Agroecosyst, Lanzhou, Peoples R China</t>
  </si>
  <si>
    <t>Chinese Academy of Sciences; Kunming Institute of Botany, CAS; Chinese Academy of Sciences; Kunming Institute of Botany, CAS; Qinghai University; Henan Normal University; Northwest University Xi'an; Chinese Academy of Sciences; University of Chinese Academy of Sciences, CAS; Chinese Academy of Sciences; Peking University; Lanzhou University</t>
  </si>
  <si>
    <t>Yang, YP; Duan, YW (通讯作者)，Kunming Inst Bot, Chinese Acad Sci, Germplasm Bank Wild Species, Kunming, Peoples R China.;Yang, YP; Duan, YW (通讯作者)，Inst Tibetan Plateau Res Kunming, Kunming Inst Bot, Chinese Acad Sci, Kunming, Peoples R China.;He, JS (通讯作者)，Peking Univ, Dept Ecol, Minist Educ, Key Lab Earth Surface Proc, Beijing, Peoples R China.;He, JS (通讯作者)，Lanzhou Univ, Coll Pastoral Agr Sci &amp; Technol, State Key Lab Grassland Agroecosyst, Lanzhou, Peoples R China.</t>
  </si>
  <si>
    <t>jshe@pku.edu.cn; yangyp@mail.kib.ac.cn; duanyw@mail.kib.ac.cn</t>
  </si>
  <si>
    <t>JUL 25</t>
  </si>
  <si>
    <t>10.3389/fpls.2022.964109</t>
  </si>
  <si>
    <t>6Q1CW</t>
  </si>
  <si>
    <t>WOS:000891358400001</t>
  </si>
  <si>
    <t>Han, B; Zhang, MJ; Xian, Y; Xu, H; Cui, CC; Liu, D; Wang, L; Li, DZ; Li, WQ; Xie, XM</t>
  </si>
  <si>
    <t>Han, Biao; Zhang, Ming-Jia; Xian, Yang; Xu, Hui; Cui, Cheng-Cheng; Liu, Dan; Wang, Lei; Li, De-Zhu; Li, Wen-Qing; Xie, Xiao-Man</t>
  </si>
  <si>
    <t>Variations in genetic diversity in cultivated Pistacia chinensis</t>
  </si>
  <si>
    <t>discordance; genetic diversity; nuclear SNPs; Pistacia chinensis; plastome</t>
  </si>
  <si>
    <t>MOLECULAR EVOLUTION; RATES; POPULATIONS; SELECTION; ALIGNMENT; HISTORY</t>
  </si>
  <si>
    <t>Identification of the evolution history and genetic diversity of a species is important in the utilization of novel genetic variation in this species, as well as for its conservation. Pistacia chinensis is an important biodiesel tree crop in China, due to the high oil content of its fruit. The aim of this study was to uncover the genetic structure of P. chinensis and to investigate the influence of intraspecific gene flow on the process of domestication and the diversification of varieties. We investigated the genetic structure of P. chinensis, as well as evolution and introgression in the subpopulations, through analysis of the plastid and nuclear genomes of 39 P. chinensis individuals from across China. High levels of variation were detected in the P. chinensis plastome, and 460 intraspecific polymorphic sites, 104 indels and three small inversions were identified. Phylogenetic analysis and population structure using the plastome dataset supported five clades of P. chinensis. Population structure analysis based on the nuclear SNPs showed two groups, clearly clustered together, and more than a third of the total individuals were classified as hybrids. Discordance between the plastid and nuclear genomes suggested that hybridization events may have occurred between highly divergent samples in the P. chinensis subclades. Most of the species in the P. chinensis subclade diverged between the late Miocene and the mid-Pliocene. The processes of domestication and cultivation have decreased the genetic diversity of P. chinensis. The extensive variability and structuring of the P. chinensis plastid together with the nuclear genomic variation detected in this study suggests that much unexploited genetic diversity is available for improvement in this recently domesticated species.</t>
  </si>
  <si>
    <t>Han, Biao</t>
  </si>
  <si>
    <t>[Han, Biao; Xian, Yang; Xu, Hui; Cui, Cheng-Cheng; Liu, Dan; Wang, Lei; Li, Wen-Qing; Xie, Xiao-Man] Shandong Prov Ctr Forest &amp; Grass Germplasm Resourc, Key Lab State Forestry &amp; Grassland Adm Conservat &amp;, Jinan, Shandong, Peoples R China; [Zhang, Ming-Jia] Shandong Agr Univ, Coll Forestry, Tai An, Shandong, Peoples R China; [Li, De-Zhu] Chinese Acad Sci, Kunming Inst Bot, Germplasm Bank Wild Species, Kunming, Yunnan, Peoples R China</t>
  </si>
  <si>
    <t>Shandong Agricultural University; Chinese Academy of Sciences; Kunming Institute of Botany, CAS</t>
  </si>
  <si>
    <t>Li, WQ; Xie, XM (通讯作者)，Shandong Prov Ctr Forest &amp; Grass Germplasm Resourc, Key Lab State Forestry &amp; Grassland Adm Conservat &amp;, Jinan, Shandong, Peoples R China.</t>
  </si>
  <si>
    <t>350127263@qq.com; xxm529@126.com</t>
  </si>
  <si>
    <t>Postdoctoral Science Foundation [BSHCX202101]; Postdoctoral Station Recruitment Subsidy of Shandong Province [BSHCX202102]</t>
  </si>
  <si>
    <t>Postdoctoral Science Foundation(China Postdoctoral Science Foundation); Postdoctoral Station Recruitment Subsidy of Shandong Province</t>
  </si>
  <si>
    <t>This study was supported by the Project funded by the Postdoctoral Science Foundation Research and development of key technologies and equipment of germplasm bank (BSHCX202101), the Postdoctoral Station Recruitment Subsidy of Shandong Province Collection, preservation, evaluation and utilization of Quercus acutissima and Q. variabilis Germplasm Resources (BSHCX202102).</t>
  </si>
  <si>
    <t>NOV 10</t>
  </si>
  <si>
    <t>10.3389/fpls.2022.1030647</t>
  </si>
  <si>
    <t>6O0SV</t>
  </si>
  <si>
    <t>WOS:000889958200001</t>
  </si>
  <si>
    <t>Zhou, LY; Lu, LJ; Chen, C; Zhou, T; Wu, QH; Wen, FY; Chen, J; Pritchard, HW; Peng, C; Pei, J; Yan, J</t>
  </si>
  <si>
    <t>Zhou, Lanyu; Lu, Lijie; Chen, Chao; Zhou, Tao; Wu, Qinghua; Wen, Feiyan; Chen, Jiang; Pritchard, Hugh W.; Peng, Cheng; Pei, Jin; Yan, Jie</t>
  </si>
  <si>
    <t>Comparative changes in sugars and lipids show evidence of a critical node for regeneration in safflower seeds during aging</t>
  </si>
  <si>
    <t>safflower seeds; critical node; regeneration; sugar; lipid; controlled deterioration treatment (CDT)</t>
  </si>
  <si>
    <t>ANTIOXIDANT ENZYME-ACTIVITIES; FATTY-ACID; LONGEVITY; PEROXIDATION; GERMINATION; STORAGE; PROTOCHLOROPHYLLIDE; DETERMINANT; TEMPERATURE; MECHANISMS</t>
  </si>
  <si>
    <t>During seed aging, there is a critical node (CN) where the population viability drops sharply. Exploring the specific locations of the CN in different species of plants is crucial for understanding the biological storage properties of seeds and refining seed life span management. Safflower, a bulk oil crop that relies on seeds for propagation, has a short seed life. However, at present, its biological characteristics during storage are not clear, especially the changes in metabolic capability and cell structures. Such knowledge is needed to improve the management of safflower seed life span and effective preservation in gene banks. Here, the seed survival curve of oilseed safflower under the controlled deterioration conditions of 60% relative humidity and 50 degrees C was detected. The seed population showed an inverted S shape for the fall in germination. In the first 12 days of aging, germination remained above 86%. Prior to the CN at approximately day 10 (C10), when viability was in the plateau interval, seed vigor reduced at the same imbibition time point. Further analysis of the changes in sugar concentration found that the sucrose content decreased slowly with aging and the content of raffinose and two monosaccharides decreased abruptly at C10. Differentially metabolized lipids, namely lysophospholipids [lyso-phosphatidylcholine (LPC) and lyso-phosphatidylethanolamines (LPE)] and PMeOH, increased at day 3 of aging (C3). Fatty acid content increased by C6, and the content of phospholipids [phosphatidylcholines (PC), phosphatidylethanolamines (PE), and phosphatidylinositols (PI) and glycolipids [digalactosyl diacylglycerol, monogalactosyl diacylglycerol, and sulphoquinovosyl diglycerides (SQDG)] decreased significantly from C10. In addition, the activities of raffinose hydrolase alpha-galactosidase and the glyoxylate key enzyme isocitrate lyase decreased with seed aging. Confocal microscopy and transmission electron microscopy revealed shrinkage of the seed plasma membrane at C10 and the later fragmentation. Seedling phenotypic indicators and 2,3,5-triphenyltetrazolium chloride activity assays also verified that there were significant changes in seeds quality at the CN. In summary, the time point C10 is a CN during seed population aging. Before the CN, sugar and lipid metabolism, especially fatty acid metabolism into sugar, can make up for the energy consumed by aging. After this point, the seeds were irreversibly damaged, and their viability was greatly and rapidly reduced as the cell structure became increasingly destroyed.</t>
  </si>
  <si>
    <t>Zhou, Lanyu</t>
  </si>
  <si>
    <t>[Zhou, Lanyu; Lu, Lijie; Chen, Chao; Zhou, Tao; Wu, Qinghua; Wen, Feiyan; Chen, Jiang; Peng, Cheng; Pei, Jin; Yan, Jie] Chengdu Univ Tradit Chinese Med, State Key Lab Southwestern Chinese Med Resources, Chengdu, Peoples R China; [Zhou, Lanyu; Lu, Lijie; Chen, Chao; Zhou, Tao; Wu, Qinghua; Wen, Feiyan; Chen, Jiang; Peng, Cheng; Pei, Jin; Yan, Jie] Chengdu Univ Tradit Chinese Med, Coll Pharm, Chengdu, Peoples R China; [Pritchard, Hugh W.] Royal Bot Gardens, Dept Comparat Plant &amp; Fungal Biol, Ardingly, England; [Pritchard, Hugh W.] Chinese Acad Sci, Kunming Inst Bot, Kunming, Yunnan, Peoples R China</t>
  </si>
  <si>
    <t>Chengdu University of Traditional Chinese Medicine; Chengdu University of Traditional Chinese Medicine; Royal Botanic Gardens, Kew; Chinese Academy of Sciences; Kunming Institute of Botany, CAS</t>
  </si>
  <si>
    <t>Pei, J; Yan, J (通讯作者)，Chengdu Univ Tradit Chinese Med, State Key Lab Southwestern Chinese Med Resources, Chengdu, Peoples R China.;Pei, J; Yan, J (通讯作者)，Chengdu Univ Tradit Chinese Med, Coll Pharm, Chengdu, Peoples R China.</t>
  </si>
  <si>
    <t>peixjin@163.com; yanjie9@126.com</t>
  </si>
  <si>
    <t>China Postdoctoral Science Foundation; Science and Technology Department of Sichuan Province; National Natural Science Foundation of China; Innovation Team and Talents Cultivation Program of National Administration of Traditional Chinese Medicine;  [2020M673566XB];  [2019YJ0333];  [2021YFYZ0012-5];  [81503200];  [ZYYCXTD-D-202209]</t>
  </si>
  <si>
    <t xml:space="preserve">China Postdoctoral Science Foundation(China Postdoctoral Science Foundation); Science and Technology Department of Sichuan Province; National Natural Science Foundation of China(National Natural Science Foundation of China (NSFC)); Innovation Team and Talents Cultivation Program of National Administration of Traditional Chinese Medicine; ; ; ; ; </t>
  </si>
  <si>
    <t>Funding The work was financially supported by the China Postdoctoral Science Foundation (2020M673566XB), the Science and Technology Department of Sichuan Province (2019YJ0333, 2021YFYZ0012-5), the National Natural Science Foundation of China (81503200), and Innovation Team and Talents Cultivation Program of National Administration of Traditional Chinese Medicine (ZYYCXTD-D-202209).</t>
  </si>
  <si>
    <t>10.3389/fpls.2022.1020478</t>
  </si>
  <si>
    <t>6G9JC</t>
  </si>
  <si>
    <t>WOS:000885065800001</t>
  </si>
  <si>
    <t>Chang, YH; Zhao, SX; Xiao, HW; Liu, DT; Huang, YB; Wei, YK; Ma, YP</t>
  </si>
  <si>
    <t>Chang, Yuhang; Zhao, Shengxuan; Xiao, Hanwen; Liu, Detuan; Huang, Yanbo; Wei, Yukun; Ma, Yongpeng</t>
  </si>
  <si>
    <t>Unusual patterns of hybridization involving two alpine Salvia species: Absence of both F-1 and backcrossed hybrids</t>
  </si>
  <si>
    <t>hybridization; Salvia; RAD-seq; speciation; reproductive isolation barriers; ethological isolation</t>
  </si>
  <si>
    <t>REPRODUCTIVE ISOLATION; POLLINATION BIOLOGY; STAMINAL EVOLUTION; YUNNAN; INTROGRESSION; ERICACEAE; LAMIACEAE; BARRIERS; ORIGINS; F(1)S</t>
  </si>
  <si>
    <t>Natural hybridization plays an important role in speciation; however, we still know little about the mechanisms underlying the early stages of hybrid speciation. Hybrid zones are commonly dominated by F(1)s, or backcrosses, which impedes further speciation. In the present study, morphological traits and double digest restriction-site associated DNA sequencing (ddRAD-seq) data have been used to confirm natural hybridization between Salvia flava and S. castanea, the first case of identification of natural hybridization using combined phenotypic and molecular evidence in the East Asian clade of Salvia. We further examined several reproductive barriers in both pre-zygotic and post-zygotic reproductive stages to clarify the causes and consequences of the hybridization pattern. Our results revealed that reproductive isolation between the two species was strong despite the occurrence of hybridization. Interestingly, we found that most of the hybrids were likely to be F(2)s. This is a very unusual pattern of hybridization, and has rarely been reported before. The prevalence of geitonogamy within these self-compatible hybrids due to short distance foraging by pollinators might explain the origin of this unusual pattern. F(2)s can self-breed and develop further, therefore, we might be witnessing the early stages of hybrid speciation. Our study provides a new case for understanding the diversification of plants on the Qinghai-Tibet Plateau.</t>
  </si>
  <si>
    <t>Chang, Yuhang</t>
  </si>
  <si>
    <t>[Chang, Yuhang; Liu, Detuan; Ma, Yongpeng] Chinese Acad Sci, Kunming Inst Bot, Yunnan Key Lab Integrat Conservat Plant Species Ex, Kunming, Peoples R China; [Chang, Yuhang; Liu, Detuan] Univ Chinese Acad Sci, Beijing, Peoples R China; [Zhao, Shengxuan] Tianjin Univ Tradit Chinese Med, Coll Tradit Chinese Med, Tianjin, Peoples R China; [Xiao, Hanwen; Huang, Yanbo; Wei, Yukun] Shanghai Chenshan Bot Garden, Eastern China Conservat Ctr Wild Endangered Plant, Shanghai, Peoples R China; [Wei, Yukun] Shanghai Bot Garden, Shanghai, Peoples R China</t>
  </si>
  <si>
    <t>Chinese Academy of Sciences; Kunming Institute of Botany, CAS; Chinese Academy of Sciences; University of Chinese Academy of Sciences, CAS; Tianjin University of Traditional Chinese Medicine; Chinese Academy of Sciences; Chinese Academy of Sciences</t>
  </si>
  <si>
    <t>Ma, YP (通讯作者)，Chinese Acad Sci, Kunming Inst Bot, Yunnan Key Lab Integrat Conservat Plant Species Ex, Kunming, Peoples R China.;Wei, YK (通讯作者)，Shanghai Chenshan Bot Garden, Eastern China Conservat Ctr Wild Endangered Plant, Shanghai, Peoples R China.;Wei, YK (通讯作者)，Shanghai Bot Garden, Shanghai, Peoples R China.</t>
  </si>
  <si>
    <t>ykwei76@hotmail.com; mayongpeng@mail.kib.ac.cn</t>
  </si>
  <si>
    <t>Xiao, Hanwen/0000-0003-4527-696X</t>
  </si>
  <si>
    <t>Specific Project for Strategic Biological Resources and Technology Supporting System from the Chinese Academy of Sciences [ZSZY-001]; Science and Technology Program of Shanghai Science and Technology Committee [20392000600]; Ten Thousand Talent Program of Yunnan Province [YNWR-QNBJ-2018-174]; Chenshan Special Foundations from Shanghai Municipal Administration of Forestation and City Appearances [G222402]</t>
  </si>
  <si>
    <t>Specific Project for Strategic Biological Resources and Technology Supporting System from the Chinese Academy of Sciences; Science and Technology Program of Shanghai Science and Technology Committee; Ten Thousand Talent Program of Yunnan Province; Chenshan Special Foundations from Shanghai Municipal Administration of Forestation and City Appearances</t>
  </si>
  <si>
    <t>This study was supported by the Specific Project for Strategic Biological Resources and Technology Supporting System from the Chinese Academy of Sciences (Grant No. ZSZY-001), the Science and Technology Program of Shanghai Science and Technology Committee (Grant No. 20392000600), the Ten Thousand Talent Program of Yunnan Province (Grant No. YNWR-QNBJ-2018-174) and the Chenshan Special Foundations from Shanghai Municipal Administration of Forestation and City Appearances (Grant No. G222402).</t>
  </si>
  <si>
    <t>OCT 18</t>
  </si>
  <si>
    <t>10.3389/fpls.2022.1010577</t>
  </si>
  <si>
    <t>5X4CL</t>
  </si>
  <si>
    <t>WOS:000878548600001</t>
  </si>
  <si>
    <t>Qiao, YM; Liu, J; Gong, X</t>
  </si>
  <si>
    <t>Qiao, Yaomei; Liu, Jian; Gong, Xun</t>
  </si>
  <si>
    <t>Phylogeography of Himalrandia lichiangensis from the dry-hot valleys in Southwest China</t>
  </si>
  <si>
    <t>dry-hot valley; Himalrandia lichiangensis; Southwestern China; phylogeography; endemism</t>
  </si>
  <si>
    <t>GENETIC DIVERSITY; TIBETAN PLATEAU; POPULATION; PLANT; DISTRIBUTIONS; EVOLUTION; TAXACEAE; QUALITY; ORIGIN; DRIFT</t>
  </si>
  <si>
    <t>Both changing tectonics and climate may shape the phylogeographic patterns of plant species. The dry-hot valleys in southwestern China harbor a high number of endemic plants. In this study, we investigated the evolutionary history and potential distribution of an endemic shrub Himalrandia lichiangensis (Rubiaceae), to evaluate the effects of tectonic and climatic processes on this thermophilic plant species from the dry-hot valleys. By sequencing DNA from four plastid non-coding regions (psbM-trnD, trnD-trnT, atpB-rbcL and accD-psaI) and the CAMX1F-CAMX2R region and ITS for 423 individuals from 23 populations, we investigated the genetic diversity, phylogeographical pattern and population dynamics of H. lichiangensis. We found a high degree of differentiation in H. lichiangensis during the middle Miocene (15-13 Myr), possibly triggered by the rapid tectonic uplift event in this period area. accompanied by frequent orogeneses in this period. This hypothesis is also supported by the association between genetic differentiation and altitudinal gradients among populations. The middle reach of the Jinsha River, which harbors the greatest genetic diversity, is most likely to have been a refugia for H. lichiangensis during Quaternary. We also detected a strong barrier effect between the Nanpan River and Jinsha River, suggesting the river system may play a role in geographical isolation between clades on both sides of the barrier. The Maximum Entropy Model (MaxEnt) results showed that future climate warming will lead to the niche expansion in some areas for H. lichiangensis but will also cause a scattered and fragmented distribution. Given the high among-population differentiation and no recent expansion detected in H. lichiangensis, its current phylogeographical pattern is possibly due to a long-term geographical barrier caused by uplifting mountains since the Miocene, as well as Quaternary climate refugia isolated also by high mountains. This study illustrated tectonic and climatic processes may have a continuous effect on plant phylogeography and offers insights into the origin of biodiversity and endemism in the dry-hot valleys of southwestern China.</t>
  </si>
  <si>
    <t>Qiao, Yaomei</t>
  </si>
  <si>
    <t>[Qiao, Yaomei; Liu, Jian; Gong, Xun] Chinese Acad Sci, Kunming Inst Bot, Key Lab Plant Divers &amp; Biogeog East Asia, Kunming, Peoples R China; [Qiao, Yaomei; Liu, Jian; Gong, Xun] Chinese Acad Sci, Kunming Inst Bot, Key Lab Econ Plants &amp; Biotechnol, Kunming, Peoples R China; [Qiao, Yaomei] Univ Chinese Acad Sci, Beijing, Peoples R China</t>
  </si>
  <si>
    <t>Liu, J; Gong, X (通讯作者)，Chinese Acad Sci, Kunming Inst Bot, Key Lab Plant Divers &amp; Biogeog East Asia, Kunming, Peoples R China.;Liu, J; Gong, X (通讯作者)，Chinese Acad Sci, Kunming Inst Bot, Key Lab Econ Plants &amp; Biotechnol, Kunming, Peoples R China.</t>
  </si>
  <si>
    <t>National Key Research and Development Programme of China; National Natural Science Foundation of China; Natural Science Foundation of Yunnan Province;  [2017YF0505200];  [31900184];  [31970230];  [202001AT070072];  [2019FD057]</t>
  </si>
  <si>
    <t xml:space="preserve">National Key Research and Development Programme of China; National Natural Science Foundation of China(National Natural Science Foundation of China (NSFC)); Natural Science Foundation of Yunnan Province(Natural Science Foundation of Yunnan Province); ; ; ; ; </t>
  </si>
  <si>
    <t>Funding This work was funded by the National Key Research and Development Programme of China (2017YF0505200), the National Natural Science Foundation of China (31900184 and 31970230), and the Natural Science Foundation of Yunnan Province (202001AT070072 &amp; 2019FD057).</t>
  </si>
  <si>
    <t>OCT 17</t>
  </si>
  <si>
    <t>10.3389/fpls.2022.1002519</t>
  </si>
  <si>
    <t>5W5SR</t>
  </si>
  <si>
    <t>WOS:000877973900001</t>
  </si>
  <si>
    <t>Rana, SK; Rana, HK; Stoecklin, J; Ranjitkar, S; Sun, H; Song, B</t>
  </si>
  <si>
    <t>Rana, Santosh Kumar; Rana, Hum Kala; Stoecklin, Juerg; Ranjitkar, Sailesh; Sun, Hang; Song, Bo</t>
  </si>
  <si>
    <t>Global warming pushes the distribution range of the two alpine 'glasshouse' Rheum species north- and upwards in the Eastern Himalayas and the Hengduan Mountains</t>
  </si>
  <si>
    <t>biodiversity hotspots; biomod2; climate change; glasshouse; range shifts; Rheum</t>
  </si>
  <si>
    <t>CLIMATE-CHANGE; DISTRIBUTION MODELS; NOBILE POLYGONACEAE; QUATERNARY CLIMATE; TIBETAN PLATEAU; PLANT DIVERSITY; SHIFTS; EVOLUTION; EXTINCTION; VEGETATION</t>
  </si>
  <si>
    <t>Alpine plants' distribution is being pushed higher towards mountaintops due to global warming, finally diminishing their range and thereby increasing the risk of extinction. Plants with specialized 'glasshouse' structures have adapted well to harsh alpine environments, notably to the extremely low temperatures, which makes them vulnerable to global warming. However, their response to global warming is quite unexplored. Therefore, by compiling occurrences and several environmental strata, we utilized multiple ensemble species distribution modeling (eSDM) to estimate the historical, present-day, and future distribution of two alpine 'glasshouse' species Rheum nobile Hook. f. &amp; Thomson and R. alexandrae Batalin. Rheum nobile was predicted to extend its distribution from the Eastern Himalaya (EH) to the Hengduan Mountains (HM), whereas R. alexandrae was restricted exclusively in the HM. Both species witnessed a northward expansion of suitable habitats followed by a southerly retreat in the HM region. Our findings reveal that both species have a considerable range shift under different climate change scenarios, mainly triggered by precipitation rather than temperature. The model predicted northward and upward migration for both species since the last glacial period which is mainly due to expected future climate change scenarios. Further, the observed niche overlap between the two species presented that they are more divergent depending on their habitat, except for certain regions in the HM. However, relocating appropriate habitats to the north and high elevation may not ensure the species' survival, as it needs to adapt to the extreme climatic circumstances in alpine habitats. Therefore, we advocate for more conservation efforts in these biodiversity hotspots.</t>
  </si>
  <si>
    <t>Rana, Santosh Kumar</t>
  </si>
  <si>
    <t>[Rana, Santosh Kumar; Rana, Hum Kala; Sun, Hang; Song, Bo] Kunming Inst Bot, Chinese Acad Sci, Key Lab Plant Divers &amp; Biogeog East Asia, Kunming, Peoples R China; [Rana, Santosh Kumar] Penn State Univ, Dept Ecosyst Sci &amp; Management, University Pk, PA USA; [Stoecklin, Juerg] Univ Basel, Inst Bot, Basel, Switzerland; [Ranjitkar, Sailesh] N Gene Solut Nat Innovat, Kathmandu, Nepal; [Ranjitkar, Sailesh] Lumbini Buddhist Univ, Sch Dev Studies, Devdaha, Nepal; [Ranjitkar, Sailesh] Midwest Univ, Fac Humanities &amp; Social Sci, MICD, Lalitpur, Nepal; [Song, Bo] Chinese Acad Sci, Kunming Inst Bot, Yunnan Key Lab Integrat Conservat Plant Species Ex, Kunming, Peoples R China</t>
  </si>
  <si>
    <t>Chinese Academy of Sciences; Kunming Institute of Botany, CAS; Pennsylvania Commonwealth System of Higher Education (PCSHE); Pennsylvania State University; Pennsylvania State University - University Park; University of Basel; Chinese Academy of Sciences; Kunming Institute of Botany, CAS</t>
  </si>
  <si>
    <t>Sun, H; Song, B (通讯作者)，Kunming Inst Bot, Chinese Acad Sci, Key Lab Plant Divers &amp; Biogeog East Asia, Kunming, Peoples R China.;Song, B (通讯作者)，Chinese Acad Sci, Kunming Inst Bot, Yunnan Key Lab Integrat Conservat Plant Species Ex, Kunming, Peoples R China.</t>
  </si>
  <si>
    <t>sunhang@mail.kib.ac.cn; songbo@mail.kib.ac.cn</t>
  </si>
  <si>
    <t>Rana, Santosh/GQY-8052-2022</t>
  </si>
  <si>
    <t>Rana, Santosh/0000-0001-7812-9267</t>
  </si>
  <si>
    <t>'CAS President's International Fellowship Initiative' (PIFI) postdoctoral fellowship [2021PB0034]; Second Tibetan Plateau Scientific Expedition and Research (STEP) program [2019QZKK0502]; Strategic Priority Research Program of the Chinese Academy of Sciences [XDA20050203]; National Natural Science Foundation of China [31770249, 32071669, 32150410356]; Key Projects of the Joint Fund of the National Natural Science Foundation of China [U1802232]</t>
  </si>
  <si>
    <t>'CAS President's International Fellowship Initiative' (PIFI) postdoctoral fellowship; Second Tibetan Plateau Scientific Expedition and Research (STEP) program; Strategic Priority Research Program of the Chinese Academy of Sciences(Chinese Academy of Sciences); National Natural Science Foundation of China(National Natural Science Foundation of China (NSFC)); Key Projects of the Joint Fund of the National Natural Science Foundation of China(National Natural Science Foundation of China (NSFC))</t>
  </si>
  <si>
    <t>The first author is supported by the 'CAS President's International Fellowship Initiative' (PIFI) postdoctoral fellowship (2021PB0034). This study was funded by the Second Tibetan Plateau Scientific Expedition and Research (STEP) program (2019QZKK0502), the Strategic Priority Research Program of the Chinese Academy of Sciences (XDA20050203), the National Natural Science Foundation of China (31770249, 32071669 and 32150410356), the Key Projects of the Joint Fund of the National Natural Science Foundation of China (U1802232).</t>
  </si>
  <si>
    <t>OCT 7</t>
  </si>
  <si>
    <t>10.3389/fpls.2022.925296</t>
  </si>
  <si>
    <t>5R7OT</t>
  </si>
  <si>
    <t>WOS:000874696200001</t>
  </si>
  <si>
    <t>Wang, YF; Wen, F; Hong, X; Li, ZL; Mi, YL; Zhao, B</t>
  </si>
  <si>
    <t>Wang, Yifei; Wen, Fang; Hong, Xin; Li, Zhenglong; Mi, Yaolei; Zhao, Bo</t>
  </si>
  <si>
    <t>Comparative chloroplast genome analyses of Paraboea (Gesneriaceae): Insights into adaptive evolution and phylogenetic analysis</t>
  </si>
  <si>
    <t>Paraboea; phylogenetic; positive selection; chloroplast; genome</t>
  </si>
  <si>
    <t>MULTIPLE SEQUENCE ALIGNMENT; CYCLIC ELECTRON FLOW; MOLECULAR EVOLUTION; NADH-DEHYDROGENASE; POSITIVE SELECTION; GENES; PLASTOQUINONE; RESOURCES; COMPLEX; PLANTS</t>
  </si>
  <si>
    <t>Paraboea (Gesneriaceae) distributed in the karst areas of South and Southwest China and Southeast Asia, is an ideal genus to study the phylogeny and adaptive evolution of karst plants. In this study, the complete chloroplast genomes of twelve Paraboea species were sequenced and analyzed. Twelve chloroplast genomes ranged in size from 153166 to 154245 bp. Each chloroplast genome had a typical quartile structure, and relatively conserved type and number of gene components, including 131 genes which are composed of 87 protein coding genes, 36 transfer RNAs and 8 ribosomal RNAs. A total of 600 simple sequence repeats and 389 non-overlapped sequence repeats were obtained from the twelve Paraboea chloroplast genomes. We found ten divergent regions (trnH-GUG-psbA, trnM-CAU, trnC-GCA, atpF-atpH, ycf1, trnK-UUU-rps16, rps15, petL, trnS-GCU-trnR-UCU and psaJ-rpl33) among the 12 Paraboea species to be potential molecular markers. In the phylogenetic tree of 31 Gesneriaceae plants including twelve Paraboea species, all Paraboea species clustered in a clade and confirmed the monophyly of Paraboea. Nine genes with positive selection sites were detected, most of which were related to photosynthesis and protein synthesis, and might played crucial roles in the adaptability of Paraboea to diverse karst environments. These findings are valuable for further study of the phylogeny and karst adaptability of Gesneriaceae plants.</t>
  </si>
  <si>
    <t>Wang, Yifei</t>
  </si>
  <si>
    <t>[Wang, Yifei; Zhao, Bo] Guilin Med Univ, Dept Pharmacognosy, Guilin, Peoples R China; [Wang, Yifei; Zhao, Bo] Guilin Med Univ, Dept Pharm, Guilin, Peoples R China; [Wen, Fang; Zhao, Bo] Guangxi Zhuang Autonomous Reg &amp; Chinese Acad Sci, Guangxi Inst Bot, Guangxi Key Lab Plant Conservat &amp; Restorat Ecol Ka, Guilin, Peoples R China; [Hong, Xin; Li, Zhenglong] Anhui Univ, Sch Resources &amp; Environm Engn, Anhui Prov Engn Lab Wetland Ecosyst Protect &amp; Rest, Hefei, Peoples R China; [Hong, Xin; Li, Zhenglong] Chinese Acad Sci, Kunming Inst Bot, Yunnan Key Lab Integrat Conservat Plant Species Ex, Kunming, Peoples R China; [Mi, Yaolei] China Acad Chinese Med Sci, Inst Chinese Mat Med, Beijing, Peoples R China</t>
  </si>
  <si>
    <t>Guilin Medical University; Guilin Medical University; Anhui University; Chinese Academy of Sciences; Kunming Institute of Botany, CAS; China Academy of Chinese Medical Sciences; Institute of Chinese Materia Medica, CACMS</t>
  </si>
  <si>
    <t>Zhao, B (通讯作者)，Guilin Med Univ, Dept Pharmacognosy, Guilin, Peoples R China.;Zhao, B (通讯作者)，Guilin Med Univ, Dept Pharm, Guilin, Peoples R China.;Zhao, B (通讯作者)，Guangxi Zhuang Autonomous Reg &amp; Chinese Acad Sci, Guangxi Inst Bot, Guangxi Key Lab Plant Conservat &amp; Restorat Ecol Ka, Guilin, Peoples R China.;Mi, YL (通讯作者)，China Acad Chinese Med Sci, Inst Chinese Mat Med, Beijing, Peoples R China.</t>
  </si>
  <si>
    <t>Zh 奥, Bo/HKF-0398-2023</t>
  </si>
  <si>
    <t>Key Sci. &amp; Tech. Research and Development Project of Guangxi [Guike AD20159091, ZY21195050]; Guangxi Natural Science Foundation [2020GXNSFBA297049]; capacity-building project of SBR of CAS [KFJ-BRP-017-68]; Anhui Provincial Natural Science Foundation [1908085QC1]; Fund of Yunnan Key Laboratory for Integrative Conservation of Plant Species with Extremely Small Populations [PSESP2021F07]</t>
  </si>
  <si>
    <t>Key Sci. &amp; Tech. Research and Development Project of Guangxi; Guangxi Natural Science Foundation(National Natural Science Foundation of Guangxi Province); capacity-building project of SBR of CAS; Anhui Provincial Natural Science Foundation(Natural Science Foundation of Anhui Province); Fund of Yunnan Key Laboratory for Integrative Conservation of Plant Species with Extremely Small Populations</t>
  </si>
  <si>
    <t>This study is supported by the Key Sci. &amp; Tech. Research and Development Project of Guangxi (Guike AD20159091 &amp; ZY21195050), the Guangxi Natural Science Foundation (2020GXNSFBA297049), the capacity-building project of SBR of CAS (KFJ-BRP-017-68), the Anhui Provincial Natural Science Foundation (1908085QC1), the Fund of Yunnan Key Laboratory for Integrative Conservation of Plant Species with Extremely Small Populations (PSESP2021F07).</t>
  </si>
  <si>
    <t>OCT 5</t>
  </si>
  <si>
    <t>10.3389/fpls.2022.1019831</t>
  </si>
  <si>
    <t>5R6KR</t>
  </si>
  <si>
    <t>WOS:000874617700001</t>
  </si>
  <si>
    <t>Zhang, HJ; Zhang, X; Sun, YX; Landis, JB; Li, LJ; Hu, GW; Sun, J; Tiamiyu, BB; Kuang, TH; Deng, T; Sun, H; Wang, HC</t>
  </si>
  <si>
    <t>Zhang, Huajie; Zhang, Xu; Sun, Yanxia; Landis, Jacob B. B.; Li, Lijuan; Hu, Guangwan; Sun, Jiao; Tiamiyu, Bashir B. B.; Kuang, Tianhui; Deng, Tao; Sun, Hang; Wang, Hengchang</t>
  </si>
  <si>
    <t>Plastome phylogenomics and biogeography of the subfam. Polygonoideae (Polygonaceae)</t>
  </si>
  <si>
    <t>dispersal routes; phylogenomic; plastomes; Polygonoideae; biogeography</t>
  </si>
  <si>
    <t>DISPERSAL; EVOLUTION; VICARIANCE; TOOL; PLATFORM; MODEL; TIME</t>
  </si>
  <si>
    <t>Polygonaceae has a complex taxonomic history, although a few studies using plastid or nuclear DNA fragments have explored relationships within this family, intrafamilial relationships remain controversial. Here, we newly sequenced and annotated 17 plastomes representing 12 genera within Polygonaceae. Combined with previously published data, a total of 49 plastomes representing 22/46 Polygonaceae genera and 16/20 Polygonoideae genera were collected to infer the phylogeny of Polygonaceae, with an emphasis on Polygonoideae. Plastome comparisons revealed high conservation within Polygonoideae in structure and gene order. Phylogenetic analyses using both Maximum Likelihood and Bayesian methods revealed two major clades and seven tribes within Polygonoideae. BEAST and S-DIVA analyses suggested a Paleocene origin of Polygonoideae in Asia. While most genera of Polygonoideae originated and further diversified in Asia, a few genera experienced multiple long-distance dispersal events from Eurasia to North America after the Miocene, with a few dispersal events to the Southern Hemisphere also being detected. Both ancient vicariance and long-distance events have played important roles in shaping the current distribution pattern of Polygonoideae.</t>
  </si>
  <si>
    <t>Zhang, Huajie</t>
  </si>
  <si>
    <t>[Zhang, Huajie; Zhang, Xu; Sun, Yanxia; Li, Lijuan; Hu, Guangwan; Sun, Jiao; Tiamiyu, Bashir B. B.; Wang, Hengchang] Chinese Acad Sci, CAS Key Lab Plant Germplasm Enhancement &amp; Specialt, Wuhan Bot Garden, Wuhan, Peoples R China; [Zhang, Huajie; Zhang, Xu; Sun, Yanxia; Li, Lijuan; Hu, Guangwan; Sun, Jiao; Tiamiyu, Bashir B. B.; Wang, Hengchang] Chinese Acad Sci, Ctr Conservat Biol, Core Bot Gardens, Wuhan, Peoples R China; [Zhang, Xu; Li, Lijuan; Sun, Jiao; Tiamiyu, Bashir B. B.; Kuang, Tianhui] Univ Chinese Acad Sci, Beijing, Peoples R China; [Landis, Jacob B. B.] Cornell Univ, Sch Integrat Plant Sci, Sect Plant Biol &amp; LH Bailey Hortorium, Ithaca, NY USA; [Landis, Jacob B. B.] Boyce Thompson Inst Plant Res, BTI Computat Biol Ctr, Ithaca, NY USA; [Kuang, Tianhui; Deng, Tao; Sun, Hang] Chinese Acad Sci, Kunming Inst Bot, CAS Key Lab Plant Divers &amp; Biogeog East Asia, Kunming, Peoples R China; [Kuang, Tianhui; Deng, Tao; Sun, Hang] Chinese Acad Sci, Kunming Inst Bot, Yunnan Int Joint Lab Biodivers Cent Asia, Kunming, Peoples R China</t>
  </si>
  <si>
    <t>Chinese Academy of Sciences; Wuhan Botanical Garden, CAS; Chinese Academy of Sciences; Chinese Academy of Sciences; University of Chinese Academy of Sciences, CAS; Cornell University; Cornell University; Boyce Thompson Institute for Plant Research; Chinese Academy of Sciences; Kunming Institute of Botany, CAS; Chinese Academy of Sciences; Kunming Institute of Botany, CAS</t>
  </si>
  <si>
    <t>Wang, HC (通讯作者)，Chinese Acad Sci, CAS Key Lab Plant Germplasm Enhancement &amp; Specialt, Wuhan Bot Garden, Wuhan, Peoples R China.;Wang, HC (通讯作者)，Chinese Acad Sci, Ctr Conservat Biol, Core Bot Gardens, Wuhan, Peoples R China.;Deng, T; Sun, H (通讯作者)，Chinese Acad Sci, Kunming Inst Bot, CAS Key Lab Plant Divers &amp; Biogeog East Asia, Kunming, Peoples R China.;Deng, T; Sun, H (通讯作者)，Chinese Acad Sci, Kunming Inst Bot, Yunnan Int Joint Lab Biodivers Cent Asia, Kunming, Peoples R China.</t>
  </si>
  <si>
    <t>dengtao@mail.kib.ac.cn; sunhang@mail.kib.ac.cn; hcwang@wbgcas.cn</t>
  </si>
  <si>
    <t>Second Tibetan Plateau Scientific Expedition and Research (STEP) program [2019QZKK0502]; Key Projects of the Joint Fund of the National Natural Science Foundation of China [U1802232]; Strategic Priority Research Program of Chinese Academy of Sciences [XDA20050203]; Youth Innovation Promotion Association of Chinese Academy of Sciences [2019382]; Ten Thousand Talents Program of Yunnan Province [202005AB160005]; China Postdoctoral Science Foundation [2022M713333]</t>
  </si>
  <si>
    <t>Second Tibetan Plateau Scientific Expedition and Research (STEP) program; Key Projects of the Joint Fund of the National Natural Science Foundation of China(National Natural Science Foundation of China (NSFC)); Strategic Priority Research Program of Chinese Academy of Sciences(Chinese Academy of Sciences); Youth Innovation Promotion Association of Chinese Academy of Sciences; Ten Thousand Talents Program of Yunnan Province; China Postdoctoral Science Foundation(China Postdoctoral Science Foundation)</t>
  </si>
  <si>
    <t>This study was supported by grants from the Second Tibetan Plateau Scientific Expedition and Research (STEP) program (2019QZKK0502), the Key Projects of the Joint Fund of the National Natural Science Foundation of China (U1802232), the Strategic Priority Research Program of Chinese Academy of Sciences (XDA20050203), the Youth Innovation Promotion Association of Chinese Academy of Sciences (2019382), the Ten Thousand Talents Program of Yunnan Province (202005AB160005) and Project funded by China Postdoctoral Science Foundation (2022M713333).</t>
  </si>
  <si>
    <t>10.3389/fpls.2022.893201</t>
  </si>
  <si>
    <t>5R6NB</t>
  </si>
  <si>
    <t>WOS:000874623900001</t>
  </si>
  <si>
    <t>Wang, ZX; Wang, DJ; Yi, TS</t>
  </si>
  <si>
    <t>Wang, Zi-Xun; Wang, Ding-Jie; Yi, Ting-Shuang</t>
  </si>
  <si>
    <t>Does IR-loss promote plastome structural variation and sequence evolution?</t>
  </si>
  <si>
    <t>plastid genome evolution; structural variation; inverted repeat region loss; substitution rate; comparative genomics</t>
  </si>
  <si>
    <t>CHLOROPLAST GENOME SEQUENCE; INVERTED REPEAT; NUCLEOTIDE SUBSTITUTION; PHYLOGENETIC ANALYSIS; MOLECULAR EVOLUTION; NONCODING RNAS; RATES; REARRANGEMENTS; ORGANIZATION; CUPRESSOPHYTES</t>
  </si>
  <si>
    <t>Plastids are one of the main distinguishing characteristics of the plant cell. The plastid genome (plastome) of most autotrophic seed plants possesses a highly conserved quadripartite structure containing a large single-copy (LSC) and a small single-copy (SSC) region separated by two copies of the inverted repeat (termed as IRA and IRB). The IRs have been inferred to stabilize the plastid genome via homologous recombination-induced repair mechanisms. IR loss has been documented in seven autotrophic flowering plant lineages and two autotrophic gymnosperm lineages, and the plastomes of these species (with a few exceptions) are rearranged to a great extent. However, some plastomes containing normal IRs also show high structural variation. Therefore, the role of IRs in maintaining plastome stability is still controversial. In this study, we first integrated and compared genome structure and sequence evolution of representative plastomes of all nine reported IR-lacking lineages and those of their closest relative(s) with canonical inverted repeats (CRCIRs for short) to explore the role of the IR in maintaining plastome structural stability and sequence evolution. We found the plastomes of most IR-lacking lineages have experienced significant structural rearrangement, gene loss and duplication, accumulation of novel small repeats, and acceleration of synonymous substitution compared with those of their CRCIRs. However, the IR-lacking plastomes show similar structural variation and sequence evolution rate, and even less rearrangement distance, dispersed repeat number, tandem repeat number, indels frequency and GC3 content than those of IR-present plastomes with variation in Geraniaceae. We argue that IR loss is not a driver of these changes but is instead itself a consequence of other processes that more broadly shape both structural and sequence-level plastome evolution.</t>
  </si>
  <si>
    <t>Wang, Zi-Xun</t>
  </si>
  <si>
    <t>[Wang, Zi-Xun; Wang, Ding-Jie; Yi, Ting-Shuang] Chinese Acad Sci, Kunming Inst Bot, Germplasm Bank Wild Species, Kunming, Peoples R China; [Wang, Zi-Xun] Shaanxi Normal Univ, Coll Life Sci, Natl Engn Lab Resource Dev Endangered Chinese Crud, Key Lab, Xian, Peoples R China; [Wang, Ding-Jie; Yi, Ting-Shuang] Univ Chinese Acad Sci, Kunming Coll Life Sci, Kunming, Peoples R China</t>
  </si>
  <si>
    <t>Chinese Academy of Sciences; Kunming Institute of Botany, CAS; Shaanxi Normal University; Chinese Academy of Sciences; University of Chinese Academy of Sciences, CAS</t>
  </si>
  <si>
    <t>Yi, TS (通讯作者)，Chinese Acad Sci, Kunming Inst Bot, Germplasm Bank Wild Species, Kunming, Peoples R China.;Yi, TS (通讯作者)，Univ Chinese Acad Sci, Kunming Coll Life Sci, Kunming, Peoples R China.</t>
  </si>
  <si>
    <t>tingshuangyi@mail.kib.ac.cn</t>
  </si>
  <si>
    <t>National Natural Science Foundation of China key international (regional) cooperative research project [31720103903]; Science and Technology Basic Resources Investigation Program of China [2019FY100900]; Strategic Priority Research Program of the Chinese Academy of Sciences [XDB31010000]; Large-scale Scientific Facilities of the Chinese Academy of Sciences [2017-LSF-GBOWS-02]; National Natural Science Foundation of China [31270274]; Yunling International Highend Experts Program of Yunnan Province, China [YNQR-GDWG-2017-002, YNQR-GDWG-2018-012]</t>
  </si>
  <si>
    <t>National Natural Science Foundation of China key international (regional) cooperative research project; Science and Technology Basic Resources Investigation Program of China; Strategic Priority Research Program of the Chinese Academy of Sciences(Chinese Academy of Sciences); Large-scale Scientific Facilities of the Chinese Academy of Sciences; National Natural Science Foundation of China(National Natural Science Foundation of China (NSFC)); Yunling International Highend Experts Program of Yunnan Province, China</t>
  </si>
  <si>
    <t>This project was funded by grants from the National Natural Science Foundation of China key international (regional) cooperative research project (No. 31720103903); the Science and Technology Basic Resources Investigation Program of China (2019FY100900), the Strategic Priority Research Program of the Chinese Academy of Sciences (XDB31010000); the Large-scale Scientific Facilities of the Chinese Academy of Sciences (No. 2017-LSF-GBOWS-02); the National Natural Science Foundation of China (Project No. 31270274); the Yunling International Highend Experts Program of Yunnan Province, China (YNQR-GDWG-2017-002 and YNQR-GDWG-2018-012).</t>
  </si>
  <si>
    <t>SEP 29</t>
  </si>
  <si>
    <t>10.3389/fpls.2022.888049</t>
  </si>
  <si>
    <t>5I7TB</t>
  </si>
  <si>
    <t>WOS:000868553600001</t>
  </si>
  <si>
    <t>Han, B; Wang, LX; Xian, Y; Xie, XM; Li, WQ; Zhao, Y; Zhang, RG; Qin, XC; Li, DZ; Jia, KH</t>
  </si>
  <si>
    <t>Han, Biao; Wang, Longxin; Xian, Yang; Xie, Xiao-Man; Li, Wen-Qing; Zhao, Ye; Zhang, Ren-Gang; Qin, Xiaochun; Li, De-Zhu; Jia, Kai-Hua</t>
  </si>
  <si>
    <t>A chromosome-level genome assembly of the Chinese cork oak (Quercus variabilis)</t>
  </si>
  <si>
    <t>Quercus variabilis; genome assembly; PacBio HiFi sequencing; Hi-C sequencing; comparative genomics</t>
  </si>
  <si>
    <t>ANNOTATION; IDENTIFICATION; INTERPROSCAN; DIVERSITY; EVOLUTION; ALIGNMENT; PROVIDES; DATABASE; SYSTEM; GENES</t>
  </si>
  <si>
    <t>Quercus variabilis (Fagaceae) is an ecologically and economically important deciduous broadleaved tree species native to and widespread in East Asia. It is a valuable woody species and an indicator of local forest health, and occupies a dominant position in forest ecosystems in East Asia. However, genomic resources from Q. variabilis are still lacking. Here, we present a high-quality Q. variabilis genome generated by PacBio HiFi and Hi-C sequencing. The assembled genome size is 787 Mb, with a contig N50 of 26.04 Mb and scaffold N50 of 64.86 Mb, comprising 12 pseudo-chromosomes. The repetitive sequences constitute 67.6% of the genome, of which the majority are long terminal repeats, accounting for 46.62% of the genome. We used ab initio, RNA sequence-based and homology-based predictions to identify protein-coding genes. A total of 32,466 protein-coding genes were identified, of which 95.11% could be functionally annotated. Evolutionary analysis showed that Q. variabilis was more closely related to Q. suber than to Q. lobata or Q. robur. We found no evidence for species-specific whole genome duplications in Quercus after the species had diverged. This study provides the first genome assembly and the first gene annotation data for Q. variabilis. These resources will inform the design of further breeding strategies, and will be valuable in the study of genome editing and comparative genomics in oak species.</t>
  </si>
  <si>
    <t>[Han, Biao; Xian, Yang; Xie, Xiao-Man; Li, Wen-Qing] Shandong Prov Ctr Forest &amp; Grass Germplasm Resour, Key Lab State Forestry &amp; Grassland Adm Conservat, Jinan, Peoples R China; [Wang, Longxin; Qin, Xiaochun] Univ Jinan, Sch Biol Sci &amp; Technol, Jinan, Peoples R China; [Zhao, Ye] Beijing Forestry Univ, Key Lab Genet &amp; Breeding Forest Trees &amp; Ornamenta, Beijing Adv Innovat Ctr Tree Breeding Mol Design, Minist Educ,Coll Biol Sci &amp; Technol,Natl Engn Lab, Beijing, Peoples R China; [Zhang, Ren-Gang] Ori Shandong Gene Sci &amp; Technol Co Ltd, Dept Bioinformat, Weifang, Peoples R China; [Li, De-Zhu] Chinese Acad Sci, Kunming Inst Bot, Germplasm Bank Wild Species, Kunming, Yunnan, Peoples R China; [Jia, Kai-Hua] Shandong Acad Agr Sci, Inst Crop Germplasm Resources, Key Lab Crop Genet Improvement &amp; Ecol &amp; Physiol, Jinan, Peoples R China</t>
  </si>
  <si>
    <t>University of Jinan; Beijing Forestry University; Chinese Academy of Sciences; Kunming Institute of Botany, CAS; Shandong Academy of Agricultural Sciences</t>
  </si>
  <si>
    <t>Li, DZ (通讯作者)，Chinese Acad Sci, Kunming Inst Bot, Germplasm Bank Wild Species, Kunming, Yunnan, Peoples R China.;Jia, KH (通讯作者)，Shandong Acad Agr Sci, Inst Crop Germplasm Resources, Key Lab Crop Genet Improvement &amp; Ecol &amp; Physiol, Jinan, Peoples R China.</t>
  </si>
  <si>
    <t>dzl@mail.kib.ac.cn; kaihuajia_saas@163.com</t>
  </si>
  <si>
    <t>han, biao/AAT-2370-2021</t>
  </si>
  <si>
    <t>Han, Biao/0000-0003-2301-511X</t>
  </si>
  <si>
    <t>SEP 23</t>
  </si>
  <si>
    <t>10.3389/fpls.2022.1001583</t>
  </si>
  <si>
    <t>5D4TK</t>
  </si>
  <si>
    <t>WOS:000864936000001</t>
  </si>
  <si>
    <t>Chen, YP; Zhao, F; Paton, AJ; Sunojkumar, P; Gao, LM; Xiang, CL</t>
  </si>
  <si>
    <t>Chen, Ya-Ping; Zhao, Fei; Paton, Alan J.; Sunojkumar, Purayidathkandy; Gao, Lian-Ming; Xiang, Chun-Lei</t>
  </si>
  <si>
    <t>Plastome sequences fail to resolve shallow level relationships within the rapidly radiated genus Isodon (Lamiaceae)</t>
  </si>
  <si>
    <t>genome skimming; Hengduan Mountains; Isodoninae; nutlet; plastid capture</t>
  </si>
  <si>
    <t>PHYLOGENETIC ANALYSIS; MOLECULAR PHYLOGENY; CHLOROPLAST; NEPETOIDEAE; ACCURACY; HISTORY; GENOMES; BLOCKS; GENES; CHINA</t>
  </si>
  <si>
    <t>As one of the largest genera of Lamiaceae and of great medicinal importance, Isodon is also phylogenetically and taxonomically recalcitrant largely ascribed to its recent rapid radiation in the Hengduan Mountains. Previous molecular phylogenetic studies using limited loci have only successfully resolved the backbone topology of the genus, but the interspecific relationships suffered from low resolution, especially within the largest clade (Clade IV) which comprises over 80% species. In this study, we attempted to further elucidate the phylogenetic relationships within Isodon especially Clade IV using plastome sequences with a broad taxon sampling of ca. 80% species of the genus. To reduce systematic errors, twelve different plastome data sets (coding and non-coding regions with ambiguously aligned regions and saturated loci removed or not) were employed to reconstruct phylogeny using maximum likelihood and Bayesian inference. Our results revealed largely congruent topologies of the 12 data sets and recovered major lineages of Isodon consistent with previous studies, but several incongruences are also found among these data sets and among single plastid loci. Most of the shallow nodes within Clade IV were resolved with high support but extremely short branch lengths in plastid trees, and showed tremendous conflicts with the nrDNA tree, morphology and geographic distribution. These incongruences may largely result from stochasticity (due to insufficient phylogenetic signal) and hybridization and plastid capture. Therefore, the uniparental-inherited plastome sequences are insufficient to disentangle relationships within a genus which has undergone recent rapid diversification. Our findings highlight a need for additional data from nuclear genome to resolve the relationships within Clade IV and more focused studies to assess the influences of multiple processes in the evolutionary history of Isodon. Nevertheless, the morphology of the shape and surface sculpture/indumentum of nutlets is of systematic importance that they can distinguish the four major clades of Isodon.</t>
  </si>
  <si>
    <t>Chen, Ya-Ping</t>
  </si>
  <si>
    <t>[Chen, Ya-Ping; Zhao, Fei; Gao, Lian-Ming; Xiang, Chun-Lei] Chinese Acad Sci, Kunming Inst Bot, CAS Key Lab Plant Divers &amp; Biogeog East Asia, Kunming, Peoples R China; [Paton, Alan J.] Royal Bot Gardens, Richmond, England; [Sunojkumar, Purayidathkandy] Univ Calicut, Dept Bot, Thenhipalam, Kerala, India; [Gao, Lian-Ming] Chinese Acad Sci, Kunming Inst Bot, Lijiang Forest Biodivers Natl Observat &amp; Res Stn, Lijiang, Peoples R China</t>
  </si>
  <si>
    <t>Chinese Academy of Sciences; Kunming Institute of Botany, CAS; Royal Botanic Gardens, Kew; University of Calicut; Chinese Academy of Sciences; Kunming Institute of Botany, CAS</t>
  </si>
  <si>
    <t>Gao, LM; Xiang, CL (通讯作者)，Chinese Acad Sci, Kunming Inst Bot, CAS Key Lab Plant Divers &amp; Biogeog East Asia, Kunming, Peoples R China.;Gao, LM (通讯作者)，Chinese Acad Sci, Kunming Inst Bot, Lijiang Forest Biodivers Natl Observat &amp; Res Stn, Lijiang, Peoples R China.</t>
  </si>
  <si>
    <t>gaolm@mail.kib.ac.cn; xiangchunlei@mail.kib.ac.cn</t>
  </si>
  <si>
    <t>SUNOJKUMAR, PURAYIDATHKANDY/HGF-0642-2022</t>
  </si>
  <si>
    <t>Yunnan Fundamental Research Projects; Large-Scale Scientific Facilities of the Chinese Academy of Sciences [202101AU070067, 202101AT070159]; Key Basic Research program of Yunnan Province, China [2017-LSFGBOWS-02]; Ten Thousand Talents Program of Yunnan [202101BC070003]; Yunnan Fundamental Research Projects [YNWR-QNBJ-2018-279]; open research project of the Germplasm Bank of Wild Species, Kunming Institute of Botany, Chinese Academy of Sciences [2019FI009]; Science and Engineering Research Board of the Government of India;  [CRG/2018/003499]</t>
  </si>
  <si>
    <t xml:space="preserve">Yunnan Fundamental Research Projects; Large-Scale Scientific Facilities of the Chinese Academy of Sciences; Key Basic Research program of Yunnan Province, China; Ten Thousand Talents Program of Yunnan; Yunnan Fundamental Research Projects; open research project of the Germplasm Bank of Wild Species, Kunming Institute of Botany, Chinese Academy of Sciences; Science and Engineering Research Board of the Government of India; </t>
  </si>
  <si>
    <t>This work was supported by the Yunnan Fundamental Research Projects (Grant Nos. 202101AU070067 and 202101AT070159) to Y-PC, the Large-Scale Scientific Facilities of the Chinese Academy of Sciences (Grant No. 2017-LSFGBOWS-02) and the Key Basic Research program of Yunnan Province, China (Grant No. 202101BC070003) to L-MG, the Ten Thousand Talents Program of Yunnan (Grant No. YNWR-QNBJ-2018-279), the Yunnan Fundamental Research Projects (Grant No. 2019FI009), and the open research project of the Germplasm Bank of Wild Species, Kunming Institute of Botany, Chinese Academy of Sciences to C-LX, and the Science and Engineering Research Board of the Government of India (Grant No. CRG/2018/003499) to PS.</t>
  </si>
  <si>
    <t>SEP 8</t>
  </si>
  <si>
    <t>10.3389/fpls.2022.985488</t>
  </si>
  <si>
    <t>4W4PO</t>
  </si>
  <si>
    <t>WOS:000860146900001</t>
  </si>
  <si>
    <t>Wang, Y; Xu, JC; Liu, AZ</t>
  </si>
  <si>
    <t>Wang, Yue; Xu, Jianchu; Liu, Aizhong</t>
  </si>
  <si>
    <t>Identification of the carotenoid cleavage dioxygenase genes and functional analysis reveal DoCCD1 is potentially involved in beta-ionone formation in Dendrobium officinale</t>
  </si>
  <si>
    <t>DoCCD1; beta-ionone; carotenoid cleavage dioxygenase; Dendrobium officinale; secondary metabolism; apocarotenoids</t>
  </si>
  <si>
    <t>FAMILY; EXPRESSION; VOLATILE; BIOSYNTHESIS; SPECIFICITY; CATALYZES; OXYGENASE; EMISSION; YELLOW; GENOME</t>
  </si>
  <si>
    <t>The carotenoids are the most widely distributed secondary metabolites in plants and can be degraded by carotenoid cleavage dioxygenase (CCD) to form apocarotenoids including an important C13 compound beta-ionone. Volatile beta-ionone can confer the violet and woody fragrance to plant essential oils, flowers, fruits, and vegetables, which therefore has been used in various industries. Dendrobium officinale is a traditional medicinal plant. However, there was limited information on the key enzymes involved in the biosynthesis of beta-ionone in D. officinale. In the present study, beta-ionone was detected in stems and leaves of D. officinale and genome-wide identification and expression profiles of CCD genes were subsequently carried out. There were nine DoCCD members in D. officinale. According to the phylogenetic relationship, DoCCD proteins were classified into six subfamilies including CCD1, CCD4, CCD7, CCD8, nine-cis-epoxycarotenoid dioxygenase (NCED) and zaxinone synthase (ZAS). DoCCD genes showed distinctive expression profiles and DoCCD1 gene was abundantly expressed in eight tissues. Induced expression of DoCCD1 gene resulted in discoloration of Escerichia coli strains that can accumulate carotenoids. Analysis of Gas Chromatography/Mass Spectrometer showed that DoCCD1 enzyme can cleave lycopene to produce 6-methyl-5-hepten-2-one and pseudoionone and also catalyze beta-carotene to form beta-ionone. Expression of DoCCD1 gene in Nicotiana benthamiana leaf resulted in production of abundant beta-ionone. Overall, the present study first provides valuable information on the CCD gene family in D. officinale, function of DoCCD1 gene as well as production of beta-ionone through genetic modification.</t>
  </si>
  <si>
    <t>Wang, Yue</t>
  </si>
  <si>
    <t>[Wang, Yue; Xu, Jianchu] Chinese Acad Sci, Kunming Inst Bot, Key Lab Econ Plants &amp; Biotechnol, Yunnan Key Lab Wild Plant Resources, Kunming, Peoples R China; [Wang, Yue] Chinese Acad Sci, Kunming Inst Bot, Bioinnovat Ctr DR PLANT, Kunming, Peoples R China; [Liu, Aizhong] Southwest Forestry Univ, Key Lab Forest Resources Conservat &amp; Utilizat Sout, Minist Educ, Kunming, Peoples R China</t>
  </si>
  <si>
    <t>Chinese Academy of Sciences; Kunming Institute of Botany, CAS; Chinese Academy of Sciences; Kunming Institute of Botany, CAS; Southwest Forestry University - China</t>
  </si>
  <si>
    <t>Liu, AZ (通讯作者)，Southwest Forestry Univ, Key Lab Forest Resources Conservat &amp; Utilizat Sout, Minist Educ, Kunming, Peoples R China.</t>
  </si>
  <si>
    <t>liuaizhong@mail.kib.ac.cn</t>
  </si>
  <si>
    <t>Yunnan Provincial Science and Technology Department [202101AT070189]; National Natural Science Foundation of China [31701465]; Beijing DR PLANT Biotechnology Co. Ltd. [E0514832C1]; Beijing DR PLANT Biotechnology Co. Ltd.</t>
  </si>
  <si>
    <t>Yunnan Provincial Science and Technology Department; National Natural Science Foundation of China(National Natural Science Foundation of China (NSFC)); Beijing DR PLANT Biotechnology Co. Ltd.; Beijing DR PLANT Biotechnology Co. Ltd.</t>
  </si>
  <si>
    <t>We are grateful for funds obtained from the Yunnan Provincial Science and Technology Department (grant no. 202101AT070189), the National Natural Science Foundation of China (grant no. 31701465), and the Beijing DR PLANT Biotechnology Co., Ltd. (grant no. E0514832C1). This study received funding from Beijing DR PLANT Biotechnology Co. Ltd. The funder was not involved in the study design, collection, analysis, interpretation of data, the writing of this article or the decision to submit it for publication.</t>
  </si>
  <si>
    <t>AUG 4</t>
  </si>
  <si>
    <t>10.3389/fpls.2022.967819</t>
  </si>
  <si>
    <t>3V7BD</t>
  </si>
  <si>
    <t>WOS:000841814300001</t>
  </si>
  <si>
    <t>Sun, H; Wang, XQ; Zeng, ZL; Yang, YJ; Huang, W</t>
  </si>
  <si>
    <t>Sun, Hu; Wang, Xiao-Qian; Zeng, Zhi-Lan; Yang, Ying-Jie; Huang, Wei</t>
  </si>
  <si>
    <t>Exogenous melatonin strongly affects dynamic photosynthesis and enhances water-water cycle in tobacco</t>
  </si>
  <si>
    <t>melatonin; photosynthesis; fluctuating light; stomatal conductance; mesophyll conductance; photoprotection</t>
  </si>
  <si>
    <t>ELECTRON FLOW; PHOTOSYSTEM-I; MESOPHYLL CONDUCTANCE; FLUCTUATING LIGHT; CO2 ASSIMILATION; TEMPERATURE RESPONSE; OXIDATIVE STRESS; CALVIN CYCLE; LEAF; LEAVES</t>
  </si>
  <si>
    <t>Melatonin (MT), an important phytohormone synthesized naturally, was recently used to improve plant resistance against abiotic and biotic stresses. However, the effects of exogenous melatonin on photosynthetic performances have not yet been well clarified. We found that spraying of exogenous melatonin (100 mu M) to leaves slightly affected the steady state values of CO2 assimilation rate (A(N)), stomatal conductance (g(s)) and mesophyll conductance (g(m)) under high light in tobacco leaves. However, this exogenous melatonin strongly delayed the induction kinetics of g(s) and g(m), leading to the slower induction speed of A(N). During photosynthetic induction, A(N) is mainly limited by biochemistry in the absence of exogenous melatonin, but by CO2 diffusion conductance in the presence of exogenous melatonin. Therefore, exogenous melatonin can aggravate photosynthetic carbon loss during photosynthetic induction and should be used with care for crop plants grown under natural fluctuating light. Within the first 10 min after transition from low to high light, photosynthetic electron transport rates (ETR) for A(N) and photorespiration were suppressed in the presence of exogenous melatonin. Meanwhile, an important alternative electron sink, namely water-water cycle, was enhanced to dissipate excess light energy. These results indicate that exogenous melatonin upregulates water-water cycle to facilitate photoprotection. Taking together, this study is the first to demonstrate that exogenous melatonin inhibits dynamic photosynthesis and improves photoprotection in higher plants.</t>
  </si>
  <si>
    <t>Sun, Hu</t>
  </si>
  <si>
    <t>[Sun, Hu; Wang, Xiao-Qian; Zeng, Zhi-Lan; Yang, Ying-Jie; Huang, Wei] Chinese Acad Sci, Kunming Inst Bot, Kunming, Peoples R China; [Sun, Hu; Zeng, Zhi-Lan] Univ Chinese Acad Sci, Beijing, Peoples R China; [Wang, Xiao-Qian] Northwest Univ, Sch Life Sci, Xian, Peoples R China</t>
  </si>
  <si>
    <t>Chinese Academy of Sciences; Kunming Institute of Botany, CAS; Chinese Academy of Sciences; University of Chinese Academy of Sciences, CAS; Northwest University Xi'an</t>
  </si>
  <si>
    <t>Yang, YJ; Huang, W (通讯作者)，Chinese Acad Sci, Kunming Inst Bot, Kunming, Peoples R China.</t>
  </si>
  <si>
    <t>yangyingjie@mail.kib.ac.cn; huangwei@mail.kib.ac.cn</t>
  </si>
  <si>
    <t>National Natural Science Foundation of China; Postdoctoral Research Funding Projects of Yunnan Province; Postdoctoral Directional Training Foundation of Yunnan Province;  [31971412];  [32171505]</t>
  </si>
  <si>
    <t xml:space="preserve">National Natural Science Foundation of China(National Natural Science Foundation of China (NSFC)); Postdoctoral Research Funding Projects of Yunnan Province; Postdoctoral Directional Training Foundation of Yunnan Province; ; </t>
  </si>
  <si>
    <t>Funding This work was supported by the National Natural Science Foundation of China (31971412 and 32171505), by Postdoctoral Research Funding Projects of Yunnan Province, and by Postdoctoral Directional Training Foundation of Yunnan Province.</t>
  </si>
  <si>
    <t>AUG 3</t>
  </si>
  <si>
    <t>10.3389/fpls.2022.917784</t>
  </si>
  <si>
    <t>3U8OD</t>
  </si>
  <si>
    <t>WOS:000841223200001</t>
  </si>
  <si>
    <t>Duan, Q; Liu, F; Gui, DP; Fan, WS; Cui, GF; Jia, WJ; Zhu, AD; Wang, JH</t>
  </si>
  <si>
    <t>Duan, Qing; Liu, Fang; Gui, Daping; Fan, Weishu; Cui, Guangfen; Jia, Wenjie; Zhu, Andan; Wang, Jihua</t>
  </si>
  <si>
    <t>Phylogenetic Analysis of Wild Species and the Maternal Origin of Cultivars in the Genus Lilium Using 114 Plastid Genomes</t>
  </si>
  <si>
    <t>Lilium species; lily cultivars; plastid genome; phylogenetic relationship; maternal origin</t>
  </si>
  <si>
    <t>TRANSCRIBED SPACER REGION; MOLECULAR PHYLOGENY; EUROPEAN LILIES; SEQUENCES; LILIACEAE; POLLINATION; INFERENCE; TAXONOMY</t>
  </si>
  <si>
    <t>Lilies are one of the most important ornamental flowers worldwide with approximately 100 wild species and numerous cultivars, but the phylogenetic relationships among wild species and their contributions to these cultivars are poorly resolved. We collected the major Lilium species and cultivars and assembled their plastome sequences. Our phylogenetic reconstruction using 114 plastid genomes, including 70 wild species representing all sections and 42 cultivars representing six hybrid divisions and two outgroups, uncovered well-supported genetic relationships within Lilium. The wild species were separated into two distinct groups (groups A and B) associated with geographical distribution, which further diversified into eight different clades that were phylogenetically well supported. Additional support was provided by the distributions of indels and single-nucleotide variants, which were consistent with the topology. The species of sections Archelirion, Sinomartagon III, and Leucolirion 6a and 6b were the maternal donors for Oriental hybrids, Asiatic hybrids, Trumpet hybrids, and Longiflorum hybrids, respectively. The maternal donors of the OT hybrids originated from the two sections Archelirion and Leucolirion 6a, and LA hybrids were derived from the two sections Leucolirion 6b and Sinomartagon. Our study provides an important basis for clarifying the infrageneric classification and the maternal origin of cultivars in Lilium.</t>
  </si>
  <si>
    <t>Duan, Qing</t>
  </si>
  <si>
    <t>[Duan, Qing; Cui, Guangfen; Jia, Wenjie; Wang, Jihua] Yunnan Acad Agr Sci, Flower Res Inst, Natl Engn Res Ctr Ornamental Hort, Kunming, Peoples R China; [Duan, Qing; Cui, Guangfen; Jia, Wenjie; Wang, Jihua] Joint Lab Yunnan Seed Ind, Kunming, Peoples R China; [Liu, Fang; Gui, Daping; Fan, Weishu; Zhu, Andan] Chinese Acad Sci, Kunming Inst Bot, Germplasm Bank Wild Species, Kunming, Peoples R China</t>
  </si>
  <si>
    <t>Chinese Academy of Sciences; Yunnan Academy of Agricultural Sciences; Chinese Academy of Sciences; Kunming Institute of Botany, CAS</t>
  </si>
  <si>
    <t>Wang, JH (通讯作者)，Yunnan Acad Agr Sci, Flower Res Inst, Natl Engn Res Ctr Ornamental Hort, Kunming, Peoples R China.;Wang, JH (通讯作者)，Joint Lab Yunnan Seed Ind, Kunming, Peoples R China.;Zhu, AD (通讯作者)，Chinese Acad Sci, Kunming Inst Bot, Germplasm Bank Wild Species, Kunming, Peoples R China.</t>
  </si>
  <si>
    <t>zhuandan@mail.kib.ac.cn; wjh0505@gmail.com</t>
  </si>
  <si>
    <t>liu, xiao/HKE-9880-2023</t>
  </si>
  <si>
    <t>National Key Research and Development Program of China [2020YFD1000400]; Major Science and Technology Project of Yunnan Provincial Department of Science and Technology [2019ZG006]; CAS Pioneer Hundred Talents Program</t>
  </si>
  <si>
    <t>National Key Research and Development Program of China; Major Science and Technology Project of Yunnan Provincial Department of Science and Technology; CAS Pioneer Hundred Talents Program</t>
  </si>
  <si>
    <t>This research was financially supported by the National Key Research and Development Program of China (2020YFD1000400) (to JW), the Major Science and Technology Project of Yunnan Provincial Department of Science and Technology (2019ZG006) (to JW), and the CAS Pioneer Hundred Talents Program (to AZ).</t>
  </si>
  <si>
    <t>JUL 22</t>
  </si>
  <si>
    <t>10.3389/fpls.2022.865606</t>
  </si>
  <si>
    <t>3P0MP</t>
  </si>
  <si>
    <t>WOS:000837231300001</t>
  </si>
  <si>
    <t>Dai, SF; Zhu, XG; Hutang, GR; Li, JY; Tian, JQ; Jiang, XH; Zhang, D; Gao, LZ</t>
  </si>
  <si>
    <t>Dai, Shuang-feng; Zhu, Xun-ge; Hutang, Ge-rang; Li, Jia-yue; Tian, Jia-qi; Jiang, Xian-hui; Zhang, Dan; Gao, Li-zhi</t>
  </si>
  <si>
    <t>Genome Size Variation and Evolution Driven by Transposable Elements in the Genus Oryza</t>
  </si>
  <si>
    <t>Oryza; genome size; flow cytometry; k-mer analysis; transposable elements</t>
  </si>
  <si>
    <t>NUCLEAR-DNA CONTENT; RICE GENOME; GENETIC DIVERSITY; DRAFT SEQUENCE; FLOW-CYTOMETRY; C-VALUE; K-MER; WILD; ORIGIN; TOOL</t>
  </si>
  <si>
    <t>Genome size variation and evolutionary forces behind have been long pursued in flowering plants. The genus Oryza, consisting of approximately 25 wild species and two cultivated rice, harbors eleven extant genome types, six of which are diploid (AA, BB, CC, EE, FF, and GG) and five of which are tetraploid (BBCC, CCDD, HHJJ, HHKK, and KKLL). To obtain the most comprehensive knowledge of genome size variation in the genus Oryza, we performed flow cytometry experiments and estimated genome sizes of 166 accessions belonging to 16 non-AA genome Oryza species. k-mer analyses were followed to verify the experimental results of the two accessions for each species. Our results showed that genome sizes largely varied fourfold in the genus Oryza, ranging from 279 Mb in Oryza brachyantha (FF) to 1,203 Mb in Oryza ridleyi (HHJJ). There was a 2-fold variation (ranging from 570 to 1,203 Mb) in genome size among the tetraploid species, while the diploid species had 3-fold variation, ranging from 279 Mb in Oryza brachyantha (FF) to 905 Mb in Oryza australiensis (EE). The genome sizes of the tetraploid species were not always two times larger than those of the diploid species, and some diploid species even had larger genome sizes than those of tetraploids. Nevertheless, we found that genome sizes of newly formed allotetraploids (BBCC-) were almost equal to totaling genome sizes of their parental progenitors. Our results showed that the species belonging to the same genome types had similar genome sizes, while genome sizes exhibited a gradually decreased trend during the evolutionary process in the clade with AA, BB, CC, and EE genome types. Comparative genomic analyses further showed that the species with different rice genome types may had experienced dissimilar amplification histories of retrotransposons, resulting in remarkably different genome sizes. On the other hand, the closely related rice species may have experienced similar amplification history. We observed that the contents of transposable elements, long terminal repeats (LTR) retrotransposons, and particularly LTR/Gypsy retrotransposons varied largely but were significantly correlated with genome sizes. Therefore, this study demonstrated that LTR retrotransposons act as an active driver of genome size variation in the genus Oryza.</t>
  </si>
  <si>
    <t>Dai, Shuang-feng</t>
  </si>
  <si>
    <t>[Dai, Shuang-feng; Li, Jia-yue; Tian, Jia-qi; Jiang, Xian-hui; Gao, Li-zhi] South China Agr Univ, Inst Genom &amp; Bioinformat, Guangzhou, Peoples R China; [Zhu, Xun-ge; Hutang, Ge-rang; Gao, Li-zhi] Chinese Acad Sci, Kunming Inst Bot, Plant Germplasm &amp; Genom Ctr, Kunming, Peoples R China; [Zhang, Dan; Gao, Li-zhi] Hainan Univ, Coll Trop Crops, Haikou, Peoples R China</t>
  </si>
  <si>
    <t>South China Agricultural University; Chinese Academy of Sciences; Kunming Institute of Botany, CAS; Hainan University</t>
  </si>
  <si>
    <t>Gao, LZ (通讯作者)，South China Agr Univ, Inst Genom &amp; Bioinformat, Guangzhou, Peoples R China.;Gao, LZ (通讯作者)，Chinese Acad Sci, Kunming Inst Bot, Plant Germplasm &amp; Genom Ctr, Kunming, Peoples R China.;Gao, LZ (通讯作者)，Hainan Univ, Coll Trop Crops, Haikou, Peoples R China.</t>
  </si>
  <si>
    <t>Lgaogenomics@163.com</t>
  </si>
  <si>
    <t>Start-up Grant of South China Agricultural University</t>
  </si>
  <si>
    <t>This study was supported by the Start-up Grant of South China Agricultural University to L-ZG.</t>
  </si>
  <si>
    <t>JUL 7</t>
  </si>
  <si>
    <t>10.3389/fpls.2022.921937</t>
  </si>
  <si>
    <t>3E1ZQ</t>
  </si>
  <si>
    <t>WOS:000829788500001</t>
  </si>
  <si>
    <t>Zhang, HP; Tao, ZB; Trunschke, J; Shrestha, M; Scaccabarozzi, D; Wang, H; Ren, ZX</t>
  </si>
  <si>
    <t>Zhang, Hai-Ping; Tao, Zhi-Bin; Trunschke, Judith; Shrestha, Mani; Scaccabarozzi, Daniela; Wang, Hong; Ren, Zong-Xin</t>
  </si>
  <si>
    <t>Reproductive Isolation Among Three Nocturnal Moth-Pollinated Sympatric Habenaria Species (Orchidaceae)</t>
  </si>
  <si>
    <t>hawkmoth; orchid; pollination; co-existence; pre- and post-pollination barriers</t>
  </si>
  <si>
    <t>POSTZYGOTIC ISOLATION; FLORAL ISOLATION; SPECIFICITY; SPECIATION; ORCHIDEAE; SELECTION; STRENGTH; BARRIERS; HAWKMOTH; REFLECT</t>
  </si>
  <si>
    <t>Comparison and quantification of multiple pre- and post-pollination barriers to interspecific hybridization are important to understand the factors promoting reproductive isolation. Such isolating factors have been studied recently in many flowering plant species which seek after the general roles and relative strengths of different pre- and post-pollination barriers. In this study, we quantified six isolating factors (ecogeographic isolation, phenological isolation, pollinator isolation, pollinia-pistil interactions, fruit production, and seed development) that could possibly be acting as reproductive barriers at different stages among three sympatric Habenaria species (H. limprichtii, H. davidii, and H. delavayi). These three species overlap geographically but occupy different microhabitats varying in soil water content. They were isolated through pollinator interactions both ethologically (pollinator preference) and mechanically (pollinia attachment site), but to a variable degree for different species pairs. Interspecific crosses between H. limprichtii and H. davidii result in high fruit set, and embryo development suggested weak post-pollination barriers, whereas bidirectional crosses of H. delavayi with either of the other two species fail to produce fruits. Our results revealed that pollinators were the most important isolating barrier including both ethological and mechanical mechanisms, to maintain the boundaries among these three sympatric Habenaria species. Our study also highlights the importance of a combination of pre-and post-pollination barriers for species co-existence in Orchidaceae.</t>
  </si>
  <si>
    <t>Zhang, Hai-Ping</t>
  </si>
  <si>
    <t>[Zhang, Hai-Ping; Tao, Zhi-Bin; Trunschke, Judith; Wang, Hong; Ren, Zong-Xin] Chinese Acad Sci, Kunming Inst Bot, CAS Key Lab Plant Divers &amp; Biogeog East Asia, Kunming, Peoples R China; [Zhang, Hai-Ping; Wang, Hong; Ren, Zong-Xin] Univ Chinese Acad Sci, Beijing, Peoples R China; [Tao, Zhi-Bin] Chinese Acad Sci, CAS Key Lab Aquat Bot &amp; Watershed Ecol, Wuhan Bot Garden, Wuhan, Peoples R China; [Shrestha, Mani] Univ Bayreuth, Bayreuth Ctr Ecol &amp; Environm Res BayCEER, Dept Disturbance Ecol, Bayreuth, Germany; [Scaccabarozzi, Daniela] Tianjin Univ, Sch Pharmaceut Sci &amp; Technol, Tianjin, Peoples R China; [Scaccabarozzi, Daniela] Curtin Univ, Sch Mol &amp; Life Sci, Bentley, WA, Australia; [Wang, Hong; Ren, Zong-Xin] Lijiang Forest Biodivers Natl Observat &amp; Res Stn, Lijiang, Peoples R China</t>
  </si>
  <si>
    <t>Chinese Academy of Sciences; Kunming Institute of Botany, CAS; Chinese Academy of Sciences; University of Chinese Academy of Sciences, CAS; Chinese Academy of Sciences; Wuhan Botanical Garden, CAS; University of Bayreuth; Tianjin University; Curtin University</t>
  </si>
  <si>
    <t>Wang, H; Ren, ZX (通讯作者)，Chinese Acad Sci, Kunming Inst Bot, CAS Key Lab Plant Divers &amp; Biogeog East Asia, Kunming, Peoples R China.;Wang, H; Ren, ZX (通讯作者)，Univ Chinese Acad Sci, Beijing, Peoples R China.;Wang, H; Ren, ZX (通讯作者)，Lijiang Forest Biodivers Natl Observat &amp; Res Stn, Lijiang, Peoples R China.</t>
  </si>
  <si>
    <t>wanghong@mail.kib.ac.cn; renzongxin@mail.kib.ac.cn</t>
  </si>
  <si>
    <t>JUN 22</t>
  </si>
  <si>
    <t>10.3389/fpls.2022.908852</t>
  </si>
  <si>
    <t>2T6GT</t>
  </si>
  <si>
    <t>WOS:000822571400001</t>
  </si>
  <si>
    <t>Wang, J; Fu, CN; Mo, ZQ; Moeller, M; Yang, JB; Zhang, ZR; Li, DZ; Gao, LM</t>
  </si>
  <si>
    <t>Wang, Jie; Fu, Chao-Nan; Mo, Zhi-Qiong; Moeller, Michael; Yang, Jun-Bo; Zhang, Zhi-Rong; Li, De-Zhu; Gao, Lian-Ming</t>
  </si>
  <si>
    <t>Testing the Complete Plastome for Species Discrimination, Cryptic Species Discovery and Phylogenetic Resolution in Cephalotaxus (Cephalotaxaceae)</t>
  </si>
  <si>
    <t>Cephalotaxus; complete plastome; species discrimination; cryptic species; phylogenetic relationships; standard DNA barcodes</t>
  </si>
  <si>
    <t>DNA BARCODES; TAXACEAE; SEQUENCE; CHLOROPLAST; GENOMES; DIVERSITY; DIVERSIFICATION; IDENTIFICATION; PHYLOGENOMICS; INHERITANCE</t>
  </si>
  <si>
    <t>Species of Cephalotaxus have great economic and ecological values. However, the taxonomy and interspecific phylogenetic relationships within the genus have been controversial and remained not fully resolved until now. To date, no study examined the efficiency of the complete plastome as super-barcode across Cephalotaxus species with multiple samples per taxon. In this study, we have evaluated the complete plastome in species discrimination and phylogenetic resolution in Cephalotaxus by including 32 individuals of all eight recognized species and five varieties following Farjon's classification (2010) with multiple samples per taxon. Our results indicated that not all species recognized in recent taxonomic revisions of Cephalotaxus could be distinguished and not all were monophyletic. Based on the plastome phylogeny, a new taxonomic classification for the genus comprising nine species and two varieties, including a cryptic species, was proposed. The phylogeny also resolved all interspecific relationships. Compared to the plastome based classification, standard DNA barcodes, alone or in combination, only recognized a maximum of seven out of the nine species. Moreover, two highly variable single loci, ycf1 and rps16, each alone achieved full species discrimination. With the moderate length of 1079 bp, rps16 is proposed as a specific barcode to discriminate Cephalotaxus species. The super-barcodes and specific barcode candidates will aid in the identification of endangered Cephalotaxus species, and to help focus conservation measures.</t>
  </si>
  <si>
    <t>Wang, Jie</t>
  </si>
  <si>
    <t>[Wang, Jie; Fu, Chao-Nan; Mo, Zhi-Qiong; Gao, Lian-Ming] Chinese Acad Sci, Kunming Inst Bot, CAS Key Lab Plant Divers &amp; Biogeog East Asia, Kunming, Peoples R China; [Wang, Jie; Yang, Jun-Bo; Zhang, Zhi-Rong; Li, De-Zhu] Chinese Acad Sci, Kunming Inst Bot, Germplasm Bank Wild Species, Kunming, Peoples R China; [Wang, Jie; Mo, Zhi-Qiong; Li, De-Zhu] Univ Chinese Acad Sci, Coll Life Sci, Beijing, Peoples R China; [Moeller, Michael] Royal Bot Garden Edinburgh, Edinburgh, Scotland; [Gao, Lian-Ming] Chinese Acad Sci, Kunming Inst Bot, Lijiang Forest Biodivers Natl Observat &amp; Res Stn, Lijiang, Peoples R China</t>
  </si>
  <si>
    <t>Gao, LM (通讯作者)，Chinese Acad Sci, Kunming Inst Bot, CAS Key Lab Plant Divers &amp; Biogeog East Asia, Kunming, Peoples R China.;Gao, LM (通讯作者)，Chinese Acad Sci, Kunming Inst Bot, Lijiang Forest Biodivers Natl Observat &amp; Res Stn, Lijiang, Peoples R China.</t>
  </si>
  <si>
    <t>gaolm@mail.kib.ac.cn</t>
  </si>
  <si>
    <t>Gao, Lianming/H-4527-2011; Li, De-Zhu/G-8203-2011; Gao, Lian-Ming/AAU-2613-2021</t>
  </si>
  <si>
    <t>Gao, Lianming/0000-0001-9047-2658; Li, De-Zhu/0000-0002-4990-724X; Gao, Lian-Ming/0000-0001-9047-2658</t>
  </si>
  <si>
    <t>Large-scale Scientific Facilities of the Chinese Academy of Sciences [2017-LSFGBOWS-02]; Strategic Priority Research Program of Chinese Academy of Sciences [XDB31000000]; Key Basic Research program of Yunnan Province, China [202101BC070003]; Biodiversity Survey and Assessment Project of the Ministry of Ecology and Environment, China [2019HJ2096001006]; Scottish Government's Rural and Environment Science and Analytical Services division</t>
  </si>
  <si>
    <t>Large-scale Scientific Facilities of the Chinese Academy of Sciences; Strategic Priority Research Program of Chinese Academy of Sciences(Chinese Academy of Sciences); Key Basic Research program of Yunnan Province, China; Biodiversity Survey and Assessment Project of the Ministry of Ecology and Environment, China; Scottish Government's Rural and Environment Science and Analytical Services division</t>
  </si>
  <si>
    <t>This study was supported by the Large-scale Scientific Facilities of the Chinese Academy of Sciences (2017-LSFGBOWS-02 to L-MG), the Strategic Priority Research Program of Chinese Academy of Sciences (XDB31000000 to L-MG), the Key Basic Research program of Yunnan Province, China (Grant No. 202101BC070003 to L-MG), and the Biodiversity Survey and Assessment Project of the Ministry of Ecology and Environment, China (2019HJ2096001006 to L-MG). Molecular experiments and data analysis were performed at the Laboratory of Molecular Biology and iFlora High Performance Computing Center of Germplasm Bank of Wild Species in Southwest China, Kunming Institute of Botany. The Royal Botanic Garden Edinburgh is supported by the Scottish Government's Rural and Environment Science and Analytical Services division.</t>
  </si>
  <si>
    <t>MAY 4</t>
  </si>
  <si>
    <t>10.3389/fpls.2022.768810</t>
  </si>
  <si>
    <t>1J4KG</t>
  </si>
  <si>
    <t>WOS:000797886900001</t>
  </si>
  <si>
    <t>Gao, YF; Ma, JC; Chen, JQ; Xu, Q; Jia, YX; Chen, HY; Li, WQ; Lin, L</t>
  </si>
  <si>
    <t>Gao, Yanfen; Ma, Junchao; Chen, Jiaqi; Xu, Qian; Jia, Yanxia; Chen, Hongying; Li, Weiqi; Lin, Liang</t>
  </si>
  <si>
    <t>Establishing Tetraploid Embryogenic Cell Lines of Magnolia officinalis to Facilitate Tetraploid Plantlet Production and Phenotyping</t>
  </si>
  <si>
    <t>artificial polyploid; chromosome set doubling; embryogenic cell aggregate; colchicine; flow cytometry; Magnolia officinalis; somatic embryogenesis</t>
  </si>
  <si>
    <t>SOMATIC EMBRYOGENESIS; HYBRID; SYNCHRONIZATION; REGENERATION; FREQUENCY; MATURATION; COLCHICINE; CONVERSION; INDUCTION; CULTURES</t>
  </si>
  <si>
    <t>The production of synthetic polyploids for plant breeding is compromised by high levels of mixoploids and low numbers of solid polyploid regenerants during in vitro induction. Somatic embryogenesis could potentially contribute to the maximization of solid polyploid production due to the single cell origin of regenerants. In the present study, a novel procedure for establishing homogeneous tetraploid embryogenic cell lines in Magnolia officinalis has been established. Embryogenic cell aggregate (ECA) about 100-200 mu m across, and consisting of dozens of cells, regenerated into a single colony of new ECAs and somatic embryos following colchicine treatment. Histological analysis indicated that the few cells that survived some colchicine regimes still regenerated to form a colony. In some colonies, 100% tetraploid somatic embryos were obtained without mixoploid formation. New granular ECA from single colonies with 100% tetraploid somatic embryos were isolated and cultured individually to proliferate into cell lines. These cell lines were confirmed to be homogeneous tetraploid by flow cytometry. Many tetraploid somatic embryos and plantlets were differentiated from these cell lines and the stability of ploidy level through the somatic embryogenesis process was confirmed by flow cytometry and chromosome counting. The establishment of homogeneous polyploid cell lines, which were presumed to represent individual polyploidization events, might expand the phenotypic variations of the same duplicated genome and create novel breeding opportunities using newly generated polyploid plantlets.</t>
  </si>
  <si>
    <t>Gao, Yanfen</t>
  </si>
  <si>
    <t>[Gao, Yanfen; Ma, Junchao; Chen, Jiaqi; Xu, Qian; Jia, Yanxia; Chen, Hongying; Li, Weiqi; Lin, Liang] Chinese Acad Sci, Kunming Inst Bot, Germplasm Bank Wild Species, Kunming, Peoples R China; [Gao, Yanfen; Chen, Jiaqi] Univ Chinese Acad Sci, Beijing, Peoples R China</t>
  </si>
  <si>
    <t>Li, WQ; Lin, L (通讯作者)，Chinese Acad Sci, Kunming Inst Bot, Germplasm Bank Wild Species, Kunming, Peoples R China.</t>
  </si>
  <si>
    <t>weiqili@mail.kib.ac.cn; linliang@mail.kib.ac.cn</t>
  </si>
  <si>
    <t>10.3389/fpls.2022.900768</t>
  </si>
  <si>
    <t>1I8MW</t>
  </si>
  <si>
    <t>WOS:000797482000001</t>
  </si>
  <si>
    <t>Wambulwa, MC; Luo, YH; Zhu, GF; Milne, R; Wachira, FN; Wu, ZY; Wang, H; Gao, LM; Li, DZ; Liu, J</t>
  </si>
  <si>
    <t>Wambulwa, Moses C.; Luo, Ya-Huang; Zhu, Guang-Fu; Milne, Richard; Wachira, Francis N.; Wu, Zeng-Yuan; Wang, Hong; Gao, Lian-Ming; Li, De-Zhu; Liu, Jie</t>
  </si>
  <si>
    <t>Determinants of Genetic Structure in a Highly Heterogeneous Landscape in Southwest China</t>
  </si>
  <si>
    <t>longitudinal range gorge region; Southwest China; genetic diversity; climate; topography; anthropogenic factors; conservation</t>
  </si>
  <si>
    <t>CHLOROPLAST DNA; SPECIES-DIVERSITY; YUNNAN PROVINCE; PHYLOGEOGRAPHIC PATTERN; EVOLUTIONARY HISTORY; SPATIAL-DISTRIBUTION; SUBTROPICAL CHINA; LOCAL ADAPTATION; PROTECTED AREAS; TANAKA LINE</t>
  </si>
  <si>
    <t>Intra-specific genetic diversity is a fundamental component of biodiversity, and is key to species adaptation and persistence. However, significant knowledge gaps still exist in our understanding of the patterns of genetic diversity and their key determinants. Most previous investigations mainly utilized single-species and/or a limited number of explanatory variables; so here we mapped the patterns of plastid genetic diversity within 15 plant species, and explored the key determinants shaping these patterns using a wide range of variables. Population-level cpDNA sequence data for 15 plant species from the Longitudinal Range Gorge Region (LRGR), southwest China, were retrieved from literature and used to estimate haplotype diversity (H-D) and population pairwise genetic differentiation (F-ST) indices. Genetic diversity and divergence landscape surfaces were then generated based on the H-D and F-ST, respectively, to clarify the patterns of genetic structure in the region. Subsequently, we analyzed the relationships between plastid genetic diversity and 16 explanatory variables (classified as anthropogenic, climatic, and topographic). We found that the highest genetic diversity occurred in the Yulong Mountain region, with a significant proportion (~74.81%) of the high diversity land area being located outside of protected areas. The highest genetic divergence was observed approximately along the 25 degrees N latitudinal line, with notable peaks in the western and eastern edges of the LRGR. Genetic diversity (H-D) was weakly but significantly positively correlated with both Latitude (lat) and Annual Mean Wet Day Frequency (wet), yet significantly negatively correlated with all of Longitude (long), Annual Mean Cloud Cover Percent (cld), Annual Mean Anthropogenic Flux (ahf), and Human Footprint Index (hfp). A combination of climatic, topographic, and anthropogenic factors explained a significant proportion (78%) of genetic variation, with topographic factors (lat and long) being the best predictors. Our analysis identified areas of high genetic diversity (genetic diversity hotspots) and divergence in the region, and these should be prioritized for conservation. This study contributes to a better understanding of the features that shape the distribution of plastid genetic diversity in the LRGR and thus would inform conservation management efforts in this species-rich, but vulnerable region.</t>
  </si>
  <si>
    <t>Wambulwa, Moses C.</t>
  </si>
  <si>
    <t>[Wambulwa, Moses C.; Luo, Ya-Huang; Wang, Hong; Gao, Lian-Ming; Li, De-Zhu; Liu, Jie] Chinese Acad Sci, Kunming Inst Bot, CAS Key Lab Plant Divers &amp; Biogeog East Asia, Kunming, Peoples R China; [Wambulwa, Moses C.; Zhu, Guang-Fu; Wu, Zeng-Yuan; Li, De-Zhu; Liu, Jie] Chinese Acad Sci, Kunming Inst Bot, Germplasm Bank Wild Species, Kunming, Peoples R China; [Wambulwa, Moses C.; Wachira, Francis N.] South Eastern Kenya Univ, Sch Sci &amp; Comp, Dept Life Sci, Kitui, Kenya; [Zhu, Guang-Fu] Univ Chinese Acad Sci, Beijing, Peoples R China; [Milne, Richard] Univ Edinburgh, Inst Mol Plant Sci, Sch Biol Sci, Edinburgh, Scotland; [Gao, Lian-Ming; Li, De-Zhu] Chinese Acad Sci, Kunming Inst Bot, Lijiang Forest Biodivers Natl Observat &amp; Res Stn, Lijiang, Peoples R China</t>
  </si>
  <si>
    <t>Chinese Academy of Sciences; Kunming Institute of Botany, CAS; Chinese Academy of Sciences; Kunming Institute of Botany, CAS; Chinese Academy of Sciences; University of Chinese Academy of Sciences, CAS; University of Edinburgh; Chinese Academy of Sciences; Kunming Institute of Botany, CAS</t>
  </si>
  <si>
    <t>Li, DZ; Liu, J (通讯作者)，Chinese Acad Sci, Kunming Inst Bot, CAS Key Lab Plant Divers &amp; Biogeog East Asia, Kunming, Peoples R China.;Li, DZ; Liu, J (通讯作者)，Chinese Acad Sci, Kunming Inst Bot, Germplasm Bank Wild Species, Kunming, Peoples R China.;Li, DZ (通讯作者)，Chinese Acad Sci, Kunming Inst Bot, Lijiang Forest Biodivers Natl Observat &amp; Res Stn, Lijiang, Peoples R China.</t>
  </si>
  <si>
    <t>dzl@mail.kib.ac.cn; liujie@mail.kib.ac.cn</t>
  </si>
  <si>
    <t>Li, De-Zhu/G-8203-2011; Gao, Lian-Ming/AAU-2613-2021; Gao, Lianming/H-4527-2011</t>
  </si>
  <si>
    <t>Li, De-Zhu/0000-0002-4990-724X; Gao, Lian-Ming/0000-0001-9047-2658; Gao, Lianming/0000-0001-9047-2658; Wambulwa, Moses/0000-0002-6373-5915</t>
  </si>
  <si>
    <t>APR 25</t>
  </si>
  <si>
    <t>10.3389/fpls.2022.779989</t>
  </si>
  <si>
    <t>1F1IP</t>
  </si>
  <si>
    <t>WOS:000794928800001</t>
  </si>
  <si>
    <t>Munir, S; Li, YM; He, PB; He, PF; He, PJ; Cui, WY; Wu, YX; Li, XY; Li, Q; Zhang, SX; Xiong, YS; Lu, ZJ; Wang, WB; Zong, KX; Yang, YC; Yang, SC; Mu, C; Wen, HM; Wang, YH; Guo, J; Karunarathna, SC; He, YQ</t>
  </si>
  <si>
    <t>Munir, Shahzad; Li, Yongmei; He, Pengbo; He, Pengfei; He, Pengjie; Cui, Wenyan; Wu, Yixin; Li, Xingyu; Li, Qi; Zhang, Sixiang; Xiong, Yangsu; Lu, Zhanjun; Wang, Wenbiao; Zong, Kexian; Yang, Yongchao; Yang, Shaocong; Mu, Chan; Wen, Heming; Wang, Yuehu; Guo, Jun; Karunarathna, Samantha C.; He, Yueqiu</t>
  </si>
  <si>
    <t>Defeating Huanglongbing Pathogen Candidatus Liberibacter asiaticus With Indigenous Citrus Endophyte Bacillus subtilis L1-21 (vol 12, 789065, 2022)</t>
  </si>
  <si>
    <t>Citrus; Bacillus subtilis; endophyte; pathogen; restructuring; microbiome</t>
  </si>
  <si>
    <t>Munir, Shahzad</t>
  </si>
  <si>
    <t>[Munir, Shahzad; Li, Yongmei; He, Pengbo; He, Pengfei; He, Pengjie; Cui, Wenyan; Wu, Yixin; Li, Xingyu; Li, Qi; He, Yueqiu] Yunnan Agr Univ, State Key Lab Conservat &amp; Utilizat Bioresources, Kunming, Yunnan, Peoples R China; [Zhang, Sixiang; Xiong, Yangsu; Wang, Wenbiao; Zong, Kexian] Binchuan Inst Food &amp; Med Inspect &amp; Testing, Binchuan, Peoples R China; [Lu, Zhanjun] Gannan Normal Univ, Coll Life Sci, Ganzhou, Peoples R China; [Yang, Yongchao; Wen, Heming] Wenshan Acad Agr Sci, Inst Upland Crops, Wenshan, Peoples R China; [Yang, Shaocong; Mu, Chan] Yuxi Acad Agr Sci, Inst Crop Fertilizat, Yuxi, Peoples R China; [Wang, Yuehu] Chinese Acad Sci, Kunming Inst Bot, Key Lab Econ Plants &amp; Biotechnol, Kunming, Yunnan, Peoples R China; [Guo, Jun] Yunnan Acad Agr Sci, Inst Trop &amp; Subtrop Cash Crops, Baoshan, Peoples R China; [Karunarathna, Samantha C.] Chinese Acad Sci, Kunming Inst Bot, Ctr Mt Futures CMF, Kunming, Yunnan, Peoples R China</t>
  </si>
  <si>
    <t>Yunnan Agricultural University; Gannan Normal University; Chinese Academy of Sciences; Kunming Institute of Botany, CAS; Yunnan Academy of Agricultural Sciences; Chinese Academy of Sciences; Kunming Institute of Botany, CAS</t>
  </si>
  <si>
    <t>He, YQ (通讯作者)，Yunnan Agr Univ, State Key Lab Conservat &amp; Utilizat Bioresources, Kunming, Yunnan, Peoples R China.</t>
  </si>
  <si>
    <t>ynfh2007@163.com</t>
  </si>
  <si>
    <t>li, yong/HDN-3885-2022; WANG, YUE/GWQ-9256-2022</t>
  </si>
  <si>
    <t>MAR 29</t>
  </si>
  <si>
    <t>10.3389/fpls.2022.884890</t>
  </si>
  <si>
    <t>1A3ZT</t>
  </si>
  <si>
    <t>WOS:000791699900001</t>
  </si>
  <si>
    <t>Ye, S; Feng, L; Zhang, SY; Lu, YC; Xiang, GS; Nian, B; Wang, Q; Zhang, SY; Song, WL; Yang, L; Liu, XY; Feng, BW; Zhang, GH; Hao, B; Yang, SC</t>
  </si>
  <si>
    <t>Ye, Shuang; Feng, Lei; Zhang, Shiyu; Lu, Yingchun; Xiang, Guisheng; Nian, Bo; Wang, Qian; Zhang, Shuangyan; Song, Wanling; Yang, Ling; Liu, Xiangyu; Feng, Baowen; Zhang, Guanghui; Hao, Bing; Yang, Shengchao</t>
  </si>
  <si>
    <t>Integrated Metabolomic and Transcriptomic Analysis and Identification of Dammarenediol-II Synthase Involved in Saponin Biosynthesis in Gynostemma longipes</t>
  </si>
  <si>
    <t>gypenosides; oxidosqualene cyclase; cytochrome P450 monooxygenase; dammarenediol II synthase; Gynostemma longipes</t>
  </si>
  <si>
    <t>BETA-AMYRIN SYNTHASE; GINSENOSIDE BIOSYNTHESIS; CYTOCHROME-P450; GENE; TRITERPENE; EXPRESSION; CATALYZES; ENZYME; PROTOPANAXADIOL; DISCOVERY</t>
  </si>
  <si>
    <t>Gynostemma longipes contains an abundance of dammarane-type ginsenosides and gypenosides that exhibit extensive pharmacological activities. Increasing attention has been paid to the elucidation of cytochrome P450 monooxygenases (CYPs) and UDP-dependent glycosyltransferases (UGTs) that participate downstream of ginsenoside biosynthesis in the Panax genus. However, information on oxidosqualene cyclases (OSCs), the upstream genes responsible for the biosynthesis of different skeletons of ginsenoside and gypenosides, is rarely reported. Here, an integrative study of the metabolome and the transcriptome in the leaf, stolon, and rattan was conducted and the function of GlOSC1 was demonstrated. In total, 46 triterpenes were detected and found to be highly abundant in the stolon, whereas gene expression analysis indicated that the upstream OSC genes responsible for saponin skeleton biosynthesis were highly expressed in the leaf. These findings indicated that the saponin skeletons were mainly biosynthesized in the leaf by OSCs, and subsequently transferred to the stolon via CYPs and UGTs biosynthesis to form various ginsenoside and gypenosides. Additionally, a new dammarane-II synthase (DDS), GlOSC1, was identified by bioinformatics analysis, yeast expression assay, and enzyme assays. The results of the liquid chromatography-mass spectrometry (LC-MS) analysis proved that GlOSC1 could catalyze 2,3-oxidosqualene to form dammarenediol-II via cyclization. This work uncovered the biosynthetic mechanism of dammarenediol-II, an important starting substrate for ginsenoside and gypenosides biosynthesis, and may achieve the increased yield of valuable ginsenosides and gypenosides produced under excess substrate in a yeast cell factory through synthetic biology strategy.</t>
  </si>
  <si>
    <t>Ye, Shuang</t>
  </si>
  <si>
    <t>[Ye, Shuang; Feng, Lei; Lu, Yingchun; Xiang, Guisheng; Nian, Bo; Wang, Qian; Zhang, Shuangyan; Song, Wanling; Yang, Ling; Liu, Xiangyu; Zhang, Guanghui; Hao, Bing; Yang, Shengchao] Yunnan Agr Univ, Natl &amp; Local Joint Engn Res Ctr Germplasms Innovat, State Key Lab Conservat &amp; Utilizat Bioresources Yu, Key Lab Med Plant Biol Yunnan Prov, Kunming, Peoples R China; [Zhang, Shiyu] Kunming Inst Bot, Ctr Mt Futures, Kunming, Peoples R China; [Zhang, Shiyu] Mae Fah Luang Univ, Ctr Excellence Fungal Res, Chiang Rai, Thailand; [Feng, Baowen] Honwin Pharm Lianghe Co LTD, Dehong, Peoples R China</t>
  </si>
  <si>
    <t>Yunnan Agricultural University; Chinese Academy of Sciences; Kunming Institute of Botany, CAS; Mae Fah Luang University</t>
  </si>
  <si>
    <t>Hao, B; Yang, SC (通讯作者)，Yunnan Agr Univ, Natl &amp; Local Joint Engn Res Ctr Germplasms Innovat, State Key Lab Conservat &amp; Utilizat Bioresources Yu, Key Lab Med Plant Biol Yunnan Prov, Kunming, Peoples R China.</t>
  </si>
  <si>
    <t>Bing.hao@hotmail.com; shengchaoyang@163.com</t>
  </si>
  <si>
    <t>National Key RD Plan [2017YFC1702500]; Major Science and Technique Programs in Yunnan Province [2019ZF011-1]; Science and Technology Innovation team of Yunnan [202105AE160011]; Yunnan Provincial Key Programs of Eco-friendly Food International Cooperation Research Center Project [2019ZG00901]; Natural Science Foundation of Yunnan Province [202001AT070125]; National Natural Science Foundation of China [31701854]</t>
  </si>
  <si>
    <t>National Key RD Plan; Major Science and Technique Programs in Yunnan Province; Science and Technology Innovation team of Yunnan; Yunnan Provincial Key Programs of Eco-friendly Food International Cooperation Research Center Project; Natural Science Foundation of Yunnan Province(Natural Science Foundation of Yunnan Province); National Natural Science Foundation of China(National Natural Science Foundation of China (NSFC))</t>
  </si>
  <si>
    <t>Funding This work was supported by National Key R&amp;D Plan (Grant No. 2017YFC1702500), Major Science and Technique Programs in Yunnan Province (Grant No. 2019ZF011-1), Science and Technology Innovation team of Yunnan (202105AE160011), Yunnan Provincial Key Programs of Eco-friendly Food International Cooperation Research Center Project (Grant No. 2019ZG00901), Natural Science Foundation of Yunnan Province (Grant No. 202001AT070125), and National Natural Science Foundation of China (Grant No. 31701854).</t>
  </si>
  <si>
    <t>MAR 25</t>
  </si>
  <si>
    <t>10.3389/fpls.2022.852377</t>
  </si>
  <si>
    <t>0Z2YX</t>
  </si>
  <si>
    <t>WOS:000790943700001</t>
  </si>
  <si>
    <t>Ji, YH; Yang, J; Landis, JB; Wang, SY; Jin, L; Xie, PX; Liu, HY; Yang, JB; Yi, TS</t>
  </si>
  <si>
    <t>Ji, Yunheng; Yang, Jin; Landis, Jacob B.; Wang, Shuying; Jin, Lei; Xie, Pingxuan; Liu, Haiyang; Yang, Jun-Bo; Yi, Ting-Shuang</t>
  </si>
  <si>
    <t>Genome Skimming Contributes to Clarifying Species Limits in Paris Section Axiparis (Melanthiaceae)</t>
  </si>
  <si>
    <t>plastome; ribosomal DNA; taxonomy; Paris Linn; species delimitation</t>
  </si>
  <si>
    <t>DNA BARCODE; DELIMITATION METHOD; EVOLUTION; PLATEAU; COMPLEX; MODEL; IDENTIFICATION; TAXONOMY; YUNNAN; CHINA</t>
  </si>
  <si>
    <t>Paris L. section Axiparis H. Li (Melanthiaceae) is a taxonomically perplexing taxon with considerable confusion regarding species delimitation. Based on the analyses of morphology and geographic distribution of each species currently recognized in the taxon, we propose a revision scheme that reduces the number of species in P. sect. Axiparis from nine to two. To verify this taxonomic proposal, we employed a genome skimming approach to recover the plastid genomes (plastomes) and nuclear ribosomal DNA (nrDNA) regions of 51 individual plants across the nine described species of P. sect. Axiparis by sampling multiple accessions per species. The species boundaries within P. sect. Axiparis were explored using phylogenetic inference and three different sequence-based species delimitation methods (ABGD, mPTP, and SDP). The mutually reinforcing results indicate that there are two species-level taxonomic units in P. sect. Axiparis (Paris forrestii s.l. and P. vaniotii s.l.) that exhibit morphological uniqueness, non-overlapping distribution, genetic distinctiveness, and potential reproductive isolation, providing strong support to the proposed species delimitation scheme. This study confirms that previous morphology-based taxonomy overemphasized intraspecific and minor morphological differences to delineate species boundaries, therefore resulting in an overestimation of the true species diversity of P. sect. Axiparis. The findings clarify species limits and will facilitate robust taxonomic revision in P. sect. Axiparis.</t>
  </si>
  <si>
    <t>Ji, Yunheng</t>
  </si>
  <si>
    <t>[Ji, Yunheng; Yang, Jin; Wang, Shuying; Jin, Lei; Xie, Pingxuan] Chinese Acad Sci, Kunming Inst Bot, CAS Key Lab Plant Divers &amp; Biogeog East Asia, Kunming, Peoples R China; [Ji, Yunheng] Chinese Acad Sci, Kunming Inst Bot, Yunnan Key Lab Integrat Conservat Plant Species Ex, Kunming, Peoples R China; [Yang, Jin; Wang, Shuying] Yunnan Univ, Sch Life Sci, Kunming, Peoples R China; [Landis, Jacob B.] Cornell Univ, Sch Integrat Plant Sci, Sect Plant Biol &amp; L H Bailey Hortorium, Ithaca, NY USA; [Landis, Jacob B.] Boyce Thompson Inst Plant Res, BTI Computat Biol Ctr, Ithaca, NY USA; [Jin, Lei; Xie, Pingxuan] Guangdong Pharmaceut Univ, Sch Tradit Chinese Med, Guangzhou, Peoples R China; [Liu, Haiyang] Chinese Acad Sci, Kunming Inst Bot, State Key Lab Phytochem &amp; Plant Resources West Chi, Kunming, Peoples R China; [Yang, Jun-Bo; Yi, Ting-Shuang] Chinese Acad Sci, Kunming Inst Bot, Germplasm Bank Wild Species, Kunming, Peoples R China</t>
  </si>
  <si>
    <t>Chinese Academy of Sciences; Kunming Institute of Botany, CAS; Chinese Academy of Sciences; Kunming Institute of Botany, CAS; Yunnan University; Cornell University; Cornell University; Boyce Thompson Institute for Plant Research; Guangdong Pharmaceutical University; Chinese Academy of Sciences; Kunming Institute of Botany, CAS; Chinese Academy of Sciences; Kunming Institute of Botany, CAS</t>
  </si>
  <si>
    <t>Ji, YH (通讯作者)，Chinese Acad Sci, Kunming Inst Bot, CAS Key Lab Plant Divers &amp; Biogeog East Asia, Kunming, Peoples R China.;Ji, YH (通讯作者)，Chinese Acad Sci, Kunming Inst Bot, Yunnan Key Lab Integrat Conservat Plant Species Ex, Kunming, Peoples R China.;Yang, JB; Yi, TS (通讯作者)，Chinese Acad Sci, Kunming Inst Bot, Germplasm Bank Wild Species, Kunming, Peoples R China.</t>
  </si>
  <si>
    <t>jiyh@mail.kib.ac.cn; jbyang@mail.kib.ac.cn; tingshuangyi@mail.kib.ac.cn</t>
  </si>
  <si>
    <t>wang, shuying/HHZ-4516-2022</t>
  </si>
  <si>
    <t>10.3389/fpls.2022.832034</t>
  </si>
  <si>
    <t>0V9TV</t>
  </si>
  <si>
    <t>WOS:000788683100001</t>
  </si>
  <si>
    <t>Yang, FM; Cai, L; Dao, Z; Sun, WB</t>
  </si>
  <si>
    <t>Yang, Fengmao; Cai, Lei; Dao, Zhiling; Sun, Weibang</t>
  </si>
  <si>
    <t>Genomic Data Reveals Population Genetic and Demographic History of Magnolia fistulosa (Magnoliaceae), a Plant Species With Extremely Small Populations in Yunnan Province, China</t>
  </si>
  <si>
    <t>Magnolia fistulosa; ddRAD-seq; population genetic; demographic history; conservation management</t>
  </si>
  <si>
    <t>TANAKA-KAIYONG LINE; HABITAT FRAGMENTATION; N-E; CONSERVATION; DIVERSITY; SIZE; PHYLOGEOGRAPHY; CONSEQUENCES; SOFTWARE; MARKERS</t>
  </si>
  <si>
    <t>Elucidating the genetic background of threatened species is fundamental to their management and conservation, and investigating the demographic history of these species is helpful in the determination of the threats facing them. The woody species of the genus Magnolia (Magnoliaceae) have high economic, scientific and ecological values. Although nearly half of all Magnolia species have been evaluated as threatened, to date there has been no population genetic study employing Next Generation Sequencing (NGS) technology in this genus. In the present study, we investigate the conservation genomics of Magnolia fistulosa, a threatened species endemic to the limestone area along the Sino-Vietnamese border, using a double digest restriction-site-associated DNA-sequencing (ddRAD-seq) approach. To increase the reliability of our statistical inferences, we employed two approaches, Stacks and ipyrad, for SNP calling. A total of 15,272 and 18,960, respectively, putatively neutral SNPs were generated by Stacks and ipyrad. Relatively high genetic diversity and large population divergence were detected in M. fistulosa. Although higher absolute values were calculated using the ipyrad data set, the two data sets showed the same trends in genetic diversity (pi, H-e), population differentiation (F-ST) and inbreeding coefficients (F-IS). A change in the effective population size of M. fistulosa within the last 1 Ma was detected, including a population decline about 0.5-0.8 Ma ago, a bottleneck event about 0.2-0.3 Ma ago, population fluctuations during the last glacial stage, and the recovery of effective population size after the last glacial maximum. Our findings not only lay the foundation for the future conservation of this species, but also provide new insights into the evolutionary history of the genus Magnolia in southeastern Yunnan, China.</t>
  </si>
  <si>
    <t>Yang, Fengmao</t>
  </si>
  <si>
    <t>[Yang, Fengmao; Cai, Lei; Dao, Zhiling; Sun, Weibang] Chinese Acad Sci, Kunming Inst Bot, Yunnan Key Lab Integrat Conservat Plant Species E, Kunming, Peoples R China; [Yang, Fengmao; Cai, Lei; Dao, Zhiling; Sun, Weibang] Chinese Acad Sci, Kunming Inst Bot, Key Lab Plant Div &amp; Biogeog East Asia, Kunming, Peoples R China; [Yang, Fengmao] Univ Chinese Acad Sci, Beijing, Peoples R China</t>
  </si>
  <si>
    <t>Sun, WB (通讯作者)，Chinese Acad Sci, Kunming Inst Bot, Yunnan Key Lab Integrat Conservat Plant Species E, Kunming, Peoples R China.;Sun, WB (通讯作者)，Chinese Acad Sci, Kunming Inst Bot, Key Lab Plant Div &amp; Biogeog East Asia, Kunming, Peoples R China.</t>
  </si>
  <si>
    <t>wbsun@mail.kib.ac.cn</t>
  </si>
  <si>
    <t>FEB 17</t>
  </si>
  <si>
    <t>10.3389/fpls.2022.811312</t>
  </si>
  <si>
    <t>ZT9UP</t>
  </si>
  <si>
    <t>WOS:000769493800001</t>
  </si>
  <si>
    <t>Sun, H; Zhang, YQ; Zhang, SB; Huang, W</t>
  </si>
  <si>
    <t>Sun, Hu; Zhang, Yu-Qi; Zhang, Shi-Bao; Huang, Wei</t>
  </si>
  <si>
    <t>Photosynthetic Induction Under Fluctuating Light Is Affected by Leaf Nitrogen Content in Tomato</t>
  </si>
  <si>
    <t>fluctuating light; nitrogen; photosynthesis; mesophyll conductance; photosynthetic limitation</t>
  </si>
  <si>
    <t>MESOPHYLL CONDUCTANCE; CO2 ASSIMILATION; CHARACTERISTICS EXPLAIN; STOMATAL CONDUCTANCE; ELECTRON-TRANSPORT; BIOMASS PRODUCTION; LIMITATIONS; LEAVES; CAPACITY; GROWTH</t>
  </si>
  <si>
    <t>The response of photosynthetic CO2 assimilation to changes of illumination affects plant growth and crop productivity under natural fluctuating light conditions. However, the effects of nitrogen (N) supply on photosynthetic physiology after transition from low to high light are seldom studied. To elucidate this, we measured gas exchange and chlorophyll fluorescence under fluctuating light in tomato (Solanum lycopersicum) seedlings grown with different N conditions. After transition from low to high light, the induction speeds of net CO2 assimilation (A(N)), stomatal conductance (g(s)), and mesophyll conductance (g(m)) delayed with the decline in leaf N content. The time to reach 90% of maximum A(N), g(s) and g(m) was negatively correlated with leaf N content. This delayed photosynthetic induction in plants grown under low N concentration was mainly caused by the slow induction response of g(m) rather than that of g(s). Furthermore, the photosynthetic induction upon transfer from low to high light was hardly limited by photosynthetic electron flow. These results indicate that decreased leaf N content declines carbon gain under fluctuating light in tomato. Increasing the induction kinetics of g(m) has the potential to enhance the carbon gain of field crops grown in infertile soil.</t>
  </si>
  <si>
    <t>[Sun, Hu; Zhang, Shi-Bao; Huang, Wei] Chinese Acad Sci, Kunming Inst Bot, Kunming, Peoples R China; [Sun, Hu] Univ Chinese Acad Sci, Beijing, Peoples R China; [Zhang, Yu-Qi] Chinese Acad Agr Sci, Inst Environm &amp; Sustainable Dev Agr, Beijing, Peoples R China</t>
  </si>
  <si>
    <t>Chinese Academy of Sciences; Kunming Institute of Botany, CAS; Chinese Academy of Sciences; University of Chinese Academy of Sciences, CAS; Chinese Academy of Agricultural Sciences; Institute of Environment &amp; Sustainable Development in Agriculture, CAAS</t>
  </si>
  <si>
    <t>Huang, W (通讯作者)，Chinese Acad Sci, Kunming Inst Bot, Kunming, Peoples R China.</t>
  </si>
  <si>
    <t>National Natural Science Foundation of China [31971412, 32171505]; Project for Innovation Team of Yunnan Province [202105AE160012]</t>
  </si>
  <si>
    <t>Funding This work was supported by the National Natural Science Foundation of China (grant nos. 31971412 and 32171505) and the Project for Innovation Team of Yunnan Province (202105AE160012).</t>
  </si>
  <si>
    <t>10.3389/fpls.2022.835571</t>
  </si>
  <si>
    <t>ZM7MS</t>
  </si>
  <si>
    <t>WOS:000764537200001</t>
  </si>
  <si>
    <t>Song, WC; Ji, CX; Chen, ZM; Cai, HH; Wu, XM; Shi, C; Wang, S</t>
  </si>
  <si>
    <t>Song, Weicai; Ji, Chuxuan; Chen, Zimeng; Cai, Haohong; Wu, Xiaomeng; Shi, Chao; Wang, Shuo</t>
  </si>
  <si>
    <t>Comparative Analysis the Complete Chloroplast Genomes of Nine Musa Species: Genomic Features, Comparative Analysis, and Phylogenetic Implications</t>
  </si>
  <si>
    <t>Musa; chloroplast genome; genetic structure; comparative analysis; phylogenetic analysis; interspecific relationships</t>
  </si>
  <si>
    <t>BANANA; SEQUENCE; GENES; DNA; WASTE; ANGIOSPERMS; ANNOTATION; EVOLUTION; REMOVAL; PLANTS</t>
  </si>
  <si>
    <t>Musa (family Musaceae) is monocotyledonous plants in order Zingiberales, which grows in tropical and subtropical regions. It is one of the most important tropical fruit trees in the world. Herein, we used next-generation sequencing technology to assemble and perform in-depth analysis of the chloroplast genome of nine new Musa plants for the first time, including genome structure, GC content, repeat structure, codon usage, nucleotide diversity and etc. The entire length of the Musa chloroplast genome ranged from 167,975 to 172,653 bp, including 113 distinct genes comprising 79 protein-coding genes, 30 transfer RNA (tRNA) genes and four ribosomal RNA (rRNA) genes. In comparative analysis, we found that the contraction and expansion of the inverted repeat (IR) regions resulted in the doubling of the rps19 gene. The several non-coding sites (psbI-atpA, atpH-atpI, rpoB-petN, psbM-psbD, ndhf-rpl32, and ndhG-ndhI) and three genes (ycf1, ycf2, and accD) showed significant variation, indicating that they have the potential of molecular markers. Phylogenetic analysis based on the complete chloroplast genome and coding sequences of 77 protein-coding genes confirmed that Musa can be mainly divided into two groups. These genomic sequences provide molecular foundation for the development and utilization of Musa plants resources. This result may contribute to the understanding of the evolution pattern, phylogenetic relationships as well as classification of Musa plants.</t>
  </si>
  <si>
    <t>Song, Weicai</t>
  </si>
  <si>
    <t>[Song, Weicai; Chen, Zimeng; Cai, Haohong; Wu, Xiaomeng; Shi, Chao; Wang, Shuo] Qingdao Univ Sci &amp; Technol, Coll Marine Sci &amp; Biol Engn, Qingdao, Peoples R China; [Ji, Chuxuan] Imperial Coll London, Dept Life Sci, Silwood Pk, London, England; [Shi, Chao] Chinese Acad Sci, Kunming Inst Bot, Germplasm Bank Wild Species Southwest China, Plant Germplasm &amp; Genom Ctr, Kunming, Yunnan, Peoples R China</t>
  </si>
  <si>
    <t>Qingdao University of Science &amp; Technology; Imperial College London; Chinese Academy of Sciences; Kunming Institute of Botany, CAS</t>
  </si>
  <si>
    <t>Shi, C; Wang, S (通讯作者)，Qingdao Univ Sci &amp; Technol, Coll Marine Sci &amp; Biol Engn, Qingdao, Peoples R China.;Shi, C (通讯作者)，Chinese Acad Sci, Kunming Inst Bot, Germplasm Bank Wild Species Southwest China, Plant Germplasm &amp; Genom Ctr, Kunming, Yunnan, Peoples R China.</t>
  </si>
  <si>
    <t>chsh1111@aliyun.com; shuowang@qust.edu.cn</t>
  </si>
  <si>
    <t>Song, Weicai/0000-0003-2665-8874; Chen, zimeng/0000-0002-8952-0664; Cai, Haohong/0000-0002-7402-9426</t>
  </si>
  <si>
    <t>National Natural Science Foundation of China [31801022]; Shandong Province Natural Science Foundation of China [ZR2019BC094]</t>
  </si>
  <si>
    <t>National Natural Science Foundation of China(National Natural Science Foundation of China (NSFC)); Shandong Province Natural Science Foundation of China</t>
  </si>
  <si>
    <t>Funding This work was supported by the National Natural Science Foundation of China (No. 31801022) and Shandong Province Natural Science Foundation of China (No. ZR2019BC094). We are thankful to Beijing-based Novogene for their NGS service that was instrumental to the execution of the project.</t>
  </si>
  <si>
    <t>FEB 10</t>
  </si>
  <si>
    <t>10.3389/fpls.2022.832884</t>
  </si>
  <si>
    <t>ZH3RZ</t>
  </si>
  <si>
    <t>WOS:000760860800001</t>
  </si>
  <si>
    <t>Yang, YJ; Shi, Q; Sun, H; Mei, RQ; Huang, W</t>
  </si>
  <si>
    <t>Yang, Ying-Jie; Shi, Qi; Sun, Hu; Mei, Ren-Qiang; Huang, Wei</t>
  </si>
  <si>
    <t>Differential Response of the Photosynthetic Machinery to Fluctuating Light in Mature and Young Leaves of Dendrobium officinale</t>
  </si>
  <si>
    <t>photosynthesis; photosystem I; photoprotection; cyclic electron flow; water-water cycle</t>
  </si>
  <si>
    <t>WATER-WATER CYCLE; PROTON MOTIVE FORCE; ELECTRON-TRANSPORT; PHOTOSYSTEM-I; FLAVODIIRON PROTEINS; CO2 ASSIMILATION; BIOMASS PRODUCTION; MEHLER REACTION; WHEAT LEAVES; FLOW</t>
  </si>
  <si>
    <t>A key component of photosynthetic electron transport chain, photosystem I (PSI), is susceptible to the fluctuating light (FL) in angiosperms. Cyclic electron flow (CEF) around PSI and water-water cycle (WWC) are both used by the epiphytic orchid Dendrobium officinale to protect PSI under FL. This study examined whether the ontogenetic stage of leaf has an impact on the photoprotective mechanisms dealing with FL. Thus, chlorophyll fluorescence and P700 signals under FL were measured in D. officinale young and mature leaves. Upon transition from dark to actinic light, a rapid re-oxidation of P700 was observed in mature leaves but disappeared in young leaves, indicating that WWC existed in mature leaves but was lacking in young leaves. After shifting from low to high light, PSI over-reduction was clearly missing in mature leaves. By comparison, young leaves showed a transient PSI over-reduction within the first 30 s, which was accompanied with highly activation of CEF. Therefore, the effect of FL on PSI redox state depends on the leaf ontogenetic stage. In mature leaves, WWC is employed to avoid PSI over-reduction. In young leaves, CEF around PSI is enhanced to compensate for the lack of WWC and thus to prevent an uncontrolled PSI over-reduction induced by FL.</t>
  </si>
  <si>
    <t>Yang, Ying-Jie</t>
  </si>
  <si>
    <t>[Yang, Ying-Jie; Shi, Qi; Sun, Hu; Mei, Ren-Qiang; Huang, Wei] Chinese Acad Sci, Kunming Inst Bot, Kunming, Yunnan, Peoples R China; [Shi, Qi; Sun, Hu] Univ Chinese Acad Sci, Beijing, Peoples R China; [Huang, Wei] Chinese Acad Sci, Kunming Inst Bot, Bioinnovat Ctr DR PLANT, Kunming, Yunnan, Peoples R China</t>
  </si>
  <si>
    <t>Chinese Academy of Sciences; Kunming Institute of Botany, CAS; Chinese Academy of Sciences; University of Chinese Academy of Sciences, CAS; Chinese Academy of Sciences; Kunming Institute of Botany, CAS</t>
  </si>
  <si>
    <t>Mei, RQ; Huang, W (通讯作者)，Chinese Acad Sci, Kunming Inst Bot, Kunming, Yunnan, Peoples R China.;Huang, W (通讯作者)，Chinese Acad Sci, Kunming Inst Bot, Bioinnovat Ctr DR PLANT, Kunming, Yunnan, Peoples R China.</t>
  </si>
  <si>
    <t>meirenqiang@mail.kib.ac.cn; huangwei@mail.kib.ac.cn</t>
  </si>
  <si>
    <t>National Natural Science Foundation of China [31971412]; Digitalization, Development, and Application of Biotic Resource [202002 AA100007]</t>
  </si>
  <si>
    <t>National Natural Science Foundation of China(National Natural Science Foundation of China (NSFC)); Digitalization, Development, and Application of Biotic Resource</t>
  </si>
  <si>
    <t>This work was supported by the National Natural Science Foundation of China (No. 31971412), Digitalization, Development, and Application of Biotic Resource (202002 AA100007), and Beijing DR PLANT Biotechnology Co., Ltd.</t>
  </si>
  <si>
    <t>10.3389/fpls.2021.829783</t>
  </si>
  <si>
    <t>ZG0EY</t>
  </si>
  <si>
    <t>WOS:000759940100001</t>
  </si>
  <si>
    <t>Wu, H; Yang, JB; Liu, JX; Li, DZ; Ma, PF</t>
  </si>
  <si>
    <t>Wu, Hong; Yang, Jun-Bo; Liu, Jing-Xia; Li, De-Zhu; Ma, Peng-Fei</t>
  </si>
  <si>
    <t>Organelle Phylogenomics and Extensive Conflicting Phylogenetic Signals in the Monocot Order Poales</t>
  </si>
  <si>
    <t>Poales; phylogenomic conflict; plastome; mitochondrial; nuclear</t>
  </si>
  <si>
    <t>EVOLUTIONARY SIGNIFICANCE; PLASTID GENOMES; NUCLEAR GENES; SEQUENCE DATA; TREE; MITOCHONDRIAL; DIVERSIFICATION; FAMILIES; RBCL; CLASSIFICATION</t>
  </si>
  <si>
    <t>The Poales is one of the largest orders of flowering plants with significant economic and ecological values. Reconstructing the phylogeny of the Poales is important for understanding its evolutionary history that forms the basis for biological studies. However, due to sparse taxon sampling and limited molecular data, previous studies have resulted in a variety of contradictory topologies. In particular, there are three nodes surrounded by incongruence: the phylogenetic ambiguity near the root of the Poales tree, the sister family of Poaceae, and the delimitation of the xyrid clade. We conducted a comprehensive sampling and reconstructed the phylogenetic tree using plastid and mitochondrial genomic data from 91 to 66 taxa, respectively, representing all the 16 families of Poales. Our analyses support the finding of Bromeliaceae and Typhaceae as the earliest diverging groups within the Poales while having phylogenetic relationships with the polytomy. The clade of Ecdeiocoleaceae and Joinvilleaceae is recovered as the sister group of Poaceae. The three families, Mayacaceae, Eriocaulaceae, and Xyridaceae, of the xyrid assembly diverged successively along the backbone of the Poales phylogeny, and thus this assembly is paraphyletic. Surprisingly, we find substantial phylogenetic conflicts within the plastid genomes of the Poales, as well as among the plastid, mitochondrial, and nuclear data. These conflicts suggest that the Poales could have a complicated evolutionary history, such as rapid radiation and polyploidy, particularly allopolyploidy through hybridization. In sum, our study presents a new perspicacity into the complex phylogenetic relationships and the underlying phylogenetic conflicts within the Poales.</t>
  </si>
  <si>
    <t>Wu, Hong</t>
  </si>
  <si>
    <t>[Wu, Hong; Yang, Jun-Bo; Liu, Jing-Xia; Li, De-Zhu; Ma, Peng-Fei] Chinese Acad Sci, Kunming Inst Bot, Germplasm Bank Wild Species, Kunming, Yunnan, Peoples R China; [Wu, Hong] Univ Chinese Acad Sci, Beijing, Peoples R China</t>
  </si>
  <si>
    <t>Li, DZ; Ma, PF (通讯作者)，Chinese Acad Sci, Kunming Inst Bot, Germplasm Bank Wild Species, Kunming, Yunnan, Peoples R China.</t>
  </si>
  <si>
    <t>dzl@mail.kib.ac.cn; mapengfei@mail.kib.ac.cn</t>
  </si>
  <si>
    <t>Li, De-Zhu/0000-0002-4990-724X</t>
  </si>
  <si>
    <t>National Natural Science Foundation of China [31770239]; CAS's large-scale scientific facilities [2017-LSF-GBOWS-02]; Program of Science and Technology Talents Training in Yunnan Province [202105AC160022]</t>
  </si>
  <si>
    <t>National Natural Science Foundation of China(National Natural Science Foundation of China (NSFC)); CAS's large-scale scientific facilities; Program of Science and Technology Talents Training in Yunnan Province</t>
  </si>
  <si>
    <t>This study was supported by the National Natural Science Foundation of China (Project No. 31770239), CAS's large-scale scientific facilities (Grant No. 2017-LSF-GBOWS-02) and the Program of Science and Technology Talents Training in Yunnan Province (202105AC160022).</t>
  </si>
  <si>
    <t>JAN 31</t>
  </si>
  <si>
    <t>10.3389/fpls.2021.824672</t>
  </si>
  <si>
    <t>ZE1TU</t>
  </si>
  <si>
    <t>WOS:000758673600001</t>
  </si>
  <si>
    <t>Defeating Huanglongbing Pathogen Candidatus Liberibacter asiaticus With Indigenous Citrus Endophyte Bacillus subtilis L1-21</t>
  </si>
  <si>
    <t>AFFECTED GRAPEFRUIT; DISEASE; INOCULATION; RESISTANCE; DIVERSITY; PCR; L.</t>
  </si>
  <si>
    <t>Huanglongbing (HLB) has turned into a devastating botanical pandemic of citrus crops, caused by Candidatus Liberibacter asiaticus (CLas). However, until now the disease has remained incurable with very limited control strategies available. Restoration of the affected microbiomes in the diseased host through the introduction of an indigenous endophyte Bacillus subtilis L1-21 isolated from healthy citrus may provide an innovative approach for disease management. A novel half-leaf method was developed in vitro to test the efficacy of the endophyte L1-21 against CLas. Application of B. subtilis L1-21 at 10(4) colony forming unit (cfu ml(-1)) resulted in a 1,000-fold reduction in the CLas copies per gram of leaf midrib (10(7) to 10(4)) in 4 days. In HLB-affected citrus orchards over a period of 2 years, the CLas incidence was reduced to &lt; 3%, and CLas copies declined from 10(9) to 10(4) g(-1) of diseased leaf midribs in the endophyte L1-21 treated trees. Reduction in disease incidence may corroborate a direct or an indirect biocontrol effect of the endophytes as red fluorescent protein-labeled B. subtilis L1-21 colonized and shared niche (phloem) with CLas. This is the first large-scale study for establishing a sustainable HLB control strategy through citrus endophytic microbiome restructuring using an indigenous endophyte.</t>
  </si>
  <si>
    <t>[Munir, Shahzad; Li, Yongmei; He, Pengbo; He, Pengfei; He, Pengjie; Cui, Wenyan; Wu, Yixin; Li, Xingyu; Li, Qi; He, Yueqiu] Yunnan Agr Univ, State Key Lab Conservat &amp; Utilizat Bioresources Y, Kunming, Peoples R China; [Zhang, Sixiang; Xiong, Yangsu; Wang, Wenbiao; Zong, Kexian] Binchuan Inst Food &amp; Med Inspect &amp; Testing, Binchuan, Peoples R China; [Lu, Zhanjun] Gannan Normal Univ, Coll Life Sci, Ganzhou, Peoples R China; [Yang, Yongchao; Wen, Heming] Wenshan Acad Agr Sci, Inst Upland Crops, Wenshan, Peoples R China; [Yang, Shaocong; Mu, Chan] Yuxi Acad Agr Sci, Inst Crop Fertilizat, Yuxi, Peoples R China; [Wang, Yuehu] Chinese Acad Sci, Kunming Inst Bot, Key Lab Econ Plants &amp; Biotechnol, Kunming, Yunnan, Peoples R China; [Guo, Jun] Yunnan Acad Agr Sci, Inst Trop &amp; Subtrop Cash Crops, Baoshan, Peoples R China; [Karunarathna, Samantha C.] Chinese Acad Sci, Kunming Inst Bot, Ctr Mt Futures CMF, Kunming, Yunnan, Peoples R China</t>
  </si>
  <si>
    <t>He, YQ (通讯作者)，Yunnan Agr Univ, State Key Lab Conservat &amp; Utilizat Bioresources Y, Kunming, Peoples R China.</t>
  </si>
  <si>
    <t>He, Yueqiu/0000-0002-6497-1178; He, Pengjie/0000-0003-4379-9126</t>
  </si>
  <si>
    <t>National Natural Science Foundation of China [32050410307]; Central Government Fund for Local Science and Technology Development [202107AA110007]; China Postdoctoral Science Foundation [2020M683664XB]; Yunnan First Level Research Fund for Post-Doctorate Researchers [202103]</t>
  </si>
  <si>
    <t>National Natural Science Foundation of China(National Natural Science Foundation of China (NSFC)); Central Government Fund for Local Science and Technology Development; China Postdoctoral Science Foundation(China Postdoctoral Science Foundation); Yunnan First Level Research Fund for Post-Doctorate Researchers</t>
  </si>
  <si>
    <t>This study was financially supported by the National Natural Science Foundation of China (32050410307), the Central Government Fund for Local Science and Technology Development (202107AA110007), the China Postdoctoral Science Foundation (No. 2020M683664XB), and the Yunnan First Level Research Fund for Post-Doctorate Researchers (202103).</t>
  </si>
  <si>
    <t>JAN 21</t>
  </si>
  <si>
    <t>10.3389/fpls.2021.789065</t>
  </si>
  <si>
    <t>YT6GF</t>
  </si>
  <si>
    <t>WOS:000751455200001</t>
  </si>
  <si>
    <t>Wang, Y; Tong, Y; Adejobi, OI; Wang, YH; Liu, AZ</t>
  </si>
  <si>
    <t>Wang, Yue; Tong, Yan; Adejobi, Oluwaniyi Isaiah; Wang, Yuhua; Liu, Aizhong</t>
  </si>
  <si>
    <t>Research Advances in Multi-Omics on the Traditional Chinese Herb Dendrobium officinale</t>
  </si>
  <si>
    <t>Dendrobium officinale; multi-omics; bioactive compounds; biosynthesis; regulation</t>
  </si>
  <si>
    <t>TRANSCRIPTOME; GENES; REVEALS; POLYSACCHARIDES; IDENTIFICATION; GENOME</t>
  </si>
  <si>
    <t>Dendrobium officinale Kimura et Migo is an important epiphytic plant, belonging to the Orchidaceae family. There are various bioactive components in D. officinale plants, mainly including polysaccharides, alkaloids, and phenolic compounds. These compounds have been demonstrated to possess multiple functions, such as anti-oxidation, immune regulation, and anti-cancer. Due to serious shortages of wild resources, deterioration of cultivated germplasm and the unstable quality of D. officinale, the study has been focused on the biosynthetic pathway and regulation mechanisms of bioactive compounds. In recent years, with rapid developments in detection technologies and analysis tools, omics research including genomics, transcriptomics, proteomics and metabolomics have all been widely applied in various medicinal plants, including D. officinale. Many important advances have been achieved in D. officinale research, such as chromosome-level reference genome assembly and the identification of key genes involved in the biosynthesis of active components. In this review, we summarize the latest research advances in D. officinale based on multiple omics studies. At the same time, we discuss limitations of the current research. Finally, we put forward prospective topics in need of further study on D. officinale.</t>
  </si>
  <si>
    <t>[Wang, Yue; Tong, Yan; Adejobi, Oluwaniyi Isaiah; Wang, Yuhua] Chinese Acad Sci, Kunming Inst Bot, Yunnan Key Lab Wild Plant Resources, Key Lab Econ Plants &amp; Biotechnol, Kunming, Peoples R China; [Wang, Yue; Tong, Yan; Adejobi, Oluwaniyi Isaiah; Wang, Yuhua] Chinese Acad Sci, Kunming Inst Bot, Bioinnovat Ctr DR PLANT, Kunming, Peoples R China; [Liu, Aizhong] Southwest Forestry Univ, Key Lab Forest Resources Conservat &amp; Utilizat Sou, Minist Educ, Kunming, Peoples R China</t>
  </si>
  <si>
    <t>Liu, AZ (通讯作者)，Southwest Forestry Univ, Key Lab Forest Resources Conservat &amp; Utilizat Sou, Minist Educ, Kunming, Peoples R China.</t>
  </si>
  <si>
    <t>Wang, Yuhua/GLR-0968-2022</t>
  </si>
  <si>
    <t>Wang, Yuhua/0000-0001-7749-000X</t>
  </si>
  <si>
    <t>JAN 11</t>
  </si>
  <si>
    <t>10.3389/fpls.2021.808228</t>
  </si>
  <si>
    <t>YO5XV</t>
  </si>
  <si>
    <t>WOS:000748015000001</t>
  </si>
  <si>
    <t>Hu, YT; Wu, XP; Jin, GH; Peng, JC; Leng, R; Li, L; Gui, DP; Fan, CZ; Zhang, CJ</t>
  </si>
  <si>
    <t>Hu, Yanting; Wu, Xiaopei; Jin, Guihua; Peng, Junchu; Leng, Rong; Li, Ling; Gui, Daping; Fan, Chuanzhu; Zhang, Chengjun</t>
  </si>
  <si>
    <t>Rapid Genome Evolution and Adaptation of Thlaspi arvense Mediated by Recurrent RNA-Based and Tandem Gene Duplications</t>
  </si>
  <si>
    <t>Thlaspi arvense; LTR retrotransposons; retroduplication; tandem duplication; genome adaptation; gene family</t>
  </si>
  <si>
    <t>TRANSPOSABLE ELEMENTS; DOMAIN PROTEINS; PROVIDES TOOLS; SIZE VARIATION; PLANT; IDENTIFICATION; FAMILY; WILD; CLASSIFICATION; RECONSTRUCTION</t>
  </si>
  <si>
    <t>Retrotransposons are the most abundant group of transposable elements (TEs) in plants, providing an extraordinarily versatile source of genetic variation. Thlaspi arvense, a close relative of the model plant Arabidopsis thaliana with worldwide distribution, thrives from sea level to above 4,000 m elevation in the Qinghai-Tibet Plateau (QTP), China. Its strong adaptability renders it an ideal model system for studying plant adaptation in extreme environments. However, how the retrotransposons affect the T. arvense genome evolution and adaptation is largely unknown. We report a high-quality chromosome-scale genome assembly of T. arvense with a scaffold N50 of 59.10 Mb. Long terminal repeat retrotransposons (LTR-RTs) account for 56.94% of the genome assembly, and the Gypsy superfamily is the most abundant TEs. The amplification of LTR-RTs in the last six million years primarily contributed to the genome size expansion in T. arvense. We identified 351 retrogenes and 303 genes flanked by LTRs, respectively. A comparative analysis showed that orthogroups containing those retrogenes and genes flanked by LTRs have a higher percentage of significantly expanded orthogroups (SEOs), and these SEOs possess more recent tandem duplicated genes. All present results indicate that RNA-based gene duplication (retroduplication) accelerated the subsequent tandem duplication of homologous genes resulting in family expansions, and these expanded gene families were implicated in plant growth, development, and stress responses, which were one of the pivotal factors for T. arvense's adaptation to the harsh environment in the QTP regions. In conclusion, the high-quality assembly of the T. arvense genome provides insights into the retroduplication mediated mechanism of plant adaptation to extreme environments.</t>
  </si>
  <si>
    <t>Hu, Yanting</t>
  </si>
  <si>
    <t>[Hu, Yanting; Wu, Xiaopei; Jin, Guihua; Peng, Junchu; Leng, Rong; Li, Ling; Gui, Daping; Zhang, Chengjun] Chinese Acad Sci, Kunming Inst Bot, Germplasm Bank Wild Species, Kunming, Yunnan, Peoples R China; [Hu, Yanting; Wu, Xiaopei; Jin, Guihua; Leng, Rong; Li, Ling] Univ Chinese Acad Sci, Beijing, Peoples R China; [Peng, Junchu] Chinese Acad Sci, Kunming Inst Bot, Key Lab Plant Divers &amp; Biogeog East Asia, Kunming, Yunnan, Peoples R China; [Fan, Chuanzhu] Wayne State Univ, Dept Biol Sci, Detroit, MI 48202 USA; [Zhang, Chengjun] Chinese Acad Sci, Kunming Inst Bot, Haiyan Engn &amp; Technol Ctr, Kunming, Yunnan, Peoples R China</t>
  </si>
  <si>
    <t>Chinese Academy of Sciences; Kunming Institute of Botany, CAS; Chinese Academy of Sciences; University of Chinese Academy of Sciences, CAS; Chinese Academy of Sciences; Kunming Institute of Botany, CAS; Wayne State University; Chinese Academy of Sciences; Kunming Institute of Botany, CAS</t>
  </si>
  <si>
    <t>Zhang, CJ (通讯作者)，Chinese Acad Sci, Kunming Inst Bot, Germplasm Bank Wild Species, Kunming, Yunnan, Peoples R China.;Fan, CZ (通讯作者)，Wayne State Univ, Dept Biol Sci, Detroit, MI 48202 USA.;Zhang, CJ (通讯作者)，Chinese Acad Sci, Kunming Inst Bot, Haiyan Engn &amp; Technol Ctr, Kunming, Yunnan, Peoples R China.</t>
  </si>
  <si>
    <t>cfan@wayne.edu; zhangchengjun@mail.kib.ac.cn</t>
  </si>
  <si>
    <t>Zhang, Chengjun/0000-0001-9759-4906</t>
  </si>
  <si>
    <t>JAN 4</t>
  </si>
  <si>
    <t>10.3389/fpls.2021.772655</t>
  </si>
  <si>
    <t>YK4AL</t>
  </si>
  <si>
    <t>WOS:000745157700001</t>
  </si>
  <si>
    <t>Chen, SF; Milne, R; Zhou, RC; Meng, KK; Yin, QY; Guo, W; Ma, YP; Mao, KS; Xu, KW; Kim, YD; Do, TV; Liao, WB; Fan, Q</t>
  </si>
  <si>
    <t>Chen, Sufang; Milne, Richard; Zhou, Renchao; Meng, Kaikai; Yin, Qianyi; Guo, Wei; Ma, Yongpeng; Mao, Kangshan; Xu, Kewang; Kim, Young-Dong; Truong Van Do; Liao, Wenbo; Fan, Qiang</t>
  </si>
  <si>
    <t>When tropical and subtropical congeners met: Multiple ancient hybridization events within Eriobotrya in the Yunnan-Guizhou Plateau, a tropical-subtropical transition area in China</t>
  </si>
  <si>
    <t>MOLECULAR ECOLOGY</t>
  </si>
  <si>
    <t>chloroplast capture; Eriobotrya; genome resequencing; global cooling; multiple ancient hybridization; tropical and subtropical zones</t>
  </si>
  <si>
    <t>CHLOROPLAST CAPTURE; HYBRID SPECIATION; CLIMATE; DIVERSIFICATION; COLONIZATION; PERFORMANCE; DISCOVERY; SOFTWARE; SUGGEST; HISTORY</t>
  </si>
  <si>
    <t>Global climate changes during the Miocene may have created ample opportunities for hybridization between members of tropical and subtropical biomes at the boundary between these zones. Yet, very few studies have explored this possibility. The Yunnan-Guizhou Plateau (YGP) in Southwest China is a biodiversity hotspot for vascular plants, located in a transitional area between the floristic regions of tropical Southeast Asia and subtropical East Asia. The genus Eriobotrya (Rosaceae) comprises both tropical and subtropical taxa, with 12 species recorded in the YGP, making it a suitable basis for testing the hypothesis of between-biome hybridization. Therefore, we surveyed the evolutionary history of Eriobotrya by examining three chloroplast regions and five nuclear genes for 817 individuals (47 populations) of 23 Eriobotrya species (including 19 populations of 12 species in the YGP), plus genome re-sequencing of 33 representative samples. We concluded that: (1) phylogenetic positions for 16 species exhibited strong cytonuclear conflicts, most probably due to ancient hybridization; (2) the YGP is a hotspot for hybridization, with 11 species showing clear evidence of chloroplast capture; and (3) Eriobotrya probably originated in tropical Asia during the Eocene. From the Miocene onwards, the intensification of the Eastern Asia monsoon and global cooling may have shifted the tropical-subtropical boundary and caused secondary contact between species, thus providing ample opportunity for hybridization and diversification of Eriobotrya, especially in the YGP. Our study highlights the significant role that paleoclimate changes probably played in driving hybridization and generating rich species diversity in climate transition zones.</t>
  </si>
  <si>
    <t>Chen, Sufang</t>
  </si>
  <si>
    <t>[Chen, Sufang; Zhou, Renchao; Meng, Kaikai; Yin, Qianyi; Liao, Wenbo; Fan, Qiang] Sun Yat Sen Univ, Sch Life Sci, State Key Lab Biocontrol, Guangzhou, Peoples R China; [Chen, Sufang; Zhou, Renchao; Meng, Kaikai; Yin, Qianyi; Liao, Wenbo; Fan, Qiang] Sun Yat Sen Univ, Sch Life Sci, Guangdong Prov Key Lab Plant Resources, Guangzhou, Peoples R China; [Milne, Richard] Univ Edinburgh, Inst Mol Plant Sci, Edinburgh, Midlothian, Scotland; [Guo, Wei] Zhongkai Univ Agr &amp; Engn, Dept Hort &amp; Landscape Architecture, Guangzhou, Peoples R China; [Ma, Yongpeng] Chinese Acad Sci, Kunming Inst Bot, Kunming Bot Garden, Kunming, Yunnan, Peoples R China; [Mao, Kangshan] Sichuan Univ, Coll Life Sci, Key Lab Bioresource &amp; Ecoenvironm,Minist Educ, State Key Lab Hydraul &amp; Mt River Engn, Chengdu, Peoples R China; [Xu, Kewang] Nanjing Forestry Univ, Coll Biol &amp; Environm, Coinnovat Ctr Sustainable Forestry Southern China, Nanjing, Peoples R China; [Kim, Young-Dong] Hallym Univ, Multidisciplinary Genome Inst, Dept Life Sci, Chunchon, South Korea; [Truong Van Do] Vietnam Acad Sci &amp; Technol, Vietnam Natl Museum Nat, Hanoi, Vietnam; [Truong Van Do] Grad Univ Sci &amp; Technol, Vietnam Acad Sci &amp; Technol, Hanoi, Vietnam</t>
  </si>
  <si>
    <t>Sun Yat Sen University; Sun Yat Sen University; University of Edinburgh; Zhongkai University of Agriculture &amp; Engineering; Chinese Academy of Sciences; Kunming Institute of Botany, CAS; Sichuan University; Nanjing Forestry University; Hallym University; Vietnam Academy of Science &amp; Technology (VAST); Vietnam Academy of Science &amp; Technology (VAST)</t>
  </si>
  <si>
    <t>Liao, WB; Fan, Q (通讯作者)，Sun Yat Sen Univ, Sch Life Sci, State Key Lab Biocontrol, Guangzhou, Peoples R China.;Liao, WB; Fan, Q (通讯作者)，Sun Yat Sen Univ, Sch Life Sci, Guangdong Prov Key Lab Plant Resources, Guangzhou, Peoples R China.;Ma, YP (通讯作者)，Chinese Acad Sci, Kunming Inst Bot, Kunming Bot Garden, Kunming, Yunnan, Peoples R China.;Mao, KS (通讯作者)，Sichuan Univ, Coll Life Sci, Key Lab Bioresource &amp; Ecoenvironm,Minist Educ, State Key Lab Hydraul &amp; Mt River Engn, Chengdu, Peoples R China.</t>
  </si>
  <si>
    <t>mayongpeng@mail.kib.ac.cn; maokangshan@scu.edu.cn; lsslwb@mail.sysu.edu.cn; fanqiang@mail.sysu.edu.cn</t>
  </si>
  <si>
    <t>Xu, Kewang/AAH-6629-2021</t>
  </si>
  <si>
    <t>Xu, Kewang/0000-0003-2239-0487; Kim, Young-Dong/0000-0001-5904-4727; Ma, Yongpeng/0000-0002-7725-3677; Chen, Sufang/0000-0003-3920-7618</t>
  </si>
  <si>
    <t>The project of the Fourth Survey of Chinese Traditional Medicine Resources [2019-302-001, 2019-303-001]; National Natural Science Foundation of China [31670189, 31800175]; Guangzhou Science and Technology Program [201903010076]; 2021 Guangdong Special Fund for Natural Resources Management and Ecological Forestry Construction [2021GJGY001]</t>
  </si>
  <si>
    <t>The project of the Fourth Survey of Chinese Traditional Medicine Resources; National Natural Science Foundation of China(National Natural Science Foundation of China (NSFC)); Guangzhou Science and Technology Program; 2021 Guangdong Special Fund for Natural Resources Management and Ecological Forestry Construction</t>
  </si>
  <si>
    <t>The project of the Fourth Survey of Chinese Traditional Medicine Resources, Grant/Award Number: 2019--302--001 and 2019--303--001; National Natural Science Foundation of China, Grant/Award Number: 31670189 and 31800175; the Guangzhou Science and Technology Program, Grant/Award Number: 201903010076; 2021 Guangdong Special Fund for Natural Resources Management and Ecological Forestry Construction, Grant/Award Number: 2021GJGY001</t>
  </si>
  <si>
    <t>0962-1083</t>
  </si>
  <si>
    <t>1365-294X</t>
  </si>
  <si>
    <t>MOL ECOL</t>
  </si>
  <si>
    <t>Mol. Ecol.</t>
  </si>
  <si>
    <t>10.1111/mec.16325</t>
  </si>
  <si>
    <t>ZE5RT</t>
  </si>
  <si>
    <t>WOS:000736144600001</t>
  </si>
  <si>
    <t>Ma, YP; Liu, DT; Wariss, HM; Zhang, RG; Tao, LD; Milne, RI; Sun, WB</t>
  </si>
  <si>
    <t>Ma, Yongpeng; Liu, Detuan; Wariss, Hafiz Muhammad; Zhang, Rengang; Tao, Lidan; Milne, Richard, I; Sun, Weibang</t>
  </si>
  <si>
    <t>Demographic history and identification of threats revealed by population genomic analysis provide insights into conservation for an endangered maple</t>
  </si>
  <si>
    <t>Acer yangbiense; deleterious mutation; demographic history; framework on conservation genomics; resequencing; run of homozygosity</t>
  </si>
  <si>
    <t>GENETIC DIVERSITY; YUNNAN PROVINCE; ACER-YANGBIENSE; LAKE ERHAI; R PACKAGE; SELECTION; PLANT; SIZE; CLIMATE; TREE</t>
  </si>
  <si>
    <t>Recent advancements in whole genome sequencing techniques capable of covering nearly all the nucleotide variations of a genome would make it possible to set up a conservation framework for threatened plants at the genomic level. Here we applied a whole genome resequencing approach to obtain genome-wide data from 105 individuals sampled from the 10 currently known extant populations of Acer yangbiense, an endangered species with fragmented habitats and restricted distribution in Yunnan, China. To inform meaningful conservation action, we investigated what factors might have contributed to the formation of its extremely small population sizes and what threats it currently suffers at a genomic level. Our results revealed that A. yangbiense has low genetic diversity and comprises different numbers of genetic groups based on neutral (seven) and selected loci (13), with frequent gene flow between populations. Repeated bottleneck events, particularly the most recent one occurring within similar to 10,000 years before present, which decreased its effective population size (N-e) &lt; 200, and severe habitat fragmentation resulting from anthropogenic activities as well as a biased gender ratio of mature individuals in its natural habitat, might have together contributed to the currently fragmented and endangered status of A. yangbiense. The species has suffered from inbreeding and deleterious mutation load, both of which varied among populations but had similar patterns; that is, populations with higher FROH (frequency of runs of homozygosity) always carried a larger number of deleterious mutations in the homozygous state than in populations with lower FROH. In addition, based on our genetic differentiation results, and the distribution patterns of homozygous deleterious mutations in individuals, we recommend certain conservation actions regarding the genetic rescue of A. yangbiense. Overall, our study provides meaningful insights into the conservation genetics and a framework for the further conservation for the endangered A. yangbiense.</t>
  </si>
  <si>
    <t>Ma, Yongpeng</t>
  </si>
  <si>
    <t>[Ma, Yongpeng; Liu, Detuan; Wariss, Hafiz Muhammad; Tao, Lidan; Sun, Weibang] Chinese Acad Sci, Kunming Inst Bot, Yunnan Key Lab Integrat Conservat Plant Species E, Kunming, Yunnan, Peoples R China; [Ma, Yongpeng; Liu, Detuan; Wariss, Hafiz Muhammad; Tao, Lidan; Sun, Weibang] Chinese Acad Sci, Kunming Inst Bot, Key Lab Plant Divers &amp; Biogeog East Asia, Kunming, Yunnan, Peoples R China; [Liu, Detuan] Univ Chinese Acad Sci, Beijing, Peoples R China; [Zhang, Rengang] Beijing Ori Gene Sci &amp; Technol Co Ltd, Beijing, Peoples R China; [Milne, Richard, I] Univ Edinburgh, Inst Mol Plant Sci, Edinburgh, Midlothian, Scotland; [Sun, Weibang] Chinese Acad Sci, Kunming Inst Bot, Kunming Bot Garden, Kunming, Yunnan, Peoples R China</t>
  </si>
  <si>
    <t>Ma, YP; Sun, WB (通讯作者)，Chinese Acad Sci, Kunming Inst Bot, Yunnan Key Lab Integrat Conservat Plant Species E, Kunming, Yunnan, Peoples R China.</t>
  </si>
  <si>
    <t>mayongpeng@mail.kib.ac.cn; wbsun@mail.kib.ac.cn</t>
  </si>
  <si>
    <t>Ma, Yongpeng/0000-0002-7725-3677</t>
  </si>
  <si>
    <t>Survey and Germplasm Conservation of Plant Species with Extremely Small Populations in Southwest China [2017FY100100]; Second Tibetan Plateau Scientific Expedition and Research Program [2019QZKK0502]; NSFC (National Natural Science Foundation of China) Yunnan Joint Fund [U1302262]; Yunnan Science and Technology Innovation Team Program for PSESP Conservation and Utilization [2019HC015]</t>
  </si>
  <si>
    <t>Survey and Germplasm Conservation of Plant Species with Extremely Small Populations in Southwest China; Second Tibetan Plateau Scientific Expedition and Research Program; NSFC (National Natural Science Foundation of China) Yunnan Joint Fund; Yunnan Science and Technology Innovation Team Program for PSESP Conservation and Utilization</t>
  </si>
  <si>
    <t>Survey and Germplasm Conservation of Plant Species with Extremely Small Populations in Southwest China, Grant/Award Number: 2017FY100100; Second Tibetan Plateau Scientific Expedition and Research Program, Grant/Award Number: 2019QZKK0502; NSFC (National Natural Science Foundation of China) Yunnan Joint Fund, Grant/Award Number: U1302262; Yunnan Science and Technology Innovation Team Program for PSESP Conservation and Utilization, Grant/Award Number: 2019HC015</t>
  </si>
  <si>
    <t>10.1111/mec.16289</t>
  </si>
  <si>
    <t>YL0TL</t>
  </si>
  <si>
    <t>WOS:000725924100001</t>
  </si>
  <si>
    <t>Orr, MC; Ren, ZX; Ge, J; Tian, L; An, JD; Huang, JX; Zhu, CD; Williams, PH</t>
  </si>
  <si>
    <t>Orr, Michael C.; Ren, Zong-Xin; Ge, Jin; Tian, Li; An, Jiandong; Huang, Jiaxing; Zhu, Chao-Dong; Williams, Paul H.</t>
  </si>
  <si>
    <t>The rising threat of the invasive bumblebee Bombus terrestris highlights the need for sales restrictions and domestication of unique local biodiversity in Asia</t>
  </si>
  <si>
    <t>ENTOMOLOGIA GENERALIS</t>
  </si>
  <si>
    <t>Apoidea; Apidae; Bombus; pollination; exotic species; invasive species; biodiversity decline</t>
  </si>
  <si>
    <t>REPRODUCTIVE DISTURBANCE; EUROPEAN BUMBLEBEE; BEE</t>
  </si>
  <si>
    <t>The managed bumblebee Bombus terrestris L. (Hymenoptera: Apidae) has become established on multiple continents and various islands globally, potentially impacting fauna and flora alike. Its introduction could prove especially problematic in Asia, where bumblebee biodiversity is the highest worldwide. Here, we report the active, unregulated commercial management and sale of non-native Bombus terrestris in China, also including its use in open environments, which has resulted in at least two introductions into the wild that we newly report here (Beijing and Kunming, China), although whether they are established is unknown. National and international regulations on the trade and use of this species are needed, and some of the many native species should instead be targeted for domestication.</t>
  </si>
  <si>
    <t>[Orr, Michael C.; Zhu, Chao-Dong] Chinese Acad Sci, Inst Zool, Key Lab Zool Systemat &amp; Evolut, Beijing, Peoples R China; [Orr, Michael C.; Zhu, Chao-Dong] Univ Chinese Acad Sci, Int Coll, Beijing, Peoples R China; [Ren, Zong-Xin] Chinese Acad Sci, Kunming Inst Bot, Key Lab Plant Divers &amp; Biogeog East Asia, Kunming, Yunnan, Peoples R China; [Ge, Jin; Zhu, Chao-Dong] Chinese Acad Sci, Inst Zool, State Key Lab Integrated Pest Management, Beijing, Peoples R China; [Tian, Li] China Agr Univ, Coll Plant Protect, Beijing, Peoples R China; [An, Jiandong; Huang, Jiaxing] Chinese Acad Agr Sci, Inst Apicultural Res, Minist Agr &amp; Rural Affairs, Key Lab Insect Pollinator Biol, Beijing, Peoples R China; [Zhu, Chao-Dong] Univ Chinese Acad Sci, Coll Life Sci, Beijing, Peoples R China; [Williams, Paul H.] Nat Hist Museum, London, England</t>
  </si>
  <si>
    <t>Chinese Academy of Sciences; Institute of Zoology, CAS; Chinese Academy of Sciences; University of Chinese Academy of Sciences, CAS; Chinese Academy of Sciences; Kunming Institute of Botany, CAS; Chinese Academy of Sciences; Institute of Zoology, CAS; China Agricultural University; Chinese Academy of Agricultural Sciences; Institute of Apicultural Research, CAAS; Ministry of Agriculture &amp; Rural Affairs; Chinese Academy of Sciences; University of Chinese Academy of Sciences, CAS; Natural History Museum London</t>
  </si>
  <si>
    <t>Zhu, CD (通讯作者)，Chinese Acad Sci, Inst Zool, Key Lab Zool Systemat &amp; Evolut, Beijing, Peoples R China.;Zhu, CD (通讯作者)，Univ Chinese Acad Sci, Int Coll, Beijing, Peoples R China.;Zhu, CD (通讯作者)，Chinese Acad Sci, Inst Zool, State Key Lab Integrated Pest Management, Beijing, Peoples R China.;Zhu, CD (通讯作者)，Univ Chinese Acad Sci, Coll Life Sci, Beijing, Peoples R China.;Williams, PH (通讯作者)，Nat Hist Museum, London, England.</t>
  </si>
  <si>
    <t>zhucd@ioz.ac.cn; p.williams@nhm.ac.uk</t>
  </si>
  <si>
    <t>National Natural Science Fund for Distinguished Young Scholars [31625024]; CAS President's International Fellowship Initiative [2020PB0142]</t>
  </si>
  <si>
    <t>National Natural Science Fund for Distinguished Young Scholars(National Natural Science Foundation of China (NSFC)National Science Fund for Distinguished Young Scholars); CAS President's International Fellowship Initiative</t>
  </si>
  <si>
    <t>We thank the Editor and two anonymous reviewers for their useful improvements. M.C.O. was supported by The National Natural Science Fund for Distinguished Young Scholars (No. 31625024) to C.D.Z., and partially by the CAS President's International Fellowship Initiative (2020PB0142) .</t>
  </si>
  <si>
    <t>E SCHWEIZERBARTSCHE VERLAGSBUCHHANDLUNG</t>
  </si>
  <si>
    <t>STUTTGART</t>
  </si>
  <si>
    <t>NAEGELE U OBERMILLER, SCIENCE PUBLISHERS, JOHANNESSTRASSE 3A, D 70176 STUTTGART, GERMANY</t>
  </si>
  <si>
    <t>0171-8177</t>
  </si>
  <si>
    <t>2363-7102</t>
  </si>
  <si>
    <t>ENTOMOL GEN</t>
  </si>
  <si>
    <t>Entomol. Gen.</t>
  </si>
  <si>
    <t>10.1127/entomologia/2022/1409</t>
  </si>
  <si>
    <t>Entomology</t>
  </si>
  <si>
    <t>3D5WM</t>
  </si>
  <si>
    <t>WOS:000761957400001</t>
  </si>
  <si>
    <t>Zhou, J; Shao, GD; Kumar, A; Shi, LL; Kuzyakov, Y; Pausch, J</t>
  </si>
  <si>
    <t>Zhou, Jie; Shao, Guodong; Kumar, Amit; Shi, Lingling; Kuzyakov, Yakov; Pausch, Johanna</t>
  </si>
  <si>
    <t>Carbon fluxes within tree-crop-grass agroforestry system: C-13 field labeling and tracing</t>
  </si>
  <si>
    <t>BIOLOGY AND FERTILITY OF SOILS</t>
  </si>
  <si>
    <t>Carbon allocation; Rhizodeposition; Pulse labeling; Agroforestry; Vegetation components</t>
  </si>
  <si>
    <t>PLANT-SOIL SYSTEM; MYCORRHIZAL FUNGI; SEQUESTRATION; ROOT; ALLOCATION; RHIZOSPHERE; NITROGEN; RHIZODEPOSITION; DECOMPOSITION; AVAILABILITY</t>
  </si>
  <si>
    <t>Agroforestry systems are characterized by a high complexity between vegetation components and niche partitioning. In a crop-grass-tree agroforestry system, rape, willow, and grasses were in situ pulse labeled separately with (CO2)-C-13 for 6 h, and C-13 was traced in shoots, roots, topsoil (0-15 cm) and subsoil (15-30 cm), microbial biomass carbon (C), and dissolved organic C, as well as respiration losses (CO2) up to 28 days after labeling to investigate the effects of vegetation components on C allocation belowground. C-13 recovery in roots after 28 days was 7.0% of total assimilated C for grassland, which was 3.5- and 5.2-fold higher than that for rape and willow, respectively. The larger C allocation belowground in grassland was ascribed to its higher root/shoot ratio compared to willow and rape. Grassland facilitated higher accumulation of root-derived C in soil compared to rape (9.2% of recovered C-13) and compared to willow (1.6% of C-13). Willow retained more photosynthetic C aboveground and less was allocated to roots compared to rape. Although the C allocated to the top 15-cm soil was similar between willow and rape, willow facilitated C allocation in deeper soil compared to rape (0.6% vs. 0.2%). This could be explained by the lower microbial activity and subsequent weaker decomposition of rhizodeposits in 15-30-cm depth under willow. The net belowground C inputs in grassland, willow, and rape were 0.53, 0.06, and 0.10 g C m(-2) month(-1) of vegetation period, including rhizodeposition of 0.24, 0.05, and 0.04 g C m(-2) month(-1), respectively. Overall, integrating trees and grassland within cropland facilitates higher root-derived C input into soil, thus contributing to the soil C sequestration in agroforestry systems.</t>
  </si>
  <si>
    <t>[Zhou, Jie] China Agr Univ, Coll Agron &amp; Biotechnol, Beijing, Peoples R China; [Zhou, Jie] Georg August Univ Gottingen, Dept Crop Sci Biogeochem Agroecosyst, Gottingen, Germany; [Shao, Guodong] Univ Tubingen, Dept Geosci, Geo Biosphere Interact, Tubingen, Germany; [Kumar, Amit] Leuphana Univ Luneburg, Inst Ecol, Chair Ecosyst Functioning &amp; Serv, Luneburg, Germany; [Shi, Lingling] Chinese Acad Sci, Kunming Inst Bot, Dept Econ Plants &amp; Biotechnol, Yunnan Key Lab Wild Plant Resources, Kunming, Yunnan, Peoples R China; [Kuzyakov, Yakov] Georg August Univ Gottingen, Dept Soil Sci Temperate Ecosyst, Dept Agr Soil Sci, Gottingen, Germany; [Pausch, Johanna] Univ Bayreuth, Bayreuth Ctr Ecol &amp; Environm Res BayCEER, Agroecol, Bayreuth, Germany; [Shi, Lingling] Chinese Acad Sci, Kunming Inst Bot, Ctr Mt Futures CMF, Kunming, Yunnan, Peoples R China; [Kuzyakov, Yakov] RUDN Univ, Agro Technol Inst, Peoples Friendship Univ Russia, Moscow, Russia</t>
  </si>
  <si>
    <t>China Agricultural University; University of Gottingen; Eberhard Karls University of Tubingen; Leuphana University Luneburg; Chinese Academy of Sciences; Kunming Institute of Botany, CAS; University of Gottingen; University of Bayreuth; Chinese Academy of Sciences; Kunming Institute of Botany, CAS; Peoples Friendship University of Russia</t>
  </si>
  <si>
    <t>Shi, LL (通讯作者)，Chinese Acad Sci, Kunming Inst Bot, Dept Econ Plants &amp; Biotechnol, Yunnan Key Lab Wild Plant Resources, Kunming, Yunnan, Peoples R China.;Shi, LL (通讯作者)，Chinese Acad Sci, Kunming Inst Bot, Ctr Mt Futures CMF, Kunming, Yunnan, Peoples R China.</t>
  </si>
  <si>
    <t>China Scholarship Council (CSC) [201606850093, 201703270029]</t>
  </si>
  <si>
    <t>China Scholarship Council (CSC)(China Scholarship Council)</t>
  </si>
  <si>
    <t>The isotopic analyses were performed at the Centre for Stable Isotope Research and Analysis (KOSI), Gottingen. Yakov Kuzyakov thanks the RUDN University Strategic Academic Leadership Program. Jie Zhou (201606850093) and Guodong Shao (201703270029) also thank the China Scholarship Council (CSC) for supporting their study in Germany.</t>
  </si>
  <si>
    <t>0178-2762</t>
  </si>
  <si>
    <t>1432-0789</t>
  </si>
  <si>
    <t>BIOL FERT SOILS</t>
  </si>
  <si>
    <t>Biol. Fertil. Soils</t>
  </si>
  <si>
    <t>10.1007/s00374-022-01659-4</t>
  </si>
  <si>
    <t>4M0TZ</t>
  </si>
  <si>
    <t>WOS:000840626200001</t>
  </si>
  <si>
    <t>Qi, ZH; Yan, XJ; Liu, YY; Hou, X; Zhao, Z; Zhu, YY; He, YJ; Wang, ZJ; Yang, HJ; Na, ZY; Zhao, YL; Luo, XD</t>
  </si>
  <si>
    <t>Qi, Zi-Heng; Yan, Xiao-Jun; Liu, Yang-Yang; Hou, Xia; Zhao, Zhu; Zhu, Yan-Yan; He, Ying-Jie; Wang, Zhao-Jie; Yang, Hong-Jun; Na, Zhong-Yuan; Zhao, Yun-Li; Luo, Xiao-Dong</t>
  </si>
  <si>
    <t>The Protective Effect of Sweet Potato Root Tuber on Chemotherapy-Induced Thrombocytopenia</t>
  </si>
  <si>
    <t>MOLECULAR NUTRITION &amp; FOOD RESEARCH</t>
  </si>
  <si>
    <t>chemical components; chemotherapy-induced thrombocytopenia; Ipomoea batatas; metabonomic; sweet potato</t>
  </si>
  <si>
    <t>BATATAS L. LAM; DOSE-INTENSITY; MYELOSUPPRESSION; PREDICTORS; ROMIPLOSTIM</t>
  </si>
  <si>
    <t>Scope Sweet potato (Ipomoea batatas L.) is one of the leading crops worldwide, containing high nutritional components such as fiber and polyphenols. Root tuber of Simon 1 (SIMON), a cultivar of sweet potato, is a folk food in China with a hemostasis function but lacking experimental data support. Methods and results Now the protective effect of SIMON on chemotherapy-induced thrombocytopenia (CIT), a serious complication of cancer treatment, is investigated for the first time by a CIT mouse model induced by intraperitoneal injection of carboplatin. As a result, SIMON raises the number of peripheral platelets, white blood cells, and bone marrow nucleated cells in CIT mice significantly. Besides, carboplatin-induced atrophy of the thymus, spleen, and disordered metabolism of the inflammatory immune system and glycerophospholipids are also reversed by SIMON. Phytochemical analysis of SIMON indicates 16 compounds including eight phenolic derivatives, which might be associated with its anti-CIT bioactivity. Conclusion Sweet potato (SIMON) may be an efficient function food in the prevention of bleeding disorders.</t>
  </si>
  <si>
    <t>Qi, Zi-Heng</t>
  </si>
  <si>
    <t>[Qi, Zi-Heng; Yan, Xiao-Jun; Liu, Yang-Yang; Zhu, Yan-Yan; He, Ying-Jie; Wang, Zhao-Jie; Zhao, Yun-Li; Luo, Xiao-Dong] Yunnan Univ, Sch Chem Sci &amp; Technol, Yunnan Prov Ctr Res &amp; Dev Nat Prod, Key Lab Med Chem Nat Resource,Minist Educ, Kunming 650091, Yunnan, Peoples R China; [Hou, Xia; Zhao, Zhu] Yunnan Univ, Affiliated Hosp, Kunming 650021, Yunnan, Peoples R China; [Yang, Hong-Jun; Na, Zhong-Yuan] Yunnan Inst Ecol Agr, Kunming 650000, Yunnan, Peoples R China; [Luo, Xiao-Dong] Chinese Acad Sci, Kunming Inst Bot, State Key Lab Phytochem &amp; Plant Resources West Ch, Kunming 650201, Yunnan, Peoples R China</t>
  </si>
  <si>
    <t>Yunnan University; Yunnan University; Chinese Academy of Sciences; Kunming Institute of Botany, CAS</t>
  </si>
  <si>
    <t>Zhao, YL; Luo, XD (通讯作者)，Yunnan Univ, Sch Chem Sci &amp; Technol, Yunnan Prov Ctr Res &amp; Dev Nat Prod, Key Lab Med Chem Nat Resource,Minist Educ, Kunming 650091, Yunnan, Peoples R China.;Luo, XD (通讯作者)，Chinese Acad Sci, Kunming Inst Bot, State Key Lab Phytochem &amp; Plant Resources West Ch, Kunming 650201, Yunnan, Peoples R China.</t>
  </si>
  <si>
    <t>zhaoyunli@mail.kib.ac.cn; xdluo@mail.kib.ac.cn</t>
  </si>
  <si>
    <t>He, Ying-Jie/0000-0001-8361-2528</t>
  </si>
  <si>
    <t>Second Tibetan Plateau Scientific Expedition and Research (STEP) program [2019QZKK0502]; Yunnan Science and Technology Project [202105AE160006, 2019FY003004]</t>
  </si>
  <si>
    <t>Second Tibetan Plateau Scientific Expedition and Research (STEP) program; Yunnan Science and Technology Project</t>
  </si>
  <si>
    <t>The authors are grateful to the Second Tibetan Plateau Scientific Expedition and Research (STEP) program (2019QZKK0502) and Yunnan Science and Technology Project (202105AE160006 and 2019FY003004) for partial financial support. The authors thank the Advanced Analysis and Measurement Center of Yunnan University for the sample testing service.</t>
  </si>
  <si>
    <t>1613-4125</t>
  </si>
  <si>
    <t>1613-4133</t>
  </si>
  <si>
    <t>MOL NUTR FOOD RES</t>
  </si>
  <si>
    <t>Mol. Nutr. Food Res.</t>
  </si>
  <si>
    <t>10.1002/mnfr.202200126</t>
  </si>
  <si>
    <t>Food Science &amp; Technology</t>
  </si>
  <si>
    <t>3W0GF</t>
  </si>
  <si>
    <t>WOS:000815624200001</t>
  </si>
  <si>
    <t>Guo, XR; Shi, NX; Xie, PX; Zhang, GF; Liu, HY; Ji, YH</t>
  </si>
  <si>
    <t>Guo, Xiaorong; Shi, Naixing; Xie, Pingxuan; Zhang, Guangfei; Liu, Haiyang; Ji, Yunheng</t>
  </si>
  <si>
    <t>Plastome sequencing for accurate and effective authentication of Polygonatum kingianum (Asparagaceae)</t>
  </si>
  <si>
    <t>INDUSTRIAL CROPS AND PRODUCTS</t>
  </si>
  <si>
    <t>Adulterant; Molecular authentication; Polygonatum hunanense; Polygonatum kingianum; Polygonati Rhizoma</t>
  </si>
  <si>
    <t>DNA BARCODE; SPECIES DELIMITATION; TOTAL SAPONINS; GENOMES; PERFORMANCE; ODORATUM; TAXONOMY; LIBRARY; MODEL; SPP.</t>
  </si>
  <si>
    <t>Polygonatum kingianum (Asparagaceae) is a traditional Chinese medicinal plant commercially valued by the pharmaceutical industry and rural development. The taxonomic delimitation of the species remains ambiguous. Due to previous poorly delineated species boundary, P. hunanense (syn. P. kingianum var. grandifolium) has been mistaken for P. kingianum in herbal cultivation, products sale, and drug production. In this study, we aimed to clarify the taxonomic confusion in the species boundary of P. kingianum, and to develop an accurate and efficient authentication tool to monitor the trade of P. kingianum related plant products. Based on dense intraspecific plastome sequencing and phylogenetic analyses, our data confirm that all the synonymized taxa, except for P. kingianum var. grandifolium (= P. hunnanense), really belong to P. kingianum. On this basis, a molecular authentication system, which uses complete plastomes as molecular tags, is developed for authentication of P. kingianum related products. To validate its efficacy, we experimentally applied the system to authenticate commercial seedlings and processed rhizomes marketed as P. kingianum. The high performance of the authentication system indicates that the plastome super-barcoding approach can be used as an effective tool for authentication of P. kingianum related plant products. The findings can be useful for guaranteeing the quality, safety, and effectiveness of P. kingianum, and thus have great significance for herbal cultivation and drug production.</t>
  </si>
  <si>
    <t>Guo, Xiaorong</t>
  </si>
  <si>
    <t>[Guo, Xiaorong; Zhang, Guangfei] Yunnan Univ, Sch Ecol &amp; Environm Sci, Kunming 650091, Peoples R China; [Guo, Xiaorong; Zhang, Guangfei] Yunnan Univ, Yunnan Key Lab Plant Reprod Adaptat &amp; Evolutionary, Kunming 650504, Peoples R China; [Guo, Xiaorong; Shi, Naixing; Xie, Pingxuan; Zhang, Guangfei; Ji, Yunheng] Chinese Acad Sci, Kunming Inst Bot, CAS Key Lab Plant Divers &amp; Biogeog East Asia, Kunming 650201, Peoples R China; [Shi, Naixing] Yunnan Agr Univ, Coll Agron &amp; Biotechnol, Kunming 650201, Peoples R China; [Xie, Pingxuan] Guangdong Pharmaceut Univ, Sch Tradit Chinese Med, Guangzhou 510006, Peoples R China; [Liu, Haiyang] Chinese Acad Sci, Kunming Inst Bot, State Key Lab Phytochemistry &amp; Plant Resources Wes, Kunming 650201, Peoples R China; Yunnan Univ, Inst Biodivers, Kunming 650504, Peoples R China</t>
  </si>
  <si>
    <t>Yunnan University; Yunnan University; Chinese Academy of Sciences; Kunming Institute of Botany, CAS; Yunnan Agricultural University; Guangdong Pharmaceutical University; Chinese Academy of Sciences; Kunming Institute of Botany, CAS; Yunnan University</t>
  </si>
  <si>
    <t>Guo, XR (通讯作者)，Yunnan Univ, Sch Ecol &amp; Environm Sci, Kunming 650091, Peoples R China.;Guo, XR; Ji, YH (通讯作者)，Chinese Acad Sci, Kunming Inst Bot, CAS Key Lab Plant Divers &amp; Biogeog East Asia, Kunming 650201, Peoples R China.</t>
  </si>
  <si>
    <t>xrguo@ynu.edu.cn; jiyh@mail.kib.ac.cn</t>
  </si>
  <si>
    <t>NSFC-Joint Foundation of Yunnan Province [U1802287]; Key Research and Development Program of Yunnan Province [202103AC100003]; Academicians and Experts Workstation of Yunnan Province [202105AF150074]</t>
  </si>
  <si>
    <t>NSFC-Joint Foundation of Yunnan Province; Key Research and Development Program of Yunnan Province; Academicians and Experts Workstation of Yunnan Province</t>
  </si>
  <si>
    <t>Acknowledgement We are grateful to Changkun Liu, Lei Jin, Anhua Li, Guohua Zhou, Zhongsheng Zhao, Yongli Zhou, Zhangming Wang, Sirong Yi, and Day-ong Tao for their helps in sample collection. This study is supported by the NSFC-Joint Foundation of Yunnan Province (U1802287) , the Key Research and Development Program of Yunnan Province (202103AC100003) , and the Academicians and Experts Workstation of Yunnan Province (202105AF150074) . We would like to thank Editage ( www.editage.com ) for English language editing.</t>
  </si>
  <si>
    <t>0926-6690</t>
  </si>
  <si>
    <t>1872-633X</t>
  </si>
  <si>
    <t>IND CROP PROD</t>
  </si>
  <si>
    <t>Ind. Crop. Prod.</t>
  </si>
  <si>
    <t>10.1016/j.indcrop.2022.115056</t>
  </si>
  <si>
    <t>Agricultural Engineering; Agronomy</t>
  </si>
  <si>
    <t>1Q5BO</t>
  </si>
  <si>
    <t>WOS:000802702800004</t>
  </si>
  <si>
    <t>Xie, J; Li, MX; Du, ZZ</t>
  </si>
  <si>
    <t>Xie, Jing; Li, Ming-Xiang; Du, Zhi-Zhi</t>
  </si>
  <si>
    <t>Chemical compounds, anti-aging and antibacterial properties of Rosa rugosa Purple branch</t>
  </si>
  <si>
    <t>Rosa rugosa Purple branch; Cosmetic potential; Antioxidant; Elastase inhibition; Tyrosinase inhibition; Antimicrobial activity</t>
  </si>
  <si>
    <t>TYROSINASE INHIBITION; NATURAL ANTIOXIDANTS; ANTI-TYROSINASE; IN-VITRO; FLAVONOIDS; SKIN; CONSTITUENTS; IDENTIFICATION; DERIVATIVES; GLYCOSIDES</t>
  </si>
  <si>
    <t>Rosa rugosa Purple branch is a rare continuously flowering variety of R. rugosa and also is one of main cultivar varieties of R. rugosa in China. Although R. rugosa has been successfully used in the field of cosmetics, there are also many reports on its chemical components. The chemical composition and application value in cosmetics of R. rugosa Purple branch are still limited. The purpose of this study was to investigate the chemical components in the petals of R. rugosa Purple branch as well as evaluate their skincare and antibacterial potentials through DPPH radical scavenging, tyrosinase inhibition, elastase inhibition and antibacterial bioassays. Two new compounds, isorhamnetin-3-O-(2 -O-galloyl)-fl-D-glucopyranoside (1), kaempferol-3-O-fl-D-glucopyranosyl-(1-*2)-(6 -O- trans-p-coumaroyl)-fl-D-glucopyranoside (2) and thirteen known compounds (3-15) were isolated and identified from the petals by bioassay-guided fractionation. All the compounds were isolated and reported from R. rugosa Purple branch for the first time, in which twelve of them are discovered from R. rugosa for the first time. The tyrosinase inhibitory activities of 1, 2, rosarugoside B (3), kaempfero-3-O-fl-D-glucopyranosyl(1-*2)-fl-D-gluco-pyranoside (4), astragalin-2 ,6 -di-O-gallate (8), quercetin-3-O-fl-D-glucopyranosyl(1-*2)-fl-D-glucopyranoside (10), 2-phenylethyl-fl-D-glucopyranoside (13), 2-phenylethyl-6-O-a-L-arabinofuranosyl-fl-D-glucopyranoside (14), and 2-phenylethyl-D-rutinoside (15) were firstly reported here, in which 8 showed strong tyrosinase inhibitory activity with IC50 of 187.32 +/- 0.18 mu g/mL. There were eight compounds (1, 6-12) showed strong antioxidant activity, with the scavenging rates of DPPH radical ranging from 88.59% to 94.30% and the IC50 ranging from 4.22 to 13.85 mu g/mL, among them, 1 and quercetin-3-O-(6 -O-Z-p-coumaroyl)-fl-D-glucopyrano-side (11) exhibited antioxidant activity for the first time. 3 exhibited moderate elastase inhibitory activity with IC50 of 148.67 +/- 0.11 mu g/mL. In addition, seven compounds (2, 5-8, 10-11) showed varying degrees of antibacterial activity. These results indicated that R. rugosa Purple branch had anti-aging, whitening and antibacterial activities, which can be further applied to the development of functional cosmetics.</t>
  </si>
  <si>
    <t>Xie, Jing</t>
  </si>
  <si>
    <t>[Xie, Jing; Li, Ming-Xiang; Du, Zhi-Zhi] Chinese Acad Sci, Kunming Inst Bot, Dept Econ Plants &amp; Biotechnol, Yunnan Key Lab Wild Plant Resources, Kunming 650201, Yunnan, Peoples R China; [Xie, Jing; Li, Ming-Xiang] Univ Chinese Acad Sci, Beijing 100049, Peoples R China; [Xie, Jing; Du, Zhi-Zhi] Chinese Acad Sci, Bioinnovat Ctr DR PLANT, Kunming Inst Bot, Kunming 650201, Yunnan, Peoples R China; [Li, Ming-Xiang] Chinese Acad Sci, Kunming Inst Bot, State Key Lab Phytochem &amp; Plant Resources West Ch, Kunming 650201, Yunnan, Peoples R China</t>
  </si>
  <si>
    <t>Chinese Academy of Sciences; Kunming Institute of Botany, CAS; Chinese Academy of Sciences; University of Chinese Academy of Sciences, CAS; Chinese Academy of Sciences; Kunming Institute of Botany, CAS; Chinese Academy of Sciences; Kunming Institute of Botany, CAS</t>
  </si>
  <si>
    <t>Du, ZZ (通讯作者)，Chinese Acad Sci, Kunming Inst Bot, Dept Econ Plants &amp; Biotechnol, Yunnan Key Lab Wild Plant Resources, Kunming 650201, Yunnan, Peoples R China.</t>
  </si>
  <si>
    <t>Yunnan Provincial Scientific Research Project of `FangGuanFu' [2019-1-N-25318000002120]; Bio-Innovation Center of DR PLANT</t>
  </si>
  <si>
    <t>Yunnan Provincial Scientific Research Project of `FangGuanFu'; Bio-Innovation Center of DR PLANT</t>
  </si>
  <si>
    <t>This research was supported by grants from Yunnan Provincial Scientific Research Project of `FangGuanFu' (2019-1-N-25318000002120) and Bio-Innovation Center of DR PLANT.</t>
  </si>
  <si>
    <t>10.1016/j.indcrop.2022.114814</t>
  </si>
  <si>
    <t>0Y7GP</t>
  </si>
  <si>
    <t>WOS:000790555400001</t>
  </si>
  <si>
    <t>Zhang, YY; Li, YL; Han, B; Liu, AZ; Xu, W</t>
  </si>
  <si>
    <t>Zhang, Yanyu; Li, Yelan; Han, Bing; Liu, Aizhong; Xu, Wei</t>
  </si>
  <si>
    <t>Integrated lipidomic and transcriptomic analysis reveals triacylglycerol accumulation in castor bean seedlings under heat stress</t>
  </si>
  <si>
    <t>Heat stress; Triacylglycerols; Lipid remodeling; Polyunsaturated fatty acids; Monogalactosyldiacylglycerol; Castor bean</t>
  </si>
  <si>
    <t>GENE-EXPRESSION; ENDOPLASMIC-RETICULUM; ARABIDOPSIS; TEMPERATURE; TOLERANCE; OIL; MUTANTS; PLANTS; DESATURASE; DEFICIENCY</t>
  </si>
  <si>
    <t>Heat stress is one of the most challenging environmental factors for plants, which have evolved various mechanisms to cope with it. However, the role of lipid remodeling caused by heat stress is not yet fully understood. Here, we integrated UPLC-QTOF/MS-based lipidomic and transcriptomic analyzes to uncover the molecular basis of lipid remodeling under heat stress in castor bean (Ricinus communis), an important non-edible oil crop. We detected 297 lipid compounds in castor bean seedlings, of which 54 displayed altered abundances under heat stress. In particular, polyunsaturated triacylglycerols (TAGs) (e.g., TAG54:6, TAG54:7, TAG54:8, and TAG54:9) and diacylglycerols (DAGs) (DAG36:6) significantly increased, while polyunsaturated monogalactosyldiacylglycerols (MGDGs) (MGDG34:3) markedly decreased. When heat stress was subsequently relieved, these lipid molecules recovered to their normal levels. We found that heat-induced TAGs primarily accumulate in the cytosol. Transcriptomic analysis indicated that polyunsaturated fatty acids (FAs) used for TAGs are not derived from de novo synthesis, but likely from the lipids remodeling via lipase activity, and are subsequently esterified into TAGs via diacylglycerol acyltransferase (DGAT). Our results suggest that TAGs may act as intermediates in lipid turnover and provide one mechanism by which plants respond to heat stress, broadening our understanding of how lipid remodeling functions in plant adaptation to heat stress.</t>
  </si>
  <si>
    <t>Zhang, Yanyu</t>
  </si>
  <si>
    <t>[Zhang, Yanyu] Northwest Univ, Coll Life Sci, Xian 710069, Shaanxi, Peoples R China; [Li, Yelan] Shaanxi Normal Univ, Coll Life Sci, Xian 710119, Shaanxi, Peoples R China; [Han, Bing; Xu, Wei] Chinese Acad Sci, Kunming Inst Bot, Germplasm Bank Wild Species, Kunming 650201, Yunnan, Peoples R China; [Liu, Aizhong] Southwest Forestry Univ, Key Lab Forest Resources Conservat &amp; Utilizat Sou, Minist Educ, Kunming 650224, Yunnan, Peoples R China</t>
  </si>
  <si>
    <t>Northwest University Xi'an; Shaanxi Normal University; Chinese Academy of Sciences; Kunming Institute of Botany, CAS; Southwest Forestry University - China</t>
  </si>
  <si>
    <t>Xu, W (通讯作者)，Chinese Acad Sci, Kunming Inst Bot, Germplasm Bank Wild Species, Kunming 650201, Yunnan, Peoples R China.</t>
  </si>
  <si>
    <t>xuwei@mail.kib.ac.cn</t>
  </si>
  <si>
    <t>National Natural Science Foundation of China, China [31970341]; Youth Innovation Promotion Association of CAS, China [2020389]; Yunnan Young &amp; Elite Talents Project, China [YNWR-QNBJ-2020-286]</t>
  </si>
  <si>
    <t>National Natural Science Foundation of China, China(National Natural Science Foundation of China (NSFC)); Youth Innovation Promotion Association of CAS, China; Yunnan Young &amp; Elite Talents Project, China</t>
  </si>
  <si>
    <t>Funding This work was supported by National Natural Science Foundation of China, China (31970341) , the Youth Innovation Promotion Association of CAS, China (2020389 to W.X.) , and Yunnan Young &amp; Elite Talents Project, China (YNWR-QNBJ-2020-286 to W.X) .</t>
  </si>
  <si>
    <t>10.1016/j.indcrop.2022.114702</t>
  </si>
  <si>
    <t>0W0JM</t>
  </si>
  <si>
    <t>WOS:000788724500008</t>
  </si>
  <si>
    <t>Zhang, SS; Wang, YX; Cai, JL; Liu, DL; Yan, YJ; Zhang, H; Li, L; Wang, XD; Xiang, WS; Zhang, J</t>
  </si>
  <si>
    <t>Zhang, Saisai; Wang, Yixiu; Cai, Jialing; Liu, Dongli; Yan, Yijun; Zhang, Hui; Li, Lei; Wang, Xiaodan; Xiang, Wensheng; Zhang, Ji</t>
  </si>
  <si>
    <t>Discovery of febrifugine with specific anti-Phytophthora oomycete activity isolated from Dichroa febrifuga Lour</t>
  </si>
  <si>
    <t>Dichroa febrifuga; Febrifugine; Anti-oomycete activity; Phytophthora sp.; Protective activity; Curing activity</t>
  </si>
  <si>
    <t>ANTIFUNGAL ACTIVITY; CAPSICI; PLANT; HALOFUGINONE; DERIVATIVES; BORRELIDIN; EXTRACT; ACID; DRUG</t>
  </si>
  <si>
    <t>Dichroa febrifuga has been used in traditional Chinese medicine for centuries to treat productive cough and fevers caused by malaria infection, however the antimicrobial activity is still unknown. In this study, the crude alka-loids extract of D. febrifuga leaves showed potent anti-oomycete activity against phytopathogen Phytophthora capsici. Subsequent bioassay-guided fractionation led to identify febrifugine as the main active component. Febrifugine showed specific in vitro anti-oomycete activity against P. capsici, Phytophthora sojae and Phytophthora infestans with EC50 of 1.741, 1.674 and 0.413 mu g/mL, respectively, but showed no or weak antifungal activity against twelve test phytopathogenic fungi. Scanning electron microscope and optical microscope results indi-cated that febrifugine could alter the morphology of P. infestans hyphae, but did not destroy the cell wall. The electrical conductivity and intracellular component leakage experiments suggested the integrity of the cell membrane after the treatment of febrifugine. Moreover, febrifugine possessed inhibitory effects on zoospore release and germination of P. infestans. In vivo bioassay using detached leaves demonstrated that febrifugine had better protective and curing activities than commercialized drug metalaxyl. The application of febrifugine at a dose of 60 mu g/mL provided protective efficacies of 93.1% and 91.9%, and curing efficacies of 86.2% and 86.6% for pepper phytophthora blight and potato late blight, respectively. Taken together, this study showed that the crude alkaloids extract of D. febrifuga and its active component febrifugine represent alternatives to control plant diseases caused by oomycetes, and febrifugine is expected to be a new leading structure for the development of oomyceticides.</t>
  </si>
  <si>
    <t>Zhang, Saisai</t>
  </si>
  <si>
    <t>[Zhang, Saisai; Wang, Yixiu; Cai, Jialing; Liu, Dongli; Zhang, Hui; Li, Lei; Xiang, Wensheng; Zhang, Ji] Northeast Agr Univ, Sch Life Sci, Harbin 150030, Peoples R China; [Yan, Yijun] Chinese Acad Sci, State Key Lab Phytochem &amp; Plant Resources West Ch, Kunming Inst Bot, Kunming 650201, Yunnan, Peoples R China; [Yan, Yijun] Chinese Acad Sci, CAS Ctr Excellence Mol Plant Sci, Kunming Inst Bot, Kunming 650201, Yunnan, Peoples R China; [Zhang, Hui] Taizhou Vocat Coll Sci &amp; Technol, Sch Agr &amp; Bioengn, Taizhou 318020, Peoples R China; [Wang, Xiaodan] China Agr Univ, Coll Plant Protect, Beijing 100193, Peoples R China</t>
  </si>
  <si>
    <t>Northeast Agricultural University - China; Chinese Academy of Sciences; Kunming Institute of Botany, CAS; Chinese Academy of Sciences; Kunming Institute of Botany, CAS; China Agricultural University</t>
  </si>
  <si>
    <t>Xiang, WS; Zhang, J (通讯作者)，Northeast Agr Univ, Sch Life Sci, Harbin 150030, Peoples R China.</t>
  </si>
  <si>
    <t>xiangwensheng@neau.edu.cn; zhangji@neau.edu.cn</t>
  </si>
  <si>
    <t>Natural Science Foundation of Heilongjiang Province [YQ2020C004]; National Natural Science Foundation of China [31471801]</t>
  </si>
  <si>
    <t>Natural Science Foundation of Heilongjiang Province(Natural Science Foundation of Heilongjiang Province); National Natural Science Foundation of China(National Natural Science Foundation of China (NSFC))</t>
  </si>
  <si>
    <t>Acknowledgements This work was supported by the Natural Science Foundation of Heilongjiang Province (YQ2020C004) and the National Natural Science Foundation of China (31471801) .</t>
  </si>
  <si>
    <t>10.1016/j.indcrop.2022.114651</t>
  </si>
  <si>
    <t>0I9HO</t>
  </si>
  <si>
    <t>WOS:000779723400003</t>
  </si>
  <si>
    <t>Li, JW; Zhang, ZB; Zhang, SB</t>
  </si>
  <si>
    <t>Li, Jia-Wei; Zhang, Zi-Bin; Zhang, Shi-Bao</t>
  </si>
  <si>
    <t>Widely targeted metabolic, physical and anatomical analyses reveal diverse defensive strategies for pseudobulbs and succulent roots of orchids with industrial value</t>
  </si>
  <si>
    <t>Defensive strategies; Pseudobulbs; Succulent roots; X-ray micro-computerized tomography scanning; Widely targeted metabolic profiling; Calcium oxalate crystals</t>
  </si>
  <si>
    <t>CALCIUM-OXALATE CRYSTALS; PLANT DEFENSE; SECONDARY METABOLITES; CHEMICAL DEFENSES; EPIPHYTIC ORCHIDS; VELAMEN RADICUM; GLOBAL PATTERNS; AERIAL ROOTS; LEAVES; SEEDS</t>
  </si>
  <si>
    <t>Storage in pseudobulbs and succulent roots is vulnerable to attack from herbivores while play an important role in industrial utilization of orchids. However, we know little about the defensive strategies of pseudobulbs and succulent roots. Here, we characterized the possible physical and chemical defenses of pseudobulbs and succulent roots of five orchids with industrial value (Bletilla striata, Dendrobium chrysotoxum, Cymbidium tracyanum, C. sinense, and Acampe rigida) using X-ray micro-computerized tomography scanning and optical microscope observation as well as widely targeted metabolic profiling. We found that pseudobulbs and succulent roots of different orchid species combine different physical and chemical defensive strategies, and the relationship between defense and storage functions depend on species and age. Of the pseudobulbs of five species, C. tracyanum recruited the strongest defensive strategies, consisting of a thick epidermis, larger proportion of needle-like calcium oxalate crystals, and higher content of alkaloids and quinones. The pseudobulbs of C. sinense had a higher proportion of vascular bundle, and those B. striata had the strongest tissue biomechanical resistance. However, pseudobulbs of D. chrysotoxum were the most vulnerable to herbivores with relatively higher nutrient content and weaker defensive protection. For the succulent roots of five species, A. rigida had the strongest storage ability, and correspondingly the most chemical defensive components, while a thicker velamen and higher proportion of needle-like calcium oxalate crystals were found in the roots of C. tracyanum and C. sinense respectively. Our results suggest that diverse combinations of defensive strategies play a role protecting pseudobulbs and succulent roots of orchids from biotic stress. These findings contribute to the cultivation management of orchids with industrial value.</t>
  </si>
  <si>
    <t>[Li, Jia-Wei] Guangxi Univ, Guangxi Key Lab Forest Ecol &amp; Conservat, State Key Lab Conservat &amp; Utilizat Subtrop Agrobi, Nanning 530004, Guangxi, Peoples R China; [Zhang, Zi-Bin] Guangxi Acad Agr Sci, Flower Res Inst, Nanning 530007, Guangxi, Peoples R China; [Zhang, Shi-Bao] Chinese Acad Sci, Kunming Inst Bot, Key Lab Econ Plants &amp; Biotechnol, Kunming 650201, Yunnan, Peoples R China</t>
  </si>
  <si>
    <t>Zhang, SB (通讯作者)，Chinese Acad Sci, Kunming Inst Bot, Key Lab Econ Plants &amp; Biotechnol, Kunming 650201, Yunnan, Peoples R China.</t>
  </si>
  <si>
    <t>sbzhang@mail.kib.ac.cn</t>
  </si>
  <si>
    <t>Strategic Priority Research Program of the Chinese Academy of Sciences, China [XDB31000000]; National Natural Science Foundation of China, China [31901092, 31970361]; Project for Innovation Team of Yunnan Province, China [202105AE160012]; Natural Science Foundation of Guangxi Zhuang Autonomous Region, China [2021GXNSFBA075059]; Guangxi Key Research and Development Program, China [Guike AB21220056]; Guangxi Science and Technology Base and Talents Special Program, China [Guike AD18281006]; Scientific Research Foundation of Guangxi University, China</t>
  </si>
  <si>
    <t>Strategic Priority Research Program of the Chinese Academy of Sciences, China; National Natural Science Foundation of China, China(National Natural Science Foundation of China (NSFC)); Project for Innovation Team of Yunnan Province, China; Natural Science Foundation of Guangxi Zhuang Autonomous Region, China(National Natural Science Foundation of Guangxi Province); Guangxi Key Research and Development Program, China; Guangxi Science and Technology Base and Talents Special Program, China; Scientific Research Foundation of Guangxi University, China</t>
  </si>
  <si>
    <t>This work was supported by the Strategic Priority Research Program of the Chinese Academy of Sciences, China (XDB31000000), the National Natural Science Foundation of China, China (31901092, 31970361), the Project for Innovation Team of Yunnan Province, China (202105AE160012), the Natural Science Foundation of Guangxi Zhuang Autonomous Region, China (2021GXNSFBA075059), the Guangxi Key Research and Development Program, China (Guike AB21220056), Guangxi Science and Technology Base and Talents Special Program, China (Guike AD18281006) and the Scientific Research Foundation of Guangxi University, China for Li Jia-Wei.</t>
  </si>
  <si>
    <t>10.1016/j.indcrop.2021.114510</t>
  </si>
  <si>
    <t>YG7NY</t>
  </si>
  <si>
    <t>WOS:000742671500005</t>
  </si>
  <si>
    <t>Chen, XL; Luo, QY; Hu, WY; Chen, JJ; Zhang, RP</t>
  </si>
  <si>
    <t>Chen, Xinglong; Luo, Qingyi; Hu, Weiyan; Chen, Jijun; Zhang, Rongping</t>
  </si>
  <si>
    <t>Labdane and isopimarane diterpenoids from Rosmarinus officinalis solid wastes: MS/MS spectrometric fragmentations and neuroprotective effect</t>
  </si>
  <si>
    <t>Rosmarinus officinalis; Solid wastes; Labdane diterpenoids; Isopimarane diterpenoids; MS/MS fragmentations; Neuroprotective effect</t>
  </si>
  <si>
    <t>CARNOSIC ACID; ANTIOXIDANT ACTIVITY; BIOSYNTHESIS</t>
  </si>
  <si>
    <t>The aim of this study was to purify and identify new types of secondary products from Rosmarinus officinalis solid wastes after essential oil been extracted, further study their MS/MS spectrometric fragmentations and evaluate their cytoprotective effects against H2O2-induced oxidative damage in SH-SY5Y cells. Six labdane diterpenoids, five isopimarane diterpenoids and two ferulic acid esters were obtained in which three labdane diterpenoids and four isopimarane diterpenoids were undescribed compounds. The losses of hydroxyl, tigloyl, 2-methy-butanoyl, acetyl and carbonyl groups or side chains were the main elimination modes of the new compounds in MS/MS analyses. Compounds 1, 4, 6, 10 and 12 showed the ability to protect the cells against oxidative injure whose cell viability rates were more than 65% in the concentration of 1 or 25 mu M respectively. These studies broadened the understanding of secondary products of rosemary and promoted the deep developments and utilizations of rosemary after essential oil been extracted.</t>
  </si>
  <si>
    <t>Chen, Xinglong</t>
  </si>
  <si>
    <t>[Chen, Xinglong; Zhang, Rongping] Yunnan Univ Chinese Med, Sch Chinese Mat Med, Kunming 650500, Yunnan, Peoples R China; [Chen, Xinglong; Zhang, Rongping] Yunnan Univ Chinese Med, Yunnan Key Lab Southern Med Utilizat, Kunming 650500, Yunnan, Peoples R China; [Luo, Qingyi; Hu, Weiyan] Kunming Med Univ, Sch Pharmaceut Sci, Kunming 650500, Yunnan, Peoples R China; [Luo, Qingyi; Hu, Weiyan] Kunming Med Univ, Yunnan Key Lab Pharmacol Nat Prod, Kunming 650500, Yunnan, Peoples R China; [Chen, Jijun] Chinese Acad Sci, Kunming Inst Bot, State Key Lab Phytochem &amp; Plant Resources West Ch, Kunming 650201, Yunnan, Peoples R China</t>
  </si>
  <si>
    <t>Yunnan University of Chinese Medicine; Yunnan University of Chinese Medicine; Kunming Medical University; Kunming Medical University; Chinese Academy of Sciences; Kunming Institute of Botany, CAS</t>
  </si>
  <si>
    <t>Zhang, RP (通讯作者)，Yunnan Univ Chinese Med, Sch Chinese Mat Med, Kunming 650500, Yunnan, Peoples R China.;Zhang, RP (通讯作者)，Yunnan Univ Chinese Med, Yunnan Key Lab Southern Med Utilizat, Kunming 650500, Yunnan, Peoples R China.</t>
  </si>
  <si>
    <t>zhrpkm@163.com</t>
  </si>
  <si>
    <t>chen, JJ/HGB-6029-2022</t>
  </si>
  <si>
    <t>National Natural Science Foundation of China [32160107, 81960666]; Program of Yunling Scholarship, China; Applied Basic Research Programs of Yunnan Province, China [2019FA033]; Joint Program of Yunnan Province and Kunming Medical University, China [202101AY070001009]; Program of Innovative Research Team in Science and Technology in Yunnan Province, China [202005AE160004]; Open Foundation of Yunnan Key Laboratory of Southern Medicine Utilization, China [202005AG070157-YZ202107]</t>
  </si>
  <si>
    <t>National Natural Science Foundation of China(National Natural Science Foundation of China (NSFC)); Program of Yunling Scholarship, China; Applied Basic Research Programs of Yunnan Province, China; Joint Program of Yunnan Province and Kunming Medical University, China; Program of Innovative Research Team in Science and Technology in Yunnan Province, China; Open Foundation of Yunnan Key Laboratory of Southern Medicine Utilization, China</t>
  </si>
  <si>
    <t>This study was financed by the National Natural Science Foundation of China (No. 32160107 and 81960666), the Program of Yunling Scholarship, China, the Applied Basic Research Programs of Yunnan Province, China (No. 2019FA033), the Joint Program of Yunnan Province and Kunming Medical University, China (NO. 202101AY070001009), the Program of Innovative Research Team in Science and Technology in Yunnan Province, China (No. 202005AE160004), and the Open Foundation of Yunnan Key Laboratory of Southern Medicine Utilization, China (No. 202005AG070157-YZ202107).</t>
  </si>
  <si>
    <t>10.1016/j.indcrop.2021.114441</t>
  </si>
  <si>
    <t>XY4WC</t>
  </si>
  <si>
    <t>WOS:000736973700008</t>
  </si>
  <si>
    <t>Ma, DY; Wang, ZJ; Chen, YC; Qi, ZH; Wang, H; Zhu, YY; Luo, XD</t>
  </si>
  <si>
    <t>Ma, Dan-Yu; Wang, Zhao-Jie; Chen, Yi-Chi; Qi, Zi-Heng; Wang, Huan; Zhu, Yan-Yan; Luo, Xiao-Dong</t>
  </si>
  <si>
    <t>Antifungal compounds of Chinese prickly ash against drug-resistant Candida albicans</t>
  </si>
  <si>
    <t>FOOD CHEMISTRY-X</t>
  </si>
  <si>
    <t>Chinese prickly ash; Chemical ingredients; Anti -fungal activity; Drug -resistant; Candida albicans</t>
  </si>
  <si>
    <t>COUMARINS; CONSTITUENTS; FLUCONAZOLE; METABOLITES; LIGNANS</t>
  </si>
  <si>
    <t>The leaf of Chinese prickly ash, a unique spice having typical pungent sensation, is a popular food in Southwest China with antipruritic, insecticidal and fungicidal functions, but its bioactive constituents of fungistatic capacity remain unknown. In present investigation, twenty-nine compounds were isolated from leaf of Chinese prickly ash, and their antifungal bioactivity against drug-resistant Candida albicans were evaluated in vitro and in vivo. As a result, three compounds 3, 10, 29 showed antifungal bioactivity by damage of the fungal biofilm, and they might recover sensitive of drug resistant C. albicans to Fluconazole. Then Chinese prickly ash leaf was proved to be a functional food against fungus for the first time in experiment.</t>
  </si>
  <si>
    <t>Ma, Dan-Yu</t>
  </si>
  <si>
    <t>[Ma, Dan-Yu; Wang, Zhao-Jie; Chen, Yi-Chi; Qi, Zi-Heng; Wang, Huan; Zhu, Yan-Yan; Luo, Xiao-Dong] Yunnan Univ, Yunnan Prov Ctr Res &amp; Dev Nat Prod, Sch Chem Sci &amp; Technol, Key Lab Med Chem Nat Resource,Minist Educ, Kunming 650091, Yunnan, Peoples R China; [Luo, Xiao-Dong] Chinese Acad Sci, Kunming Inst Bot, State Key Lab Phytochem &amp; Plant Resources West Ch, Kunming 650201, Yunnan, Peoples R China</t>
  </si>
  <si>
    <t>Luo, XD (通讯作者)，Yunnan Univ, Sch Chem Sci &amp; Technol, Yunnan Characterist Plant Extract Lab, Key Lab Med Chem Nat Resource,Minist Educ &amp; Yunna, Kunming 650500, Yunnan, Peoples R China.</t>
  </si>
  <si>
    <t>National Natural Science Foundation of China [32170405]; Yunnan Science and Technology Project [202105AE160006, 2019FY003004]</t>
  </si>
  <si>
    <t>National Natural Science Foundation of China(National Natural Science Foundation of China (NSFC)); Yunnan Science and Technology Project</t>
  </si>
  <si>
    <t>The authors are grateful to the National Natural Science Foundation of China (32170405) , Yunnan Science and Technology Project (202105AE160006, 2019FY003004) for partial financial support. The authors thank the Advanced Analysis and Measurement Center of Yunnan University for the sample testing service.</t>
  </si>
  <si>
    <t>2590-1575</t>
  </si>
  <si>
    <t>FOOD CHEM X</t>
  </si>
  <si>
    <t>Food Chem. X</t>
  </si>
  <si>
    <t>OCT 30</t>
  </si>
  <si>
    <t>10.1016/j.fochx.2022.100400</t>
  </si>
  <si>
    <t>Chemistry, Applied; Food Science &amp; Technology</t>
  </si>
  <si>
    <t>Chemistry; Food Science &amp; Technology</t>
  </si>
  <si>
    <t>3N8LO</t>
  </si>
  <si>
    <t>WOS:000836397300003</t>
  </si>
  <si>
    <t>Luo, YH; Cadotte, MW; Liu, J; Burgess, KS; Tan, SL; Ye, LJ; Zou, JY; Chen, ZZ; Jiang, XL; Li, J; Xu, K; Li, DZ; Gao, LM</t>
  </si>
  <si>
    <t>Luo, Ya-Huang; Cadotte, Marc W.; Liu, Jie; Burgess, Kevin S.; Tan, Shao-Lin; Ye, Lin-Jiang; Zou, Jia-Yun; Chen, Zhong-Zheng; Jiang, Xue-Long; Li, Juan; Xu, Kun; Li, De-Zhu; Gao, Lian-Ming</t>
  </si>
  <si>
    <t>Multitrophic diversity and biotic associations influence subalpine forest ecosystem multifunctionality</t>
  </si>
  <si>
    <t>ECOLOGY</t>
  </si>
  <si>
    <t>ecosystem multifunctionality; elevation; multitrophic diversity; networks; spatial scales; subalpine forest</t>
  </si>
  <si>
    <t>TROPHIC INTERACTIONS; PLANT DIVERSITY; BIODIVERSITY; HOMOGENIZATION; NETWORKS; PATTERNS</t>
  </si>
  <si>
    <t>Biodiversity across multiple trophic levels is required to maintain multiple ecosystem functions. Yet it remains unclear how multitrophic diversity and species interactions regulate ecosystem multifunctionality. Here, combining data from 9 different trophic groups (including trees, shrubs, herbs, leaf mites, small mammals, bacteria, pathogenic fungi, saprophytic fungi, and symbiotic fungi) and 13 ecosystem functions related to supporting, provisioning, and regulating services, we used a multitrophic perspective to evaluate the effects of elevation, diversity, and network complexity on scale-dependent subalpine forest multifunctionality. Our results demonstrated that elevation and soil pH significantly modified species composition and richness across multitrophic groups and influenced multiple functions simultaneously. We present evidence that species richness across multiple trophic groups had stronger effects on multifunctionality than species richness at any single trophic level. Moreover, biotic associations, indicating the complexity of trophic networks, were positively associated with multifunctionality. The relative effects of diversity on multifunctionality increased at the scale of the larger community compared to a scale accounting for neighboring interactions. Our results highlight the paramount importance of scale- and context-dependent multitrophic diversity and interactions for a better understanding of mountain ecosystem multifunctionality in a changing world.</t>
  </si>
  <si>
    <t>Luo, Ya-Huang</t>
  </si>
  <si>
    <t>[Luo, Ya-Huang; Liu, Jie; Tan, Shao-Lin; Ye, Lin-Jiang; Zou, Jia-Yun; Li, De-Zhu; Gao, Lian-Ming] Chinese Acad Sci, Kunming Inst Bot, CAS Key Lab Plant Divers &amp; Biogeog East Asia, Kunming, Yunnan, Peoples R China; [Luo, Ya-Huang; Li, De-Zhu] Chinese Acad Sci, Kunming Inst Bot, Germplasm Bank Wild Species Southwest China, Kunming, Yunnan, Peoples R China; [Luo, Ya-Huang; Xu, Kun; Gao, Lian-Ming] Chinese Acad Sci, Kunming Inst Bot, Lijiang Forest Biodivers Natl Observat &amp; Res Stn, Lijiang, Peoples R China; [Cadotte, Marc W.] Univ Toronto Scarborough, Biol Sci, Toronto, ON, Canada; [Burgess, Kevin S.] Columbus State Univ, Univ Syst Georgia, Coll Letters &amp; Sci, Dept Biol, Columbus, GA USA; [Ye, Lin-Jiang; Zou, Jia-Yun] Univ Chinese Acad Sci, Beijing, Peoples R China; [Chen, Zhong-Zheng; Jiang, Xue-Long] Chinese Acad Sci, Kunming Inst Zool, State Key Lab Genet Resources &amp; Evolut, Kunming, Yunnan, Peoples R China; [Chen, Zhong-Zheng] Anhui Normal Univ, Sch Ecol &amp; Environm, Wuhu, Peoples R China; [Li, Juan] Guizhou Univ, Inst Entomol, Prov Key Lab Plant Pest Management Mt Reg, Guiyang, Peoples R China</t>
  </si>
  <si>
    <t>Chinese Academy of Sciences; Kunming Institute of Botany, CAS; Chinese Academy of Sciences; Kunming Institute of Botany, CAS; Chinese Academy of Sciences; Kunming Institute of Botany, CAS; University of Toronto; University Toronto Scarborough; University System of Georgia; Columbus State University; Chinese Academy of Sciences; University of Chinese Academy of Sciences, CAS; Chinese Academy of Sciences; Kunming Institute of Zoology; Anhui Normal University; Guizhou University</t>
  </si>
  <si>
    <t>Gao, LM (通讯作者)，Chinese Acad Sci, Kunming Inst Bot, CAS Key Lab Plant Divers &amp; Biogeog East Asia, Kunming, Yunnan, Peoples R China.;Gao, LM (通讯作者)，Chinese Acad Sci, Kunming Inst Bot, Lijiang Forest Biodivers Natl Observat &amp; Res Stn, Lijiang, Peoples R China.</t>
  </si>
  <si>
    <t>Gao, Lian-Ming/AAU-2613-2021; Gao, Lianming/H-4527-2011; Tan, Shao-Lin/GQQ-1238-2022; Li, De-Zhu/G-8203-2011; Cadotte, Marc/AAG-8147-2020</t>
  </si>
  <si>
    <t>Gao, Lian-Ming/0000-0001-9047-2658; Gao, Lianming/0000-0001-9047-2658; Tan, Shao-Lin/0000-0001-9977-7773; Li, De-Zhu/0000-0002-4990-724X; Cadotte, Marc/0000-0002-5816-7693</t>
  </si>
  <si>
    <t>National Natural Science Foundation of China [31800354, 41971071]; CAS President's International Fellowship Initiative [2017VBB0008]; International Partnership Program of Chinese Academy of Sciences [151853KYSB20190027]; Key Research Program of Frontier Sciences, CAS [ZDBS-LY-7001]; Strategic Priority Research Program of Chinese Academy of Sciences [XDB31000000]; Youth Innovation Promotion Association of the Chinese Academy of Sciences [2021392]</t>
  </si>
  <si>
    <t>National Natural Science Foundation of China(National Natural Science Foundation of China (NSFC)); CAS President's International Fellowship Initiative; International Partnership Program of Chinese Academy of Sciences; Key Research Program of Frontier Sciences, CAS; Strategic Priority Research Program of Chinese Academy of Sciences(Chinese Academy of Sciences); Youth Innovation Promotion Association of the Chinese Academy of Sciences</t>
  </si>
  <si>
    <t>National Natural Science Foundation of China, Grant/Award Numbers: 31800354, 41971071; the CAS President's International Fellowship Initiative, Grant/Award Number: 2017VBB0008; the International Partnership Program of Chinese Academy of Sciences, Grant/Award Number: 151853KYSB20190027; the Key Research Program of Frontier Sciences, CAS, Grant/Award Number: ZDBS-LY-7001; the Strategic Priority Research Program of Chinese Academy of Sciences, Grant/Award Number: XDB31000000; Youth Innovation Promotion Association of the Chinese Academy of Sciences, Grant/Award Number: 2021392</t>
  </si>
  <si>
    <t>0012-9658</t>
  </si>
  <si>
    <t>1939-9170</t>
  </si>
  <si>
    <t>Ecology</t>
  </si>
  <si>
    <t>e3745</t>
  </si>
  <si>
    <t>10.1002/ecy.3745</t>
  </si>
  <si>
    <t>4E9LL</t>
  </si>
  <si>
    <t>WOS:000815786400001</t>
  </si>
  <si>
    <t>Lin, W; Xu, YQ; Jiang, YH; Ma, ZH</t>
  </si>
  <si>
    <t>Lin, Wei; Xu, Yuanqing; Jiang, Yuhui; Ma, Zhonghui</t>
  </si>
  <si>
    <t>To cheat or to treat? Fungus gnat pollination in Aspidistra</t>
  </si>
  <si>
    <t>Aspidistra; Bradysia; brood-site pollination; fungus gnat-pollination; mushroom mimicry; mutualism</t>
  </si>
  <si>
    <t>ASPARAGACEAE; POLLEN; MYCETOPHILIDAE; ORCHIDACEAE</t>
  </si>
  <si>
    <t>Lin, Wei</t>
  </si>
  <si>
    <t>[Lin, Wei; Jiang, Yuhui; Ma, Zhonghui] Guangxi Univ, Coll Agr, Natl Demonstrat Ctr Expt Plant Sci Educ, State Key Lab Conservat &amp; Utilizat Subtrop Agrobi, Nanning, Peoples R China; [Xu, Yuanqing] Chinese Acad Sci, Kunming Inst Bot, CAS Key Lab Plant Divers &amp; Biogeog East Asia, Kunming, Yunnan, Peoples R China; [Xu, Yuanqing] Univ Chinese Acad Sci, Kunming Coll Life Sci, Kunming, Yunnan, Peoples R China</t>
  </si>
  <si>
    <t>Guangxi University; Chinese Academy of Sciences; Kunming Institute of Botany, CAS; Chinese Academy of Sciences; University of Chinese Academy of Sciences, CAS</t>
  </si>
  <si>
    <t>Ma, ZH (通讯作者)，Guangxi Univ, Coll Agr, Natl Demonstrat Ctr Expt Plant Sci Educ, State Key Lab Conservat &amp; Utilizat Subtrop Agrobi, Nanning, Peoples R China.</t>
  </si>
  <si>
    <t>mazhonghui@gxu.edu.cn</t>
  </si>
  <si>
    <t>Lin, Wei/0000-0001-6426-8637</t>
  </si>
  <si>
    <t>National Natural Science Foundation of China [31760045, 31970220]; Natural Science Foundation of Guangxi Province [2018GXNSFAA281132]</t>
  </si>
  <si>
    <t>National Natural Science Foundation of China(National Natural Science Foundation of China (NSFC)); Natural Science Foundation of Guangxi Province(National Natural Science Foundation of Guangxi Province)</t>
  </si>
  <si>
    <t>This work was supported by the National Natural Science Foundation of China (Grants 31760045 and 31970220) and the Natural Science Foundation of Guangxi Province (Grant 2018GXNSFAA281132). We thank Prof. Shixiao Luo for helpful comments on previous versions of the manuscript.</t>
  </si>
  <si>
    <t>e3729</t>
  </si>
  <si>
    <t>10.1002/ecy.3729</t>
  </si>
  <si>
    <t>3K6IC</t>
  </si>
  <si>
    <t>WOS:000800775200001</t>
  </si>
  <si>
    <t>Cai, XH; Shi, BB; Niu, Y; Ge, J; Chomicki, G; Chen, G</t>
  </si>
  <si>
    <t>Cai, Xiang-Hai; Shi, Bao-Bao; Niu, Yang; Ge, Jia; Chomicki, Guillaume; Chen, Gao</t>
  </si>
  <si>
    <t>Mystery revisited: Is nocturnal colored nectar a nonadaptive floral trait?</t>
  </si>
  <si>
    <t>colored nectar; deceptive pollination; earwig; pigment; secondary metabolites; stemona</t>
  </si>
  <si>
    <t>SIGNAL; DARK</t>
  </si>
  <si>
    <t>Cai, Xiang-Hai</t>
  </si>
  <si>
    <t>[Cai, Xiang-Hai; Shi, Bao-Bao] Chinese Acad Sci, Kunming Inst Bot, State Key Lab Phytochem &amp; Plant Resources West Ch, Kunming, Yunnan, Peoples R China; [Shi, Bao-Bao] Univ Chinese Acad Sci, Beijing, Peoples R China; [Niu, Yang; Ge, Jia; Chen, Gao] Chinese Acad Sci, Kunming Inst Bot, CAS Key Lab Plant Biodivers &amp; Biogeog East Asia, Kunming, Yunnan, Peoples R China; [Ge, Jia; Chen, Gao] Yunnan Key Lab Integrat Conservat Plant Species E, Kunming, Yunnan, Peoples R China; [Chomicki, Guillaume] Univ Sheffield, Dept Anim &amp; Plant Sci, Sheffield, S Yorkshire, England</t>
  </si>
  <si>
    <t>Chinese Academy of Sciences; Kunming Institute of Botany, CAS; Chinese Academy of Sciences; University of Chinese Academy of Sciences, CAS; Chinese Academy of Sciences; Kunming Institute of Botany, CAS; University of Sheffield</t>
  </si>
  <si>
    <t>Chen, G (通讯作者)，Chinese Acad Sci, Kunming Inst Bot, CAS Key Lab Plant Biodivers &amp; Biogeog East Asia, Kunming, Yunnan, Peoples R China.;Chen, G (通讯作者)，Yunnan Key Lab Integrat Conservat Plant Species E, Kunming, Yunnan, Peoples R China.</t>
  </si>
  <si>
    <t>chen_gao@mail.kib.ac.cn</t>
  </si>
  <si>
    <t>Niu, Yang/GPX-1099-2022</t>
  </si>
  <si>
    <t>National Natural Science Foundation of China [31670322]; CAS Interdisciplinary Innovation Team of Light of West China Program; Natural Environment Research Council Independent Research Fellowship [NE/S014470/1]; Yunnan Ten Thousand Talents Plan Young AMP; Elite Talents Project [YNWR-QNBJ-2018-017]</t>
  </si>
  <si>
    <t>National Natural Science Foundation of China(National Natural Science Foundation of China (NSFC)); CAS Interdisciplinary Innovation Team of Light of West China Program; Natural Environment Research Council Independent Research Fellowship(UK Research &amp; Innovation (UKRI)Natural Environment Research Council (NERC)); Yunnan Ten Thousand Talents Plan Young AMP; Elite Talents Project</t>
  </si>
  <si>
    <t>National Natural Science Foundation of China, Grant/Award Number: 31670322; CAS Interdisciplinary Innovation Team of Light of West China Program; Natural Environment Research Council Independent Research Fellowship, Grant/Award Number: NE/S014470/1; Yunnan Ten Thousand Talents Plan Young &amp; Elite Talents Project, Grant/Award Number: YNWR-QNBJ-2018-017</t>
  </si>
  <si>
    <t>e3663</t>
  </si>
  <si>
    <t>10.1002/ecy.3663</t>
  </si>
  <si>
    <t>0X1KA</t>
  </si>
  <si>
    <t>WOS:000774764200001</t>
  </si>
  <si>
    <t>Shen, T; Corlett, RT; Collart, F; Kasprzyk, T; Guo, XL; Patino, J; Su, Y; Hardy, OJ; Ma, WZ; Wang, J; Wei, YM; Mouton, L; Li, Y; Song, L; Vanderpoorten, A</t>
  </si>
  <si>
    <t>Shen, Ting; Corlett, Richard T.; Collart, Flavien; Kasprzyk, Thibault; Guo, Xin-Lei; Patino, Jairo; Su, Yang; Hardy, Olivier J.; Ma, Wen-Zhang; Wang, Jian; Wei, Yu-Mei; Mouton, Lea; Li, Yuan; Song, Liang; Vanderpoorten, Alain</t>
  </si>
  <si>
    <t>Microclimatic variation in tropical canopies: A glimpse into the processes of community assembly in epiphytic bryophyte communities</t>
  </si>
  <si>
    <t>JOURNAL OF ECOLOGY</t>
  </si>
  <si>
    <t>beta diversity; biotic interactions; environmental filters; epiphytic bryophytes; forest canopy; microclimates; niche conservatism; phylogenetic constraints</t>
  </si>
  <si>
    <t>VASCULAR EPIPHYTES; HOST-SPECIFICITY; BETA DIVERSITY; RAIN-FOREST; PHYLOGENETIC OVERDISPERSION; VERTICAL-DISTRIBUTION; LAUREL FOREST; TREE SIZE; LICHENS; COMPETITION</t>
  </si>
  <si>
    <t>Epiphytic communities offer an original framework to disentangle the contributions of environmental filters, biotic interactions and dispersal limitations to community structure at fine spatial scales. We determine here whether variations in light, microclimatic conditions and host tree size affect the variation in species composition and phylogenetic structure of epiphytic bryophyte communities, and hence, assess the contribution of environmental filtering, phylogenetic constraints and competition to community assembly. A canopy crane giving access to 1.1 ha of tropical rainforest in Yunnan (China) was employed to record hourly light and microclimatic conditions from 54 dataloggers and epiphytic bryophyte communities from 408 plots. Generalized Dissimilarity Modelling was implemented to analyse the relationship between taxonomic and phylogenetic turnover among epiphytic communities, host-tree characteristics and microclimatic variation. Within-tree vertical turnover of bryophyte communities was significantly about 30% higher than horizontal turnover among-trees. Thus, the sharp vertical variations in microclimatic conditions from tree base to canopy are more important than differences in age, reflecting the likelihood of colonization, area, and habitat conditions between young and old trees, in shaping the composition of epiphytic bryophyte communities. Our models, to which microclimatic factors contributed most (83-98%), accounted for 33% and 18% of the variation in vertical turnover in mosses and liverworts, respectively. Phylogenetic turnover shifted from significantly negative or non-significant within communities to significantly positive among communities, and was slightly, but significantly, correlated with microclimatic variation. These patterns highlight the crucial role of microclimates in determining the composition and phylogenetic structure of epiphytic communities. Synthesis. The mostly non-significant phylogenetic turnover observed within communities does not support the idea that competition plays an important role in epiphytic bryophytes. Instead, microclimatic variation is the main driver of community composition and phylogenetic structure, evidencing the role of phylogenetic niche conservatism in community assembly.</t>
  </si>
  <si>
    <t>Shen, Ting</t>
  </si>
  <si>
    <t>[Shen, Ting; Li, Yuan; Song, Liang] Chinese Acad Sci, CAS Key Lab Trop Forest Ecol, Xishuangbanna Trop Bot Garden, Menglun, Mengla, Peoples R China; [Shen, Ting; Kasprzyk, Thibault; Mouton, Lea; Vanderpoorten, Alain] Univ Liege, Inst Bot, Liege, Belgium; [Shen, Ting; Corlett, Richard T.] Chinese Acad Sci, Ctr Integrat Conservat, Xishuangbanna Trop Bot Garden, Menglun, Mengla, Peoples R China; [Collart, Flavien] Univ Lausanne, Dept Ecol &amp; Evolut DEE, Lausanne, Switzerland; [Guo, Xin-Lei] Aba Acad Ecol Protect &amp; Dev, Wenchuan, Peoples R China; [Guo, Xin-Lei] Chinese Acad Sci, Inst Geochem, State Key Lab Environm Geochem, Guiyang, Peoples R China; [Patino, Jairo] CSIC, Isl Ecol &amp; Evolut Res Grp, Inst Prod Nat &amp; Agrobiol IPNA, San Cristobal la Laguna, Spain; [Patino, Jairo] Univ La Laguna, Dept Bot Ecol &amp; Plant Physiol, Tenerife, Canary Islands, Spain; [Su, Yang] Univ Paris Saclay, INRAE AgroParisTech, UMR ECOSYS, Thiverval Grignon, France; [Hardy, Olivier J.] Univ Libre Bruxelles, Fac Sci, Evolutionary Biol &amp; Ecol Unit CP 160 12, Brussels, Belgium; [Ma, Wen-Zhang] Chinese Acad Sci, Kunming Inst Bot, Key Lab Plant Divers &amp; Biogeog East Asia, Kunming, Yunnan, Peoples R China; [Wang, Jian] East China Normal Univ, Sch Life Sci, Bryol Lab, Shanghai, Peoples R China; [Wei, Yu-Mei] Guangxi Zhuang Autonomous Reg &amp; Chinese Acad Sci, Guangxi Inst Bot, Guangxi Key Lab Plant Conservat &amp; Restorat Ecol K, Guilin, Peoples R China; [Li, Yuan] Hainan Univ, Sch Ecol &amp; Environm, Haikou, Hainan, Peoples R China; [Song, Liang] Chinese Acad Sci, Ctr Plant Ecol, Menglun, Mengla, Peoples R China</t>
  </si>
  <si>
    <t>Chinese Academy of Sciences; Xishuangbanna Tropical Botanical Garden, CAS; University of Liege; Chinese Academy of Sciences; Xishuangbanna Tropical Botanical Garden, CAS; University of Lausanne; Chinese Academy of Sciences; Guiyang Institute of Geochemistry, CAS; Consejo Superior de Investigaciones Cientificas (CSIC); CSIC - Instituto de Productos Naturales y Agrobiologia (IPNA); Universidad de la Laguna; AgroParisTech; INRAE; UDICE-French Research Universities; Universite Paris Saclay; Universite Libre de Bruxelles; Chinese Academy of Sciences; Kunming Institute of Botany, CAS; East China Normal University; Hainan University; Chinese Academy of Sciences</t>
  </si>
  <si>
    <t>Shen, T; Song, L (通讯作者)，Chinese Acad Sci, CAS Key Lab Trop Forest Ecol, Xishuangbanna Trop Bot Garden, Menglun, Mengla, Peoples R China.;Shen, T (通讯作者)，Univ Liege, Inst Bot, Liege, Belgium.;Shen, T (通讯作者)，Chinese Acad Sci, Ctr Integrat Conservat, Xishuangbanna Trop Bot Garden, Menglun, Mengla, Peoples R China.;Song, L (通讯作者)，Chinese Acad Sci, Ctr Plant Ecol, Menglun, Mengla, Peoples R China.</t>
  </si>
  <si>
    <t>ting.shen@doct.uliege.be; songliang@xtbg.ac.cn</t>
  </si>
  <si>
    <t>Collart, Flavien/ABG-7680-2020; Patino, Jairo/J-9595-2014; Hardy, Olivier/R-6531-2018</t>
  </si>
  <si>
    <t>Collart, Flavien/0000-0002-4342-5848; Patino, Jairo/0000-0001-5532-166X; Shen, Ting/0000-0002-3061-624X; Hardy, Olivier/0000-0003-2052-1527; SU, YANG/0000-0002-4717-9971; Corlett, Richard/0000-0002-2508-9465</t>
  </si>
  <si>
    <t>Candidates of the Young and Middle-Aged Academic Leaders of Yunnan Province [2019HB040]; CAS 135 program [2017XTBG-F01, 2017XTBG-F03]; China Scholarship Council [201904910636]; Federation Wallonie-Bruxelles [1117545]; Fonds De La Recherche Scientifique-FNRS [2.5020.11]; Ministerio de Ciencia e Innovacion [ASTERALIEN-PID2019-110538GA-I00, RYC-2016-20506]; National Natural Science Foundation of China [32171529]; Natural Science Foundation of Yunnan Province [202101AT070059]; Yunnan High Level Talents Special Support Plan [YNWR-QNBJ-2020-066]; Fundacion BBVA [INVASION-PR19_ECO_0046]</t>
  </si>
  <si>
    <t>Candidates of the Young and Middle-Aged Academic Leaders of Yunnan Province; CAS 135 program; China Scholarship Council(China Scholarship Council); Federation Wallonie-Bruxelles; Fonds De La Recherche Scientifique-FNRS(Fonds de la Recherche Scientifique - FNRS); Ministerio de Ciencia e Innovacion(Ministry of Science and Innovation, Spain (MICINN)Instituto de Salud Carlos IIISpanish Government); National Natural Science Foundation of China(National Natural Science Foundation of China (NSFC)); Natural Science Foundation of Yunnan Province(Natural Science Foundation of Yunnan Province); Yunnan High Level Talents Special Support Plan; Fundacion BBVA(BBVA Foundation)</t>
  </si>
  <si>
    <t>Candidates of the Young and Middle-Aged Academic Leaders of Yunnan Province, Grant/Award Number: 2019HB040; CAS 135 program, Grant/Award Number: 2017XTBG-F01 and 2017XTBG-F03; China Scholarship Council, Grant/ Award Number: 201904910636; Federation Wallonie-Bruxelles, Grant/ Award Number: 1117545; Fonds De La Recherche Scientifique-FNRS, Grant/ Award Number: 2.5020.11(Consortium des Equipements de Calcul Intensif); Ministerio de Ciencia e Innovacion, Grant/Award Number: ASTERALIEN-PID2019-110538GA-I00 and RYC-2016-20506(Ramon y Cajal Program); National Natural Science Foundation of China, Grant/Award Number: 32171529; Natural Science Foundation of Yunnan Province, Grant/Award Number: 202101AT070059; Yunnan High Level Talents Special Support Plan, Grant/Award Number: YNWR-QNBJ-2020-066; Fundacion BBVA, Grant/Award Number: INVASION-PR19_ECO_0046</t>
  </si>
  <si>
    <t>0022-0477</t>
  </si>
  <si>
    <t>1365-2745</t>
  </si>
  <si>
    <t>J ECOL</t>
  </si>
  <si>
    <t>J. Ecol.</t>
  </si>
  <si>
    <t>10.1111/1365-2745.14011</t>
  </si>
  <si>
    <t>Plant Sciences; Ecology</t>
  </si>
  <si>
    <t>Plant Sciences; Environmental Sciences &amp; Ecology</t>
  </si>
  <si>
    <t>6W5FR</t>
  </si>
  <si>
    <t>WOS:000871174000001</t>
  </si>
  <si>
    <t>Wang, XZ; Sun, SW; Sedio, BE; Glomglieng, S; Cao, M; Cao, KF; Yang, JH; Zhang, JL; Yang, J</t>
  </si>
  <si>
    <t>Wang, Xue-Zhao; Sun, Shan-Wen; Sedio, Brian E.; Glomglieng, Suphanee; Cao, Min; Cao, Kun-Fang; Yang, Jian-Hong; Zhang, Jiao-Lin; Yang, Jie</t>
  </si>
  <si>
    <t>Niche differentiation along multiple functional-trait dimensions contributes to high local diversity of Euphorbiaceae in a tropical tree assemblage</t>
  </si>
  <si>
    <t>closely related species; convergent evolution; divergent evolution; Euphorbiaceae; functional trait dimensions; herbivores; plant secondary metabolites</t>
  </si>
  <si>
    <t>DEFENSIVE TRAITS; LEAF HERBIVORY; SPATIAL SCALES; COMMUNITY; EVOLUTION; COEXISTENCE; CONSERVATISM; PATTERNS; PLANTS; CONVERGENCE</t>
  </si>
  <si>
    <t>Understanding the mechanisms that drive community assembly in species-rich tropical forest remains a fundamental challenge in ecology. Here, we integrated multivariate functional trait dimensions, phylogeny and metabolomics to test fundamental predictions concerning the role of differentiation with respect to abiotic and biotic niche axes in the maintenance of high local diversity of woody plants in the Euphorbiaceae. We measured 40 functional traits related to resource acquisition, photosynthetic capacity, hydraulic efficiency and secondary-metabolite profiles generated using untargeted metabolomics in all 26 Euphorbiaceae species in a 20-ha forest dynamics plot in tropical southwestern China. We examined the correlation structure of 40 traits using a trait networking approach. We coupled these traits with variation in soil nutrients, light environment, soil water content and herbivore pressure within the plot to assess niche differentiation in space. We compared phylogenetic signal among multivariate trait dimensions and secondary metabolites to assess niche differentiation in evolutionary time. Network analysis revealed that a small number of traits with high network centrality reflected variation in ecological strategy among the Euphorbiaceae. Using these high-centrality traits, we observed significant functional turnover along environmental gradients defined by light, soil moisture, soil nutrients and leaf herbivory, respectively. Most resource utilization traits showed significant phylogenetic signal, whereas almost all defensive traits lacked phylogenetic signal, including species similarity with respect to plant secondary metabolites. Synthesis. Our results suggest that resource-utilization traits and the habitat associations play a significant role in the niche segregation of co-occurring woody plants in the Euphorbiaceae. Secondary metabolites, however, may enhance diversity at a finer spatial scale by allowing closely related species with similar functional traits to partition biotic niche space within shared habitats in tropical rainforest.</t>
  </si>
  <si>
    <t>Wang, Xue-Zhao</t>
  </si>
  <si>
    <t>[Wang, Xue-Zhao; Glomglieng, Suphanee; Cao, Min; Zhang, Jiao-Lin; Yang, Jie] Chinese Acad Sci, CAS Key Lab Trop Forest Ecol, Xishuangbanna Trop Bot Garden, Kunming, Yunnan, Peoples R China; [Wang, Xue-Zhao; Glomglieng, Suphanee] Univ Chinese Acad Sci, Beijing, Peoples R China; [Sun, Shan-Wen] Northeast Forestry Univ, Coll Life Sci, Harbin, Peoples R China; [Sedio, Brian E.] Univ Texas Austin, Dept Integrat Biol, Austin, TX 78712 USA; [Sedio, Brian E.] Smithsonian Trop Res Inst, Ancon, Panama; [Cao, Kun-Fang] Guangxi Univ, State Key Lab Conservat &amp; Utilizat Subtrop Agrobi, Nanning, Peoples R China; [Yang, Jian-Hong] Chinese Acad Sci, Kunming Inst Bot, State Key Lab Phytochem &amp; Plant Resources West Ch, Kunming, Yunnan, Peoples R China</t>
  </si>
  <si>
    <t>Chinese Academy of Sciences; Xishuangbanna Tropical Botanical Garden, CAS; Chinese Academy of Sciences; University of Chinese Academy of Sciences, CAS; Northeast Forestry University - China; University of Texas System; University of Texas Austin; Smithsonian Institution; Smithsonian Tropical Research Institute; Guangxi University; Chinese Academy of Sciences; Kunming Institute of Botany, CAS</t>
  </si>
  <si>
    <t>Zhang, JL; Yang, J (通讯作者)，Chinese Acad Sci, CAS Key Lab Trop Forest Ecol, Xishuangbanna Trop Bot Garden, Kunming, Yunnan, Peoples R China.</t>
  </si>
  <si>
    <t>zjl@xtbg.org.cn; yangjie@xtbg.org.cn</t>
  </si>
  <si>
    <t>Zhang, Jiao-Lin/0000-0003-3693-7965; Sun, Shanwen/0000-0003-4358-8636</t>
  </si>
  <si>
    <t>Chinese Academy of Sciences Youth Innovation Promotion Association [Y202080]; Distinguished Youth Scholar of Yunnan [202001AV070016]; West Light Foundation of the Chinese Academy of Sciences; Ten Thousand Talent Plans for Young Top-notch Talents of Yunnan Province [YNWR-QNBJ-2018-309]; National Natural Science Foundation of China [31870410, 32171507]; NSFC China-US Dimensions of Biodiversity Grant [DEB: 32061123003]</t>
  </si>
  <si>
    <t>Chinese Academy of Sciences Youth Innovation Promotion Association; Distinguished Youth Scholar of Yunnan; West Light Foundation of the Chinese Academy of Sciences(Chinese Academy of Sciences); Ten Thousand Talent Plans for Young Top-notch Talents of Yunnan Province; National Natural Science Foundation of China(National Natural Science Foundation of China (NSFC)); NSFC China-US Dimensions of Biodiversity Grant</t>
  </si>
  <si>
    <t>The Chinese Academy of Sciences Youth Innovation Promotion Association, Grant/Award Number: Y202080; The Distinguished Youth Scholar of Yunnan, Grant/Award Number: 202001AV070016; The West Light Foundation of the Chinese Academy of Sciences and the Ten Thousand Talent Plans for Young Top-notch Talents of Yunnan Province, Grant/Award Number: YNWR-QNBJ-2018-309; The NSFC China-US Dimensions of Biodiversity Grant, Grant/Award Number: DEB: 32061123003; National Natural Science Foundation of China, Grant/Award Number: 31870410 and 32171507</t>
  </si>
  <si>
    <t>10.1111/1365-2745.13984</t>
  </si>
  <si>
    <t>6A3JC</t>
  </si>
  <si>
    <t>WOS:000848550700001</t>
  </si>
  <si>
    <t>Rixen, C; Wipf, S; Rumpf, SB; Giejsztowt, J; Millen, J; Morgan, JW; Nicotra, AB; Venn, S; Zong, SW; Dickinson, KJM; Freschet, GT; Kurzbock, C; Li, J; Pan, HL; Pfund, B; Quaglia, E; Su, X; Wang, W; Wang, XT; Yin, H; Deslippe, JR</t>
  </si>
  <si>
    <t>Rixen, Christian; Wipf, Sonja; Rumpf, Sabine B.; Giejsztowt, Justyna; Millen, Jules; Morgan, John W.; Nicotra, Adrienne B.; Venn, Susanna; Zong, Shengwei; Dickinson, Katharine J. M.; Freschet, Gregoire T.; Kurzbock, Claudia; Li, Jin; Pan, Hongli; Pfund, Beat; Quaglia, Elena; Su, Xu; Wang, Wei; Wang, Xiangtao; Yin, Hang; Deslippe, Julie R.</t>
  </si>
  <si>
    <t>Intraspecific trait variation in alpine plants relates to their elevational distribution</t>
  </si>
  <si>
    <t>climate change; cold-adapted plants; elevation gradient; elevation range; neighbour interactions; plant traits; species distribution</t>
  </si>
  <si>
    <t>STRESS-GRADIENT HYPOTHESIS; POSITIVE INTERACTIONS; COMMUNITY; LEAF; RESPONSES; VARIABILITY; PLASTICITY; VEGETATION; DIVERSITY; HANDBOOK</t>
  </si>
  <si>
    <t>Climate warming is shifting the distributions of mountain plant species to higher elevations. Cold-adapted plant species are under increasing pressure from novel competitors that are encroaching from lower elevations. Plant capacity to adjust to these pressures may be measurable as variation in trait values within a species. In particular, the strength and patterns of intraspecific trait variation along abiotic and biotic gradients can inform us whether and how species can adjust their anatomy and morphology to persist in a changing environment. Here, we tested whether species specialized to high elevations or with narrow elevational ranges show more conservative (i.e. less variable) trait responses across their elevational distribution, or in response to neighbours, than species from lower elevations or with wider elevational ranges. We did so by studying intraspecific trait variation of 66 species along 40 elevational gradients in four countries in both hemispheres. As an indication of potential neighbour interactions that could drive trait variation, we also analysed plant species' height ratio, its height relative to its nearest neighbour. Variation in alpine plant trait values over elevation differed depending on a species' median elevation and the breadth of its elevational range, with species with lower median elevations and larger elevational range sizes showing greater trait variation, i.e. a steeper slope in trait values, over their elevational distributions. These effects were evidenced by significant interactions between species' elevation and their elevational preference or range for several traits: vegetative height, generative height, specific leaf area and patch area. The height ratio of focal alpine species and their neighbours decreased in the lower part of their distribution because neighbours became relatively taller at lower elevations. In contrast, species with lower elevational optima maintained a similar height ratio with neighbours throughout their range. Synthesis. We provide evidence that species from lower elevations and those with larger range sizes show greater intraspecific trait variation, which may indicate a greater ability to respond to environmental changes. Also, larger trait variation of species from lower elevations may indicate stronger competitive ability of upslope shifting species, posing one further threat to species from higher ranges.</t>
  </si>
  <si>
    <t>Rixen, Christian</t>
  </si>
  <si>
    <t>[Rixen, Christian; Wipf, Sonja; Zong, Shengwei; Kurzbock, Claudia; Pfund, Beat] WSL Inst Snow &amp; Avalanche Res SLF, Davos, Switzerland; [Rixen, Christian; Wipf, Sonja; Pfund, Beat] Extremes &amp; Nat Hazards Alpine Reg Res Ctr CERC, Climate Change, Davos, Switzerland; [Rixen, Christian; Wipf, Sonja; Morgan, John W.; Pfund, Beat; Quaglia, Elena] La Trobe Univ, Dept Ecol Environm &amp; Evolut, Melbourne, Vic, Australia; [Wipf, Sonja] Chaste Planta Wildenberg, Swiss Natl Pk, Zernez, Switzerland; [Rumpf, Sabine B.; Dickinson, Katharine J. M.] Univ Otago, Dept Bot, Dunedin, New Zealand; [Rumpf, Sabine B.] Univ Lausanne, Dept Ecol &amp; Evolut, Lausanne, Switzerland; [Giejsztowt, Justyna; Millen, Jules; Deslippe, Julie R.] Victoria Univ Wellington, Ctr Biodivers &amp; Restorat Ecol, Sch Biol Sci, Wellington, New Zealand; [Giejsztowt, Justyna] Univ Bayreuth, Bayreuth Ctr Ecol &amp; Environm Res BayCEER, Bayreuth, Germany; [Nicotra, Adrienne B.] Australian Natl Univ, Res Sch Biol, Canberra, ACT, Australia; [Venn, Susanna] Deakin Univ, Ctr Integrat Ecol, Burwood, Vic, Australia; [Zong, Shengwei] Northeast Normal Univ, Sch Geog Sci, Minist Educ, Key Lab Geog Proc &amp; Ecol Secur Changbai Mt, Changchun, Peoples R China; [Freschet, Gregoire T.] CNRS, Stn Ecol Theor &amp; Expt, Moulis, France; [Li, Jin] Chinese Acad Sci, Kunming Inst Bot, Lijiang Forest Biodivers Natl Observat &amp; Res Stn, Kunming, Yunnan, Peoples R China; [Pan, Hongli] Sichuan Acad Forestry, Chengdu, Peoples R China; [Quaglia, Elena] Univ Torino, Dipartimento Sci Agr Forestali &amp; Alimentari, Turin, Italy; [Su, Xu] Qinghai Normal Univ, Sch Life Sci, Key Lab Med Anim &amp; Plant Resources Qinghai Tibet, Xining, Peoples R China; [Wang, Wei] Tibet Agr &amp; Anim Husb Univ, Coll Resources &amp; Environm Sci, Nyingchi, Peoples R China; [Wang, Xiangtao] Tibet Agr &amp; Anim Husb Univ, Coll Anim Sci, Nyingchi, Peoples R China; [Yin, Hang] Changbaishan Acad Sci, Yanbian, Peoples R China</t>
  </si>
  <si>
    <t>Swiss Federal Institutes of Technology Domain; Swiss Federal Institute for Forest, Snow &amp; Landscape Research; La Trobe University; University of Otago; University of Lausanne; Victoria University Wellington; University of Bayreuth; Australian National University; Deakin University; Northeast Normal University - China; Centre National de la Recherche Scientifique (CNRS); Universite de Toulouse; Universite Toulouse III - Paul Sabatier; Chinese Academy of Sciences; Kunming Institute of Botany, CAS; University of Turin; Qinghai Normal University; Tibet Agriculture &amp; Animal Husbandry University; Tibet Agriculture &amp; Animal Husbandry University</t>
  </si>
  <si>
    <t>Rixen, C (通讯作者)，WSL Inst Snow &amp; Avalanche Res SLF, Davos, Switzerland.;Rixen, C (通讯作者)，Extremes &amp; Nat Hazards Alpine Reg Res Ctr CERC, Climate Change, Davos, Switzerland.;Rixen, C (通讯作者)，La Trobe Univ, Dept Ecol Environm &amp; Evolut, Melbourne, Vic, Australia.</t>
  </si>
  <si>
    <t>rixen@slf.ch</t>
  </si>
  <si>
    <t>Wipf, Sonja/A-5075-2010; Nicotra, Adrienne/C-1361-2009; Rumpf, Sabine/AAF-8795-2019</t>
  </si>
  <si>
    <t>Wipf, Sonja/0000-0002-3492-1399; Nicotra, Adrienne/0000-0001-6578-369X; Rumpf, Sabine/0000-0001-5909-9568; Giejsztowt, Justyna/0000-0002-3179-745X; Rixen, Christian/0000-0002-2486-9988</t>
  </si>
  <si>
    <t>A. F.W. Schimper-Stiftung fur Okologische Forschungen; Catalyst Fund New Zealand [CSG-VUW-1902]; Schweizerischer Nationalfonds zur Forderung der Wissenschaftlichen Forschung [IZSEZ0_183797]; Swiss Botanical Society [CH-6409]; Swiss National Park</t>
  </si>
  <si>
    <t>A. F.W. Schimper-Stiftung fur Okologische Forschungen; Catalyst Fund New Zealand; Schweizerischer Nationalfonds zur Forderung der Wissenschaftlichen Forschung(Austrian Science Fund (FWF)); Swiss Botanical Society; Swiss National Park</t>
  </si>
  <si>
    <t>A. F.W. Schimper--Stiftung fur Okologische Forschungen; Catalyst Fund New Zealand, Grant/Award Number: CSG--VUW--1902; Schweizerischer Nationalfonds zur Forderung der Wissenschaftlichen Forschung, Grant/Award Number: IZSEZ0_183797; Swiss Botanical Society, Grant/Award Number: CH--6409; Swiss National Park</t>
  </si>
  <si>
    <t>10.1111/1365-2745.13848</t>
  </si>
  <si>
    <t>0K0LL</t>
  </si>
  <si>
    <t>Green Submitted, hybrid, Green Published</t>
  </si>
  <si>
    <t>WOS:000762811700001</t>
  </si>
  <si>
    <t>Sun, TT; Zhou, J; Shi, LL; Feng, WT; Dippold, MA; Zang, HD; Kurganova, I; de Gerenyu, VL; Kalinina, O; Giani, L; Kuzyakov, Y</t>
  </si>
  <si>
    <t>Sun, Tingting; Zhou, Jie; Shi, Lingling; Feng, Wenting; Dippold, Michaela A.; Zang, Huadong; Kurganova, Irina; de Gerenyu, Valentin Lopes; Kalinina, Olga; Giani, Louise; Kuzyakov, Yakov</t>
  </si>
  <si>
    <t>Microbial growth rates, carbon use efficiency and enzyme activities during post-agricultural soil restoration</t>
  </si>
  <si>
    <t>CATENA</t>
  </si>
  <si>
    <t>Microbial growth rates; Active microorganisms; Microbial life strategies; Carbon use efficiency; Restoration duration; Soil organic matter; Carbon sequestration</t>
  </si>
  <si>
    <t>ORGANIC-MATTER; LOESS PLATEAU; STOICHIOMETRY; RESPIRATION; BIOMASS; FOREST; MICROORGANISMS; MANAGEMENT; DYNAMICS; IMPACT</t>
  </si>
  <si>
    <t>Microorganisms are critical for litter decomposition, organic carbon (C) and nutrient transformations in soil, corresponding to the vegetation succession. The dynamics of microbial activities and ecological functions during the soil recovery after agricultural land use (post-agricultural restoration) remains unclear. We investigated the effects of vegetation and soil restoration duration on active microbial biomass, microbial growth rates, C use efficiency (CUE, analyzed by C-14 glucose utilization), and enzyme activities in three soil types of Russia: Haplic Luvisol in a deciduous forest (chronosequence from 0 to 37 years), Luvic Phaeozem in forest steppe (0-66 years), and Haplic Phaeozem in forest steppe (0-42 years). The microbial CUE (0.66-0.82) decreased during restoration and was highly dependent on soil type: the lowest in Luvisol and the highest in Haplic Phaeozem. The activities of beta-1,4-glucosidase, beta-1,4-N-acetylglucosaminidase, leucine aminopeptidase, and acid phosphatase increased during post-agricultural restoration. Microbial growth rates and the proportion of active microorganisms increased with restoration, reflecting a shift of microbial community to fast-growing decomposers (mainly r strategists) caused by large litterfall from recovered natural vegetation. The increase of the portion of active microorganisms and microbial growth rates was correlated with activities of enzymes responsible for C, N and P cycling. In conclusion, the post-agricultural restoration activates microorganisms, raises microbial growth, increases enzyme activities and accelerates microbially-mediated C and nutrient turnover.</t>
  </si>
  <si>
    <t>Sun, Tingting</t>
  </si>
  <si>
    <t>[Sun, Tingting; Feng, Wenting] Chinese Acad Sci, Xinjiang Inst Ecol &amp; Geog, State Key Lab Desert &amp; Oasis Ecol, Urumqi 830011, Peoples R China; [Sun, Tingting] Univ Chinese Acad Sci, Beijing, Peoples R China; [Sun, Tingting] Chinese Acad Sci, Natl Fukang Stn Desert Ecosyst Ecol, Res Stn, Field Sci Observat, Xinjiang 831505, Peoples R China; [Shi, Lingling; Dippold, Michaela A.] Georg August Univ Gottingen, Fac Agr, Dept Crop Sci, Biogeochem Agroecosyst, Thunen Weg 5, D-37073 Gottingen, Germany; [Shi, Lingling] Chinese Acad Sci, Kunming Inst Bot, Dept Econ Plants &amp; Biotechnol, Yunnan Key Lab Wild Plant Resources, Kunming 650201, Peoples R China; [Shi, Lingling; Dippold, Michaela A.] Univ Tubingen, Fac Sci, Dept Geosci, Geobiosphere Interact, Schnarrenbergstr 94-96, D-72076 Tubingen, Germany; [Feng, Wenting] Chinese Acad Agr Sci, Inst Agr Resources &amp; Reg Planning, Beijing 100081, Peoples R China; [Zhou, Jie; Zang, Huadong] China Agr Univ, Coll Agron &amp; Biotechnol, Beijing, Peoples R China; [Kurganova, Irina; de Gerenyu, Valentin Lopes] Russian Acad Sci, Inst Physicochem &amp; Biol Problems Soil Sci, Pushchino, Russia; [Kurganova, Irina; de Gerenyu, Valentin Lopes] Tyumen State Univ, 6 Volodarskogo St, Tyumen 625003, Russia; [Kalinina, Olga; Giani, Louise] Carl von Ossietzky Univ Oldenburg, Dept Soil Sci, CVO, Oldenburg, Germany; [Kuzyakov, Yakov] Kazan Fed Univ, Peoples Friendship Univ Russia, RUDN Univ, Inst Environm Sci, Kazan 420049, Moscow, Russia; [Kuzyakov, Yakov] Univ Goettingen, Dept Soil Sci Temperate Ecosyst, Dept Agr Soil Sci, Gottingen, Germany</t>
  </si>
  <si>
    <t>Chinese Academy of Sciences; Xinjiang Institute of Ecology &amp; Geography, CAS; Chinese Academy of Sciences; University of Chinese Academy of Sciences, CAS; Chinese Academy of Sciences; University of Gottingen; Chinese Academy of Sciences; Kunming Institute of Botany, CAS; Eberhard Karls University of Tubingen; Chinese Academy of Agricultural Sciences; Institute of Agricultural Resources &amp; Regional Planning, CAAS; China Agricultural University; Russian Academy of Sciences; Pushchino Scientific Center for Biological Research (PSCBI) of the Russian Academy of Sciences; Institute of Physicohemical &amp; Biological Problems of Soil Science; Tyumen State University; Carl von Ossietzky Universitat Oldenburg; Kazan Federal University; Peoples Friendship University of Russia; University of Gottingen</t>
  </si>
  <si>
    <t>Shi, LL (通讯作者)，Georg August Univ Gottingen, Fac Agr, Dept Crop Sci, Biogeochem Agroecosyst, Thunen Weg 5, D-37073 Gottingen, Germany.;Shi, LL (通讯作者)，Chinese Acad Sci, Kunming Inst Bot, Dept Econ Plants &amp; Biotechnol, Yunnan Key Lab Wild Plant Resources, Kunming 650201, Peoples R China.;Shi, LL (通讯作者)，Univ Tubingen, Fac Sci, Dept Geosci, Geobiosphere Interact, Schnarrenbergstr 94-96, D-72076 Tubingen, Germany.</t>
  </si>
  <si>
    <t>Dippold, Michaela A/C-1548-2017</t>
  </si>
  <si>
    <t>Dippold, Michaela/0000-0002-3657-4693</t>
  </si>
  <si>
    <t>Deutsche Forschungsgemeinschaft (DFG) [KU-1184/35-1]; State Assignment of Federal Scientific Centre, Pushchino Scientific Centre of Biological Research of RAS [AAAA-A18-118013190177-9]; National Natural Science Foundation of China [31700455, 41301316]; National Key Technologies R &amp; D Program of China [2018YFD0300103-4-2]; Government Program of Competitive Growth of Kazan Federal University; CarboRus [075-15-2021-610]; Stability and Functions of Soil Carbon in Agroecosystems of Russia, and the West-Siberian Interregional Science and Education Center's [89-DON]</t>
  </si>
  <si>
    <t>Deutsche Forschungsgemeinschaft (DFG)(German Research Foundation (DFG)); State Assignment of Federal Scientific Centre, Pushchino Scientific Centre of Biological Research of RAS; National Natural Science Foundation of China(National Natural Science Foundation of China (NSFC)); National Key Technologies R &amp; D Program of China(National Key Technology R&amp;D Program); Government Program of Competitive Growth of Kazan Federal University; CarboRus; Stability and Functions of Soil Carbon in Agroecosystems of Russia, and the West-Siberian Interregional Science and Education Center's</t>
  </si>
  <si>
    <t>This work was supported by Deutsche Forschungsgemeinschaft (DFG; KU-1184/35-1) , the State Assignment of Federal Scientific Centre, Pushchino Scientific Centre of Biological Research of RAS (#AAAA-A18-118013190177-9) , the National Natural Science Foundation of China (31700455 and 41301316) and National Key Technologies R &amp; D Program of China (2018YFD0300103-4-2) . The publication was pre-pared with the support of the RUDN University Strategic Academic Leadership program and the Government Program of Competitive Growth of Kazan Federal University. The research was supported by the Project CarboRus (075-15-2021-610) : Stability and Functions of Soil Carbon in Agroecosystems of Russia, and the West-Siberian Interregional Science and Education Center's (project No. 89-DON) .</t>
  </si>
  <si>
    <t>0341-8162</t>
  </si>
  <si>
    <t>1872-6887</t>
  </si>
  <si>
    <t>Catena</t>
  </si>
  <si>
    <t>10.1016/j.catena.2022.106226</t>
  </si>
  <si>
    <t>Geosciences, Multidisciplinary; Soil Science; Water Resources</t>
  </si>
  <si>
    <t>Geology; Agriculture; Water Resources</t>
  </si>
  <si>
    <t>1J7FF</t>
  </si>
  <si>
    <t>WOS:000798080300002</t>
  </si>
  <si>
    <t>Fan, LC; Shao, GD; Pang, YH; Dai, HC; Zhang, L; Yan, P; Zou, ZH; Zhang, Z; Xu, JC; Zamanian, K; Dorodnikov, M; Li, X; Gui, H; Han, WY</t>
  </si>
  <si>
    <t>Fan, Lichao; Shao, Guodong; Pang, Yinghua; Dai, Hongcui; Zhang, Lan; Yan, Peng; Zou, Zhenhao; Zhang, Zheng; Xu, Jianchu; Zamanian, Kazem; Dorodnikov, Maxim; Li, Xin; Gui, Heng; Han, Wenyan</t>
  </si>
  <si>
    <t>Enhanced soil quality after forest conversion to vegetable cropland and tea plantations has contrasting effects on soil microbial structure and functions</t>
  </si>
  <si>
    <t>Land-use change; Soil quality; Fertility; Microbial diversity; Co-occurrence network; C and N cycling; Agricultural management</t>
  </si>
  <si>
    <t>BACTERIAL COMMUNITIES; TROPICAL FOREST; CARBON; BIOMASS; GARDENS; PH</t>
  </si>
  <si>
    <t>Land-use changes could potentially exert a strong influence on soil quality and soil microbial communities. Moreover, microbial taxa are also important drivers of soil ecological functions. However, the linkage between soil quality and soil microbial communities is in need of deeper understanding. Here, we examined the effects of soil fertility quality on microbial community structure that identified by pyrosequencing and functions that predicted by the FAPROTAX functional annotations dataset after forest conversion to vegetable cropland and tea plantations. Soil quality index was significantly increased after natural forest (0.2) conversion to vegetable cropland (0.7) and tea plantations (0.3-0.6). Soil bacterial beta diversity significantly correlated to soil quality index, but the sensitivity of individual microbial groups varied in response to changes in soil quality. Higher soil quality promoted bacterial diversity in vegetable cropland but decreased it in tea plantations, which implied soil quality was a structural factor in bacterial community composition but had contrasting effects for croplands versus plantations. Agricultural management played a negative role in maintaining microbial interactions, as identified by the network analysis, and furthermore the analysis revealed key functions of the microbial communities. After land-use change, the abundance (e.g., level, intensity) of microbial groups involved in N-cycling increased in tea plantations but decreased in vegetable cropland. The abundance of microbes involved in Ccycling featured an opposite trend. Higher level of N-fixation in tea plantations but the higher abundance of Noxidation in vegetable cropland was demonstrated. Higher abundance of ammonia-oxidizing bacteria (8.5 x 10(4) vs. 0.9-2.4 x 10(4) copies) and ammonia-oxidizing archaea (3.0 x 10(5) vs. 0.5-1.0 x 10(5) copies) as identified by qPCR in cropland than that in plantations corroborated the FAPROTAX prediction. Therefore, the key taxa of soil microbial communities and microbial functions were largely dependent on changes in soil quality and determined responses to specific agricultural management.</t>
  </si>
  <si>
    <t>Fan, Lichao</t>
  </si>
  <si>
    <t>[Fan, Lichao; Zhang, Lan; Yan, Peng; Zou, Zhenhao; Zhang, Zheng; Li, Xin; Han, Wenyan] Chinese Acad Agr Sci, Tea Res Inst, Hangzhou 310008, Peoples R China; [Fan, Lichao; Zamanian, Kazem; Dorodnikov, Maxim] Univ Gottingen, Dept Soil Sci Temperate Ecosyst, D-37077 Gottingen, Germany; [Shao, Guodong] Univ Gottingen, Fac Forest Sci &amp; Forest Ecol, Dept Soil Sci Trop &amp; Subtrop Ecosyst, D-37077 Gottingen, Germany; [Pang, Yinghua] Bur Agr &amp; Rural Affairs Yuhang Dist, Hangzhou 310008, Peoples R China; [Dai, Hongcui] Shandong Acad Agr Sci, Crop Res Inst, Jinan 250100, Peoples R China; [Xu, Jianchu; Gui, Heng] Chinese Acad Sci, Kunming Inst Bot, Yunnan Key Lab Wild Plant Resources, Dept Econ Plants &amp; Biotechnol, Kunming 650201, Yunnan, Peoples R China; [Xu, Jianchu; Gui, Heng] Chinese Acad Sci, Kunming Inst Bot, Ctr Mt Futures, Kunming 650201, Yunnan, Peoples R China; [Zamanian, Kazem] Nanjing Univ Informat Sci &amp; Technol, Sch Geog Sci, Ningliu Rd 219, Nanjing 210044, Peoples R China; [Dorodnikov, Maxim] Univ Gottingen, Biogeochem Agr Ecosyst, D-37077 Gottingen, Germany</t>
  </si>
  <si>
    <t>Chinese Academy of Agricultural Sciences; Tea Research Institute, CAAS; University of Gottingen; University of Gottingen; Shandong Academy of Agricultural Sciences; Chinese Academy of Sciences; Kunming Institute of Botany, CAS; Chinese Academy of Sciences; Kunming Institute of Botany, CAS; Nanjing University of Information Science &amp; Technology; University of Gottingen</t>
  </si>
  <si>
    <t>Li, X; Gui, H; Han, WY (通讯作者)，Chinese Acad Agr Sci, Tea Res Inst, Hangzhou 310008, Peoples R China.;Li, X; Gui, H; Han, WY (通讯作者)，Chinese Acad Sci, Kunming Inst Bot, Kunming 650201, Yunnan, Peoples R China.</t>
  </si>
  <si>
    <t>lixin@tricaas.com; Guiheng@mail.kib.ac.cn; hanwy@tricaas.com</t>
  </si>
  <si>
    <t>Dorodnikov, Maxim/AAE-7764-2020</t>
  </si>
  <si>
    <t>Dorodnikov, Maxim/0000-0002-7834-890X; Shao, Guodong/0000-0001-7122-1319</t>
  </si>
  <si>
    <t>National Key R&amp;D Program of China [2017YFE0107500]; National Natural Science of China (NSFC) [32001296]; Research Fund for International Young Scientists of National Natural Science of China [42050410320]; government of Shandong Province</t>
  </si>
  <si>
    <t>National Key R&amp;D Program of China; National Natural Science of China (NSFC)(National Natural Science Foundation of China (NSFC)); Research Fund for International Young Scientists of National Natural Science of China; government of Shandong Province</t>
  </si>
  <si>
    <t>&amp; nbsp;This research was supported by the National Key R&amp;D Program of China (2017YFE0107500) . Heng Gui would like to thank the support from the National Natural Science of China (NSFC Grant number: 32001296) . Kazem Zamanian would like to thank the Research Fund for International Young Scientists of National Natural Science of China to K. Z. (Grant number: 42050410320) . Funding for study abroad program by the government of Shandong Province for financial support for Dr. Hongcui Dai</t>
  </si>
  <si>
    <t>10.1016/j.catena.2022.106029</t>
  </si>
  <si>
    <t>0Y5PV</t>
  </si>
  <si>
    <t>WOS:000790443600003</t>
  </si>
  <si>
    <t>Gao, XK; Li, XJ; Chen, CA; Wang, C; Fu, YQ; Zheng, ZZ; Shi, M; Hao, XL; Zhao, LM; Qiu, MH; Kai, GY; Zhou, W</t>
  </si>
  <si>
    <t>Gao, Xiankui; Li, Xiujuan; Chen, Chengan; Wang, Can; Fu, Yuqi; Zheng, ZiZhen; Shi, Min; Hao, Xiaolong; Zhao, Limei; Qiu, Minghua; Kai, Guoyin; Zhou, Wei</t>
  </si>
  <si>
    <t>Mining of the CULLIN E3 ubiquitin ligase genes in the whole genome of Salvia miltiorrhiza</t>
  </si>
  <si>
    <t>CURRENT RESEARCH IN FOOD SCIENCE</t>
  </si>
  <si>
    <t>Salvia miltiorrhiza; Gene family; Expression pattern; Phenolic acid; Tanshinone CULLIN E3 ubiquitin ligase</t>
  </si>
  <si>
    <t>PROTEASOME SYSTEM; ARABIDOPSIS; BIOSYNTHESIS; DEGRADATION; SUBSTRATE; SEQUENCE; ADAPTERS</t>
  </si>
  <si>
    <t>CULLIN (CUL) proteins are E3 ubiquitin ligases that are involved in a wide variety of biological processes as well as in response to stress in plants. In Salvia miltiorrhiza, CUL genes have not been characterized and its role in plant development, stress response and secondary metabolite synthesis have not been studied. In this study, genomewide analyses were performed to identify and to predict the structure and function of CUL of S. miltiorrhiza. Eight CUL genes were identified from the genome of S. miltiorrhiza. The CUL genes were clustered into four subgroups according to phylogenetic relationships. The CUL domain was highly conserved across the family of CUL genes. Analysis of cis-acting elements suggested that CUL genes might play important roles in a variety of biological processes, including abscission reaction acid (ABA) processing. To investigate this hypothesis, we treated hairy roots of S. miltiorrhiza with ABA. The expression of CUL genes varied obviously after ABA treatment. Coexpression network results indicated that three CUL genes might be involved in the biosynthesis of phenolic acid or tanshinone. In summary, the mining of the CUL genes in the whole genome of S. miltiorrhiza contribute novel information to the understanding of the CUL genes and its functional roles in plant secondary metabolites, growth and development.</t>
  </si>
  <si>
    <t>Gao, Xiankui</t>
  </si>
  <si>
    <t>[Gao, Xiankui; Li, Xiujuan; Chen, Chengan; Wang, Can; Fu, Yuqi; Zheng, ZiZhen; Shi, Min; Hao, Xiaolong; Zhao, Limei; Kai, Guoyin; Zhou, Wei] Zhejiang Chinese Med Univ, Sch Pharmaceut Sci, Lab Core Technol TCM Qual Improvement &amp; Transform, Hangzhou 311402, Zhejiang, Peoples R China; [Qiu, Minghua] Chinese Acad Sci, Kunming Inst Bot, State Key Lab Phytochem &amp; Plant Resources West Ch, Kunming 650201, Yunnan, Peoples R China</t>
  </si>
  <si>
    <t>Zhejiang Chinese Medical University; Chinese Academy of Sciences; Kunming Institute of Botany, CAS</t>
  </si>
  <si>
    <t>Kai, GY; Zhou, W (通讯作者)，Zhejiang Chinese Med Univ, Sch Pharmaceut Sci, Gaoke Rd, Hangzhou 311402, Zhejiang, Peoples R China.</t>
  </si>
  <si>
    <t>guoyinkai1@126.com; zhouwei19810501@163.com</t>
  </si>
  <si>
    <t>Key Scientific and Technological Grant of Zhejiang for Breeding New Agricultural Var1eties [2021C02074-3]; Zhejiang Provincial Natural Science Foundation of China [LY20H280008]; National Natural Science Foundation of China [82003888, 82073963, 81522049, 82003889]; Research Projects of Zhejiang Chinese Medical University [2021JKZKTS011A, 2021JKZDZC06, 2020010, YB20023]; 'Sannongliufang' Research Joint Project of Zhejiang Province [2021SNLF019]</t>
  </si>
  <si>
    <t>Key Scientific and Technological Grant of Zhejiang for Breeding New Agricultural Var1eties; Zhejiang Provincial Natural Science Foundation of China(Natural Science Foundation of Zhejiang Province); National Natural Science Foundation of China(National Natural Science Foundation of China (NSFC)); Research Projects of Zhejiang Chinese Medical University; 'Sannongliufang' Research Joint Project of Zhejiang Province</t>
  </si>
  <si>
    <t>This work was supported by the Key Scientific and Technological Grant of Zhejiang for Breeding New Agricultural Var1eties (2021C02074-3), Zhejiang Provincial Natural Science Foundation of China (LY20H280008), National Natural Science Foundation of China (82003888, 82073963, 81522049, 82003889), Research Projects of Zhejiang Chinese Medical University (2021JKZKTS011A, 2021JKZDZC06, 2020010 and YB20023) and 'Sannongliufang' Research Joint Project of Zhejiang Province (2021SNLF019). The authors gratefully acknowledge the great experimental support of the Public Platform of Medical Research Center, Academy of Chinese Medical Science, Zhejiang Chinese Medical University.</t>
  </si>
  <si>
    <t>2665-9271</t>
  </si>
  <si>
    <t>CURR RES FOOD SCI</t>
  </si>
  <si>
    <t>Curr. Res. Food Sci.</t>
  </si>
  <si>
    <t>10.1016/j.crfs.2022.10.011</t>
  </si>
  <si>
    <t>http://dx.doi.org/10.1016/j.crfs.2022.10.011</t>
  </si>
  <si>
    <t>7Z5XX</t>
  </si>
  <si>
    <t>Green Accepted, gold</t>
  </si>
  <si>
    <t>WOS:000915633300005</t>
  </si>
  <si>
    <t>Lou, HY; Ma, FW; Yi, P; Hu, ZX; Gu, W; Huang, LJ; He, WW; Yuan, CM; Hao, XJ</t>
  </si>
  <si>
    <t>Lou, Huayong; Ma, Fengwei; Yi, Ping; Hu, Zhanxing; Gu, Wei; Huang, Liejun; He, Wenwen; Yuan, Chunmao; Hao, Xiaojiang</t>
  </si>
  <si>
    <t>Bioassay and UPLC-Q-Orbitrap-MS/MS guided isolation of polycyclic polyprenylated acylphloroglucinols from St. John's wort and their neuroprotective activity</t>
  </si>
  <si>
    <t>ARABIAN JOURNAL OF CHEMISTRY</t>
  </si>
  <si>
    <t>St; John?s wort; Dietary supplement; Polycyclic polyprenylated acylphloroglucinols; Hyperforen A; Neuroprotective effects</t>
  </si>
  <si>
    <t>HYPERICUM-PERFORATUM L.; ANTIDEPRESSANT-LIKE ACTIVITY; ELECTROSPRAY-IONIZATION; HYPERFORIN; DERIVATIVES; DEPRESSION</t>
  </si>
  <si>
    <t>St. John's wort (Hypericum perforatum L.) is a popular dietary supplement ingredient used for the treatment of mild-to-moderate depression in the United States and Germany. Reported studies mainly focused on the biological evaluation and mechanism study of its crude extracts or two main components (namely, hypericin and hyperforin). However, it is unclear whether other phytochemicals including polycyclic polyprenylated acylphloroglucinols (PPAPs) contributed to the neuroprotective effects of H. perforatum. Here, bioassay and ultra performance liquid chromatography-quadrupole orbitrap mass spectrometry (UPLC-Q-Orbitrap-MS/MS) guided iso-lation were applied to discover bioactive PPAPs from the crude extracts of H. perforatum. A new PPAP, named hyperforen A (2), along with nine known PPAPs (1 and 3-10), were identified from an ethyl acetate extract of H. perforatum. To the best of our knowledge, compound 2 represents the first PPAP with an unprecedented bicyclo[7.3.0]dodecane core. The chemical structures of the iso-lates were elucidated by extensive spectroscopic analysis and electronic circular dichroism calcula-tions. Moreover, compounds 1-3, 6, and 10 (10 lM) exhibited significant neuroprotective effects against corticosterone-induced injury in PC12 cells. Fingings from the current study suggest that bioactive PPAPs from H. perforatum are promising compouds for the management of depression. (c) 2022 The Author(s). Published by Elsevier B.V. on behalf of King Saud University. This is an open access article under the CC BY-NC-ND license (http://creativecommons.org/licenses/by-nc-nd/4.0/).</t>
  </si>
  <si>
    <t>Lou, Huayong</t>
  </si>
  <si>
    <t>[Lou, Huayong; Ma, Fengwei; Yi, Ping; Hu, Zhanxing; Gu, Wei; Huang, Liejun; He, Wenwen; Yuan, Chunmao; Hao, Xiaojiang] Guizhou Med Univ, State Key Lab Funct &amp; Applicat Med Plants, Guiyang 550014, Peoples R China; [Lou, Huayong; Ma, Fengwei; Yi, Ping; Hu, Zhanxing; Gu, Wei; Huang, Liejun; He, Wenwen; Yuan, Chunmao; Hao, Xiaojiang] Key Lab Chem Nat Prod Guizhou Prov, Guiyang 550014, Peoples R China; [Lou, Huayong; Ma, Fengwei; Yi, Ping; Hu, Zhanxing; Gu, Wei; Huang, Liejun; He, Wenwen; Yuan, Chunmao; Hao, Xiaojiang] Chinese Acad Sci, Guizhou Prov Engn Res Ctr Nat Drugs, Guiyang 550014, Peoples R China; [Hao, Xiaojiang] Chinese Acad Sci, State Key Lab Phytochem &amp; Plant Resources West Chi, Kunming Inst Bot, Kunming 650201, Peoples R China</t>
  </si>
  <si>
    <t>Guizhou Medical University; Chinese Academy of Sciences; Chinese Academy of Sciences; Kunming Institute of Botany, CAS</t>
  </si>
  <si>
    <t>Yuan, CM; Hao, XJ (通讯作者)，Guizhou Med Univ, State Key Lab Funct &amp; Applicat Med Plants, Guiyang 550014, Peoples R China.;Yuan, CM; Hao, XJ (通讯作者)，Key Lab Chem Nat Prod Guizhou Prov, Guiyang 550014, Peoples R China.;Yuan, CM; Hao, XJ (通讯作者)，Chinese Acad Sci, Guizhou Prov Engn Res Ctr Nat Drugs, Guiyang 550014, Peoples R China.;Hao, XJ (通讯作者)，Chinese Acad Sci, State Key Lab Phytochem &amp; Plant Resources West Chi, Kunming Inst Bot, Kunming 650201, Peoples R China.</t>
  </si>
  <si>
    <t>yuanchunmao01@126.com; haoxj@mail.kib.ac.cn</t>
  </si>
  <si>
    <t>Science and Technology Department of Guizhou Province [QKH 2020-1Z076]; National Natural Science Foundation of China (NSFC) [31960087, U1812403, 81760630]; 13th Batch of Outstanding Young Scientific and Technological Talents in Guizhou Province [QKHPTRC [2021]5633]; High-level Innovative Talents in Guiz-hou Province (Thousand Levels of Talent for Chunmao Yuan in 2018); Cultivation project of National Natural Science Foundation of Guizhou Medical University; Light of the West Talent Cultivation Program of Chinese Academy of Sciences [RZ [2020]82]</t>
  </si>
  <si>
    <t>Science and Technology Department of Guizhou Province; National Natural Science Foundation of China (NSFC)(National Natural Science Foundation of China (NSFC)); 13th Batch of Outstanding Young Scientific and Technological Talents in Guizhou Province; High-level Innovative Talents in Guiz-hou Province (Thousand Levels of Talent for Chunmao Yuan in 2018); Cultivation project of National Natural Science Foundation of Guizhou Medical University; Light of the West Talent Cultivation Program of Chinese Academy of Sciences</t>
  </si>
  <si>
    <t>This research was financially supported by the Science and Technology Department of Guizhou Province (QKH 2020-1Z076), the National Natural Science Foundation of China (NSFC, 31960087, U1812403, and 81760630), the 13th Batch of Outstanding Young Scientific and Technological Talents in Guizhou Province (QKHPTRC [2021]5633), the Science and Technology Plan of Guizhou Province (Grant No. QKHZC [2018]2824), High-level Innovative Talents in Guiz-hou Province (Thousand Levels of Talent for Chunmao Yuan in 2018), Cultivation project of National Natural Science Foundation of Guizhou Medical University (For Chunmao Yuan), and Light of the West Talent Cultivation Program of Chinese Academy of Sciences for Chunmao Yuan (RZ [2020]82).</t>
  </si>
  <si>
    <t>1878-5352</t>
  </si>
  <si>
    <t>1878-5379</t>
  </si>
  <si>
    <t>ARAB J CHEM</t>
  </si>
  <si>
    <t>Arab. J. Chem.</t>
  </si>
  <si>
    <t>10.1016/j.arabjc.2022.104057</t>
  </si>
  <si>
    <t>5X8VF</t>
  </si>
  <si>
    <t>WOS:000878873700004</t>
  </si>
  <si>
    <t>Wang, MM; Li, YN; Ming, WK; Wu, PF; Yi, P; Gong, ZP; Hao, XJ; Yuan, CM</t>
  </si>
  <si>
    <t>Wang, Miao-Miao; Li, Ya-Nan; Ming, Wei-Kang; Wu, Pan-Feng; Yi, Ping; Gong, Zi-Peng; Hao, Xiao-Jiang; Yuan, Chun-Mao</t>
  </si>
  <si>
    <t>Bioassay-guided isolation of human carboxylesterase 2 inhibitory and antioxidant constituents from Laportea bulbifera: Inhibition interactions and molecular mechanism</t>
  </si>
  <si>
    <t>Laportea bulbifera (Sieb. et.Zucc.) Wedd; Bioassay-guided isolation; COX-2 selective inhibitors; Structure-activity relationships; Enzyme kinetics; Molecular simulation</t>
  </si>
  <si>
    <t>URTICA-DENTATA HAND; CHEMICAL-CONSTITUENTS; TOTAL COUMARINS; FLAVONOIDS; EXTRACT; SESQUITERPENE; MELANOGENESIS; INFLAMMATION; POLYPHENOLS; DOCKING</t>
  </si>
  <si>
    <t>Laportea bulbifera (Sieb. et. Zucc.) Wedd has long been utilized in Traditional Chinese Medicines (TCM) for the treatment of rheumatoid arthritis. However, the study of systematic anti-inflammatory chemical constituents in L. bulbifera has never been reported. Thus, bioassay-guided isolation for its roots part led to 46 compounds, including 38 phenolic derivatives. Their structures were determined on the basis of H-1 and C-13 NMR and MS spectra. All compounds were isolated from L. bulbifera for the first time except for 13 compounds. Most of the compounds showed good COX-2 inhibitory activity (IC50: 0.13-3.94 mu M) and DPPH radical-scavenging activity (IC50: 1.57-9.55 mu M). Four compounds (4, 17, 35, and 43) with different skeletons showed preferential COX-2 over COX-1 inhibition with selective indices ranging from 12 to 171. High content active compounds are important for elucidating the basis of the active substance of TCM. Com-pound 4 (COX-2, IC50 0.24 mu M), a high content compound, represented one of the best selective COX-2 inhibitors. Another high content active compound (35) with a different skeleton might have different mechanism. Further study for the inhibition kinetics against COX-2 indicated compounds 4 and 35 were noncompetitive and competitive COX-2 inhibitors, respectively. Moreover, molecular docking and molecular dynamics simulation data further indicated that compound 4 could bind in the cavity of COX-2 and interacted with key residues VAL-538, PHE-142, and GLY-225 of COX-2 through hydrogen bonds. The results indicated that L. bulbifera roots could be applied as antioxidant and anti-inflammatory agents due to their potent selective COX-2 inhibitory and antioxidant activity of phenolic compounds. (c) 2022 The Author(s). Published by Elsevier B.V. on behalf of King Saud University. This is an open access article under the CC BY-NC-ND license (http://creativecommons.org/licenses/by-nc-nd/4.0/).</t>
  </si>
  <si>
    <t>Wang, Miao-Miao</t>
  </si>
  <si>
    <t>[Wang, Miao-Miao; Li, Ya-Nan; Ming, Wei-Kang; Wu, Pan-Feng; Yi, Ping; Gong, Zi-Peng; Hao, Xiao-Jiang; Yuan, Chun-Mao] Guizhou Med Univ, State Key Lab Funct &amp; Applicat Med Plants, Guiyang 550014, Peoples R China; [Wang, Miao-Miao; Li, Ya-Nan; Ming, Wei-Kang; Wu, Pan-Feng; Yi, Ping; Gong, Zi-Peng; Hao, Xiao-Jiang; Yuan, Chun-Mao] Guizhou Med Univ, Sch Pharmacuet Sci, Guiyang 550014, Peoples R China; [Wang, Miao-Miao; Li, Ya-Nan; Ming, Wei-Kang; Wu, Pan-Feng; Yi, Ping; Hao, Xiao-Jiang; Yuan, Chun-Mao] Key Lab Chem Nat Prod Guizhou Prov, Guiyang 550014, Peoples R China; [Wang, Miao-Miao; Li, Ya-Nan; Ming, Wei-Kang; Wu, Pan-Feng; Yi, Ping; Hao, Xiao-Jiang; Yuan, Chun-Mao] Chinese Acad Sci, Guiyang 550014, Peoples R China; [Hao, Xiao-Jiang] Chinese Acad Sci, Kunming Inst Bot, State Key Lab Phytochem &amp; Plant Resources West Ch, Kunming 650201, Yunnan, Peoples R China</t>
  </si>
  <si>
    <t>Guizhou Medical University; Guizhou Medical University; Chinese Academy of Sciences; Chinese Academy of Sciences; Kunming Institute of Botany, CAS</t>
  </si>
  <si>
    <t>Hao, XJ; Yuan, CM (通讯作者)，Guizhou Med Univ, State Key Lab Funct &amp; Applicat Med Plants, Guiyang 550014, Peoples R China.;Hao, XJ; Yuan, CM (通讯作者)，Guizhou Med Univ, Sch Pharmacuet Sci, Guiyang 550014, Peoples R China.;Hao, XJ; Yuan, CM (通讯作者)，Key Lab Chem Nat Prod Guizhou Prov, Guiyang 550014, Peoples R China.;Hao, XJ; Yuan, CM (通讯作者)，Chinese Acad Sci, Guiyang 550014, Peoples R China.;Hao, XJ (通讯作者)，Chinese Acad Sci, Kunming Inst Bot, State Key Lab Phytochem &amp; Plant Resources West Ch, Kunming 650201, Yunnan, Peoples R China.</t>
  </si>
  <si>
    <t>haoxj@mail.kib.ac.cn; yuanchunmao01@126.com</t>
  </si>
  <si>
    <t>Gong, Zipeng/AAD-2686-2019</t>
  </si>
  <si>
    <t>National Natural Science Foundation of China [U1812403]; 13th Batch of Outstanding Young Scientific and Technological Talents in Guizhou Province [QKHPTRC [2021]5633]; Natural Science and Technology Foundation of Guizhou Province [J[2019]1216]; Guiyang Science and Technology Bureau [[2021] 43-12]; High-level Innovative Talents in Guizhou Province (Thousand Levels of Talent for Chunmao Yuan in 2018); Light of the WestTalent Cultivation Program of Chinese Academy of Sciences [RZ [2020]82)]</t>
  </si>
  <si>
    <t>National Natural Science Foundation of China(National Natural Science Foundation of China (NSFC)); 13th Batch of Outstanding Young Scientific and Technological Talents in Guizhou Province; Natural Science and Technology Foundation of Guizhou Province; Guiyang Science and Technology Bureau; High-level Innovative Talents in Guizhou Province (Thousand Levels of Talent for Chunmao Yuan in 2018); Light of the WestTalent Cultivation Program of Chinese Academy of Sciences</t>
  </si>
  <si>
    <t>The work was financially supported by the National Natural Science Foundation of China (U1812403), the 13th Batch of Outstanding Young Scientific and Technological Talents in Guizhou Province (QKHPTRC [2021]5633), Natural Science and Technology Foundation of Guizhou Province (J[2019]1216), Guiyang Science and Technology Bureau ([2021] 43-12), High-level Innovative Talents in Guizhou Province (Thousand Levels of Talent for Chunmao Yuan in 2018), and Light of the WestTalent Cultivation Program of Chinese Academy of Sciences for Chunmao Yuan (RZ [2020]82)]</t>
  </si>
  <si>
    <t>RADARWEG 29a, 1043 NX AMSTERDAM, NETHERLANDS</t>
  </si>
  <si>
    <t>10.1016/j.arabjc.2022.103723</t>
  </si>
  <si>
    <t>0G0VI</t>
  </si>
  <si>
    <t>WOS:000777772200004</t>
  </si>
  <si>
    <t>Ling, JW; Chan, CL; Ho, CY; Gao, X; Tsang, SM; Leung, PC; Hu, JM; Wong, CK</t>
  </si>
  <si>
    <t>Ling, Jiawei; Chan, Chung-Lap; Ho, Chi-Yan; Gao, Xun; Tsang, Sin-Man; Leung, Ping-Chung; Hu, Jiang-Miao; Wong, Chun-Kwok</t>
  </si>
  <si>
    <t>The Extracts of Dendrobium Alleviate Dry Eye Disease in Rat Model by Regulating Aquaporin Expression and MAPKs/NF-kappa B Signalling</t>
  </si>
  <si>
    <t>INTERNATIONAL JOURNAL OF MOLECULAR SCIENCES</t>
  </si>
  <si>
    <t>dry eye disease; Dendrobium; aquaporin; scopolamine; human cornea keratocytes</t>
  </si>
  <si>
    <t>TNF-ALPHA; ACTIVATION; CLASSIFICATION; INFLAMMATION; DEFINITION; IL-1-BETA; APOPTOSIS; PATHWAYS; STRESS; MMP-9</t>
  </si>
  <si>
    <t>Dry eye is one of the most common ocular surface diseases caused by tear film instability and ocular surface damage due to an abnormal quality or quantity of tears. Inflammatory factors can initiate relevant transduction signalling pathways and trigger the inflammatory cascade response, resulting in ocular surface inflammation. It has been shown that the active ingredients in Dendrobium, such as polysaccharides, alkaloids and phenols, have anti-inflammatory, anti-tumour and immunity-boosting effects, and Dendrobium officinale extract can improve glandular secretion function, increase salivary secretion and increase the expression level of water channel protein in salivary glands in patients with dry eye syndromes. We investigated the in vitro cytoprotective effect of Dendrobium extracts in sodium chloride induced hyperosmotic conditions in human cornea keratocytes (HKs). Results showed that Dendrobium officinale Kimura et Migo water extract (DOW) and Dendrobium loddigesii Rolfe water extract (DLW) could upregulate the expression of aquaporins (AQP)5 protein, thus exerting a repairing effect by promoting cell migration. Furthermore, oral administration of DOW and DLW enhanced tear production in rats and exerted a protective effect on ocular surface damage. DOW and DLW could upregulate the expression of AQP5 and mucin (muc)5ac proteins in the lacrimal gland and reduce the inflammatory response. DOW and DLW inhibited the activation of the corresponding mitogen-activated protein kinases (MAPK) and NF-KB pathway, thereby playing a role in improving dry eye symptoms. This study provides a new perspective on dry eye treatment, and DOW and DLW may be potential therapeutic agents for dry eye.</t>
  </si>
  <si>
    <t>Ling, Jiawei</t>
  </si>
  <si>
    <t>[Ling, Jiawei; Chan, Chung-Lap; Ho, Chi-Yan; Tsang, Sin-Man; Leung, Ping-Chung; Wong, Chun-Kwok] Chinese Univ Hong Kong, Inst Chinese Med, State Key Lab Res Bioact, Clin Applicat Med Plants, Hong Kong, Peoples R China; [Gao, Xun] Southeast Univ, Zhongda Hosp, Ctr Clin Lab Med, Nanjing 211189, Peoples R China; [Gao, Xun; Tsang, Sin-Man; Wong, Chun-Kwok] Chinese Univ Hong Kong, Prince Wales Hosp, Dept Chem Pathol, Hong Kong, Peoples R China; [Hu, Jiang-Miao] Chinese Acad Sci, Kunming Inst Bot, State Key Lab Phytochem &amp; Plant Resources West Ch, Kunming 650204, Yunnan, Peoples R China; [Wong, Chun-Kwok] Chinese Univ Hong Kong, Li Dak Sum Yip Yio Chin R&amp;D Ctr Chinese Med, Hong Kong, Peoples R China</t>
  </si>
  <si>
    <t>Chinese University of Hong Kong; Southeast University - China; Chinese University of Hong Kong; Prince of Wales Hospital; Chinese Academy of Sciences; Kunming Institute of Botany, CAS; Chinese University of Hong Kong</t>
  </si>
  <si>
    <t>Wong, CK (通讯作者)，Chinese Univ Hong Kong, Inst Chinese Med, State Key Lab Res Bioact, Clin Applicat Med Plants, Hong Kong, Peoples R China.;Wong, CK (通讯作者)，Chinese Univ Hong Kong, Prince Wales Hosp, Dept Chem Pathol, Hong Kong, Peoples R China.;Wong, CK (通讯作者)，Chinese Univ Hong Kong, Li Dak Sum Yip Yio Chin R&amp;D Ctr Chinese Med, Hong Kong, Peoples R China.</t>
  </si>
  <si>
    <t>ck-wong@cuhk.edu.hk</t>
  </si>
  <si>
    <t>ling, jiawei/GRF-2566-2022</t>
  </si>
  <si>
    <t>ling, jiawei/0000-0002-7252-217X</t>
  </si>
  <si>
    <t>State Key Laboratory of Research on Bioactivities and Clinical Applications of Medicinal Plants, CUHK; Innovation and Technology Commission, Hong Kong; Li Dak Sum Yip Yio Chin R&amp;D Centre for Chinese Medicine; Chinese University of Hong Kong</t>
  </si>
  <si>
    <t>State Key Laboratory of Research on Bioactivities and Clinical Applications of Medicinal Plants, CUHK; Innovation and Technology Commission, Hong Kong; Li Dak Sum Yip Yio Chin R&amp;D Centre for Chinese Medicine; Chinese University of Hong Kong(Chinese University of Hong Kong)</t>
  </si>
  <si>
    <t>This study was supported by the State Key Laboratory of Research on Bioactivities and Clinical Applications of Medicinal Plants, CUHK, by the Innovation and Technology Commission, Hong Kong, and by funding from the Li Dak Sum Yip Yio Chin R&amp;D Centre for Chinese Medicine, the Chinese University of Hong Kong.</t>
  </si>
  <si>
    <t>1422-0067</t>
  </si>
  <si>
    <t>INT J MOL SCI</t>
  </si>
  <si>
    <t>Int. J. Mol. Sci.</t>
  </si>
  <si>
    <t>10.3390/ijms231911195</t>
  </si>
  <si>
    <t>Biochemistry &amp; Molecular Biology; Chemistry, Multidisciplinary</t>
  </si>
  <si>
    <t>Biochemistry &amp; Molecular Biology; Chemistry</t>
  </si>
  <si>
    <t>5H6HU</t>
  </si>
  <si>
    <t>WOS:000867779100001</t>
  </si>
  <si>
    <t>Yang, JY; Li, LX; Zhang, X; Wu, SB; Han, XH; Li, X; Xu, JC</t>
  </si>
  <si>
    <t>Yang, Jingya; Li, Lingxiong; Zhang, Xiong; Wu, Shibo; Han, Xiaohui; Li, Xiong; Xu, Jianchu</t>
  </si>
  <si>
    <t>Comparative Transcriptomics Analysis of Roots and Leaves under Cd Stress in Calotropis gigantea L.</t>
  </si>
  <si>
    <t>cadmium stress; Calotropis gigantea; phytoremediation; transcriptome; antioxidant system; metallothionein</t>
  </si>
  <si>
    <t>HEAVY-METALS; ANTIOXIDATIVE DEFENSES; CADMIUM ACCUMULATION; CONTAMINATED SOILS; EXPRESSION; TOLERANCE; PROCERA; METALLOTHIONEIN; IDENTIFICATION; TRANSPORTER</t>
  </si>
  <si>
    <t>Calotropis gigantea is often found in mining areas with heavy metal pollution. However, little is known about the physiological and molecular response mechanism of C. gigantea to Cd stress. In the present study, Cd tolerance characteristic of C. gigantea and the potential mechanisms were explored. Seed germination test results showed that C. gigantea had a certain Cd tolerance capacity. Biochemical and transcriptomic analysis indicated that the roots and leaves of C. gigantea had different responses to early Cd stress. A total of 176 and 1618 DEGs were identified in the roots and leaves of C. gigantea treated with Cd compared to the control samples, respectively. Results indicated that oxidative stress was mainly initiated in the roots of C. gigantea, whereas the leaves activated several Cd detoxification processes to cope with Cd, including the upregulation of genes involved in Cd transport (i.e., absorption, efflux, or compartmentalization), cell wall remodeling, antioxidant system, and chelation. This study provides preliminary information to understand how C. gigantea respond to Cd stress, which is useful for evaluating the potential of C. gigantea in the remediation of Cd-contaminated soils.</t>
  </si>
  <si>
    <t>[Yang, Jingya; Zhang, Xiong; Wu, Shibo; Han, Xiaohui; Li, Xiong; Xu, Jianchu] Chinese Acad Sci, Kunming Inst Bot, Dept Econ Plants &amp; Biotechnol, Yunnan Key Lab Wild Plant Resources, Kunming 650201, Yunnan, Peoples R China; [Yang, Jingya; Wu, Shibo; Han, Xiaohui] Univ Chinese Acad Sci, Beijing 100049, Peoples R China; [Yang, Jingya; Wu, Shibo; Han, Xiaohui; Li, Xiong; Xu, Jianchu] Chinese Acad Sci, Honghe Ctr Mt Futures, Kunming Inst Bot, Honghe 654400, Peoples R China; [Li, Lingxiong] Chinese Acad Sci, Kunming Inst Bot, Germplasm Bank Wild Species, Kunming 650201, Yunnan, Peoples R China; [Li, Lingxiong; Zhang, Xiong] Shaanxi Normal Univ, Coll Life Sci, Xian 710119, Peoples R China</t>
  </si>
  <si>
    <t>Chinese Academy of Sciences; Kunming Institute of Botany, CAS; Chinese Academy of Sciences; University of Chinese Academy of Sciences, CAS; Chinese Academy of Sciences; Kunming Institute of Botany, CAS; Chinese Academy of Sciences; Kunming Institute of Botany, CAS; Shaanxi Normal University</t>
  </si>
  <si>
    <t>Li, X; Xu, JC (通讯作者)，Chinese Acad Sci, Kunming Inst Bot, Dept Econ Plants &amp; Biotechnol, Yunnan Key Lab Wild Plant Resources, Kunming 650201, Yunnan, Peoples R China.;Li, X; Xu, JC (通讯作者)，Chinese Acad Sci, Honghe Ctr Mt Futures, Kunming Inst Bot, Honghe 654400, Peoples R China.</t>
  </si>
  <si>
    <t>yangjingya@mail.kib.ac.cn; lilingxiong@mail.kib.ac.cn; zhangxiong@mail.kib.ac.cn; wushibo@mail.kib.ac.cn; hanxiaohui@mail.kib.ac.cn; lixiong@mail.kib.ac.cn; jxu@mail.kib.ac.cn</t>
  </si>
  <si>
    <t>Youth Innovation Promotion Association CAS [2020387]; Yunnan Provincial Science and Technology Department [202003AD150004]</t>
  </si>
  <si>
    <t>Youth Innovation Promotion Association CAS; Yunnan Provincial Science and Technology Department</t>
  </si>
  <si>
    <t>This study was supported by the Youth Innovation Promotion Association CAS (Grant No. 2020387) and Yunnan Provincial Science and Technology Department (Grant number: 202003AD150004).</t>
  </si>
  <si>
    <t>10.3390/ijms23063329</t>
  </si>
  <si>
    <t>0C4YB</t>
  </si>
  <si>
    <t>WOS:000775319500001</t>
  </si>
  <si>
    <t>Jia, R; Li, C; Wang, YH; Qin, XS; Meng, LH; Sun, XD</t>
  </si>
  <si>
    <t>Jia, Ru; Li, Cheng; Wang, Yuhua; Qin, Xiangshi; Meng, Lihua; Sun, Xudong</t>
  </si>
  <si>
    <t>Genome-Wide Analysis of LBD Transcription Factor Genes in Dendrobium catenatum</t>
  </si>
  <si>
    <t>Dendrobium catenatum; LBD transcription factor family; phylogenetic analysis; expression profiles; phytohormone response</t>
  </si>
  <si>
    <t>LATERAL ROOT-FORMATION; LOB DOMAIN; EXPRESSION ANALYSIS; FAMILY; MEMBERS; IDENTIFICATION; PROTEINS; AUXIN</t>
  </si>
  <si>
    <t>The LATERAL ORGAN BOUNDARIES DOMAIN (LBD) gene family comprises plant-specific transcription factors that control cell proliferation and differentiation during growth and development in many plant species. However, to date, no studies of the LBD gene family in Dendrobium catenatum have been reported. In this study, a genome-wide analysis of LBD genes was performed in D. catenatum and 24 LBD genes were identified. The genes were classified into two classes (I and II) based on phylogenetic relationships and motif structure. Subcellular localization analysis for DcaLBD6 and DcaLBD18 from class I and DcaLBD37 and DcaLBD41 from class II revealed that the proteins were localized in the nucleus. Transient expression analysis of DcaLBD6, DcaLBD18, DcaLBD37, and DcaLBD41 indicated that class I and class II members have opposite roles in regulating VASCULAR-RELATED NAC-DOMAIN 7 (VND7) expression. DcaLBD genes showed diverse expression patterns in response to different phytohormone treatments. Heat maps revealed diverse patterns of DcaLBD gene expression in different organs. These results lay the foundation for further detailed studies of the LBD gene family in D. catenatum.</t>
  </si>
  <si>
    <t>Jia, Ru</t>
  </si>
  <si>
    <t>[Jia, Ru; Meng, Lihua] Yunnan Normal Univ, Sch Life Sci, Key Lab Yunnan Biomass Energy &amp; Biotechnol Enviro, Kunming 650500, Yunnan, Peoples R China; [Jia, Ru; Li, Cheng; Wang, Yuhua; Qin, Xiangshi; Sun, Xudong] Chinese Acad Sci, Kunming Inst Bot, Germplasm Bank Wild Species, Kunming 650201, Yunnan, Peoples R China; [Li, Cheng; Wang, Yuhua] Univ Chinese Acad Sci, Beijing 100049, Peoples R China</t>
  </si>
  <si>
    <t>Yunnan Normal University; Chinese Academy of Sciences; Kunming Institute of Botany, CAS; Chinese Academy of Sciences; University of Chinese Academy of Sciences, CAS</t>
  </si>
  <si>
    <t>Meng, LH (通讯作者)，Yunnan Normal Univ, Sch Life Sci, Key Lab Yunnan Biomass Energy &amp; Biotechnol Enviro, Kunming 650500, Yunnan, Peoples R China.;Sun, XD (通讯作者)，Chinese Acad Sci, Kunming Inst Bot, Germplasm Bank Wild Species, Kunming 650201, Yunnan, Peoples R China.</t>
  </si>
  <si>
    <t>jiaru19980@126.com; licheng@mail.kib.ac.cn; wangyuhua@mail.kib.ac.cn; qinxianshi@mail.kib.ac.cn; menglihua@mails.ucas.ac.cn; sunxudong@mail.kib.ac.cn</t>
  </si>
  <si>
    <t>Sun, Xudong/HHN-3905-2022; Wang, Yuhua/GLR-0968-2022</t>
  </si>
  <si>
    <t>Wang, Yuhua/0000-0001-7749-000X; Sun, Xudong/0000-0002-2434-8031</t>
  </si>
  <si>
    <t>Beijing DR PLANT Biotechnology Co., Ltd. [2019H078]; Project of Science &amp; Technology of Guizhou Province [NY[2017]2524]</t>
  </si>
  <si>
    <t>Beijing DR PLANT Biotechnology Co., Ltd.; Project of Science &amp; Technology of Guizhou Province</t>
  </si>
  <si>
    <t>This research was supported by the grants from the Beijing DR PLANT Biotechnology Co., Ltd. (2019H078), the Project of Science &amp; Technology of Guizhou Province (NY[2017]2524).</t>
  </si>
  <si>
    <t>10.3390/ijms23042089</t>
  </si>
  <si>
    <t>ZK6JM</t>
  </si>
  <si>
    <t>WOS:000763093300001</t>
  </si>
  <si>
    <t>Yang, XY; Chen, ZY; Yin, X; Wang, YH; Yang, YQ; Yang, YP</t>
  </si>
  <si>
    <t>Yang, Xingyu; Chen, Zhiyu; Yin, Xin; Wang, Yuhua; Yang, Yunqiang; Yang, Yongping</t>
  </si>
  <si>
    <t>Genome-Wide Survey Indicates Diverse Physiological Roles of Dendrobium officinale Calcium-Dependent Protein Kinase Genes</t>
  </si>
  <si>
    <t>Dendrobium officinale; CDPK gene family; expression pattern; functional divergence</t>
  </si>
  <si>
    <t>CA2+ SIGNALS; ARABIDOPSIS; RICE; CDPK; IDENTIFICATION; FAMILIES; ADAPTATION; ACTIVATION; EXPRESSION; MECHANISM</t>
  </si>
  <si>
    <t>Calcium-dependent protein kinases (CDPKs) are crucial calcium ions (Ca2+) sensors in plants with important roles in signal transduction, plant growth, development, and stress responses. Here, we identified 24 genes encoding CDPKs in Dendrobium officinale using genome-wide analysis. The phylogenetic analysis revealed that these genes formed four groups, with similar structures in the same group. The gene expression patterns following hormone treatments and yeast two-hybrid of homologous CDPK gene pairs with Rbohs showed differences, indicating functional divergence between homologous genes. In addition, the rapid accumulation of hydrogen peroxide (H2O2) and stomatal closure was observed in response to salicylic acid (SA)/jasmonic acid (JA) stress. Our data showed that CDPK9-2 and CDPK20-4 interacted with Rboh D and Rboh H, respectively, and were implicated in the generation of H2O2 and regulation of the stomatal aperture in response to salicylic acid/jasmonic acid treatment. We believe these results can provide a foundation for the functional divergence of homologous genes in D. officinale.</t>
  </si>
  <si>
    <t>Yang, Xingyu</t>
  </si>
  <si>
    <t>[Yang, Xingyu; Chen, Zhiyu; Yin, Xin; Yang, Yunqiang; Yang, Yongping] Chinese Acad Sci, Kunming Inst Bot, Germplasm Bank Wild Species, Kunming 650201, Yunnan, Peoples R China; [Yang, Xingyu; Chen, Zhiyu; Yin, Xin; Yang, Yunqiang; Yang, Yongping] Chinese Acad Sci, Inst Tibetan Plateau Res Kunming, Kunming Inst Bot, Kunming 650201, Yunnan, Peoples R China; [Yang, Xingyu; Chen, Zhiyu; Wang, Yuhua] Chinese Acad Sci, Kunming Inst Bot, Key Lab Econ Plants &amp; Biotechnol, Kunming 650201, Yunnan, Peoples R China; [Yang, Xingyu; Chen, Zhiyu] Univ Chinese Acad Sci, Acad Biol Sci, Beijing 100049, Peoples R China</t>
  </si>
  <si>
    <t>Yang, YQ; Yang, YP (通讯作者)，Chinese Acad Sci, Kunming Inst Bot, Germplasm Bank Wild Species, Kunming 650201, Yunnan, Peoples R China.;Yang, YQ; Yang, YP (通讯作者)，Chinese Acad Sci, Inst Tibetan Plateau Res Kunming, Kunming Inst Bot, Kunming 650201, Yunnan, Peoples R China.</t>
  </si>
  <si>
    <t>yangxingyu@mail.kib.ac.cn; chenzhiyu@mail.kib.ac.cn; chenzhiyu@mail.kib.ac.cn; wangyuhua@mail.kib.ac.cn; yangyunqiang@mail.kib.ac.cn; yangyp@mail.kib.ac.cn</t>
  </si>
  <si>
    <t>Wang, Yuhua/0000-0001-7749-000X; yang, yong ping/0000-0002-0327-2664</t>
  </si>
  <si>
    <t>National Natural Science Foundation of China [2019H078]; Postdoctoral Research Funding Projects of Yunnan Province [41771123, 32070362]; Yunnan Fundamental Research Projects [202101AT070190]; Digitalization, Development and Application of Biotic Resource; poverty alleviation through science and technology projects of Chinese Academy of Sciences [202002AA100007]; Project of Science and Technology of Guizhou Province (NY) [KFJ-FP-201905, 202003AD150005]</t>
  </si>
  <si>
    <t>National Natural Science Foundation of China(National Natural Science Foundation of China (NSFC)); Postdoctoral Research Funding Projects of Yunnan Province; Yunnan Fundamental Research Projects; Digitalization, Development and Application of Biotic Resource; poverty alleviation through science and technology projects of Chinese Academy of Sciences; Project of Science and Technology of Guizhou Province (NY)</t>
  </si>
  <si>
    <t>This research was funded by grants from the Beijing DR PLANT Biotechnology Co., Ltd. (2019H078), the National Natural Science Foundation of China (grant number 41771123 and 32070362), the Postdoctoral Research Funding Projects of Yunnan Province (to Xin Yin), the Yunnan Fundamental Research Projects (grant number 202101AT070190), Digitalization, Development and Application of Biotic Resource (grant number 202002AA100007), poverty alleviation through science and technology projects of Chinese Academy of Sciences (grant number KFJ-FP-201905), and technology transfer into Yunnan project (grant number 202003AD150005), the Project of Science and Technology of Guizhou Province (NY [2017] 2524).</t>
  </si>
  <si>
    <t>10.3390/ijms23031298</t>
  </si>
  <si>
    <t>ZC1TX</t>
  </si>
  <si>
    <t>WOS:000757312300001</t>
  </si>
  <si>
    <t>Aslam, MM; Waseem, M; Jakada, BH; Okal, EJ; Lei, ZL; Saqib, HSA; Yuan, W; Xu, WF; Zhang, Q</t>
  </si>
  <si>
    <t>Aslam, Mehtab Muhammad; Waseem, Muhammad; Jakada, Bello Hassan; Okal, Eyalira Jacob; Lei, Zuliang; Saqib, Hafiz Sohaib Ahmad; Yuan, Wei; Xu, Weifeng; Zhang, Qian</t>
  </si>
  <si>
    <t>Mechanisms of Abscisic Acid-Mediated Drought Stress Responses in Plants</t>
  </si>
  <si>
    <t>ABA; drought; metabolites; signaling; crop breeding</t>
  </si>
  <si>
    <t>E3 UBIQUITIN LIGASE; ACTIVATED PROTEIN-KINASES; TRANSCRIPTION FACTOR; POSITIVE REGULATOR; WATER-STRESS; ROOT-GROWTH; GENE-EXPRESSION; ARABIDOPSIS-THALIANA; SIGNAL-TRANSDUCTION; AUXIN TRANSPORT</t>
  </si>
  <si>
    <t>Drought is one of the major constraints to rain-fed agricultural production, especially under climate change conditions. Plants evolved an array of adaptive strategies that perceive stress stimuli and respond to these stress signals through specific mechanisms. Abscisic acid (ABA) is a premier signal for plants to respond to drought and plays a critical role in plant growth and development. ABA triggers a variety of physiological processes such as stomatal closure, root system modulation, organizing soil microbial communities, activation of transcriptional and post-transcriptional gene expression, and metabolic alterations. Thus, understanding the mechanisms of ABA-mediated drought responses in plants is critical for ensuring crop yield and global food security. In this review, we highlighted how plants adjust ABA perception, transcriptional levels of ABA- and drought-related genes, and regulation of metabolic pathways to alter drought stress responses at both cellular and the whole plant level. Understanding the synergetic role of drought and ABA will strengthen our knowledge to develop stress-resilient crops through integrated advanced biotechnology approaches. This review will elaborate on ABA-mediated drought responses at genetic, biochemical, and molecular levels in plants, which is critical for advancement in stress biology research.</t>
  </si>
  <si>
    <t>Aslam, Mehtab Muhammad</t>
  </si>
  <si>
    <t>[Aslam, Mehtab Muhammad; Lei, Zuliang; Xu, Weifeng; Zhang, Qian] Fujian Agr &amp; Forestry Univ, Joint Int Res Lab Water &amp; Nutrient Crop, Fuzhou 350002, Peoples R China; [Aslam, Mehtab Muhammad; Lei, Zuliang; Xu, Weifeng; Zhang, Qian] Fujian Agr &amp; Forestry Univ, Coll Resources &amp; Environm, Fuzhou 350002, Peoples R China; [Aslam, Mehtab Muhammad; Yuan, Wei; Xu, Weifeng] Yangzhou Univ, Coll Agr, Yangzhou 225009, Jiangsu, Peoples R China; [Waseem, Muhammad] Univ Narowal, Dept Bot, Narowal 51600, Pakistan; [Waseem, Muhammad] Hainan Univ, Coll Hort, Haikou 570100, Hainan, Peoples R China; [Jakada, Bello Hassan] Fujian Agr &amp; Forestry Univ, Coll Life Sci, Minist Educ, Key Lab Genet Breeding &amp; Multiple Utilizat Crops, Fuzhou 350002, Peoples R China; [Okal, Eyalira Jacob] Chinese Acad Sci, Kunming Inst Bot, Ctr Mt Futures, Kunming 650201, Yunnan, Peoples R China; [Saqib, Hafiz Sohaib Ahmad] Shantou Univ, Coll Sci, Guangdong Prov Key Lab Marine Biol, Shantou 515063, Peoples R China</t>
  </si>
  <si>
    <t>Fujian Agriculture &amp; Forestry University; Fujian Agriculture &amp; Forestry University; Yangzhou University; Hainan University; Fujian Agriculture &amp; Forestry University; Chinese Academy of Sciences; Kunming Institute of Botany, CAS; Shantou University</t>
  </si>
  <si>
    <t>Zhang, Q (通讯作者)，Fujian Agr &amp; Forestry Univ, Joint Int Res Lab Water &amp; Nutrient Crop, Fuzhou 350002, Peoples R China.;Zhang, Q (通讯作者)，Fujian Agr &amp; Forestry Univ, Coll Resources &amp; Environm, Fuzhou 350002, Peoples R China.;Yuan, W (通讯作者)，Yangzhou Univ, Coll Agr, Yangzhou 225009, Jiangsu, Peoples R China.</t>
  </si>
  <si>
    <t>mehtabmuhammadaslam@yahoo.com; m.waseem.botanist@gmail.com; bellojakada@gmail.com; eyalirajac@gmail.com; 1200525014@fafu.edu.cn; sohaibsaqib@gmail.com; yuanwei@fafu.edu.cn; wfxu@fafu.edu.cn; qian_z@fafu.edu.cn</t>
  </si>
  <si>
    <t>Jakada, Bello Hassan/AAN-2145-2021; WASEEM, MUHAMMAD/K-9284-2019</t>
  </si>
  <si>
    <t>Jakada, Bello Hassan/0000-0001-5629-6910; WASEEM, MUHAMMAD/0000-0001-7947-7722; Muhammad Aslam, Mehtab/0000-0002-0890-4819</t>
  </si>
  <si>
    <t>Science and Technology Projects of China National Tobacco Corporation Fujian Company [2021350000240014]; Fujian Province Natural Science Foundation [2020J01553]; Education Department of Fujian Province [JAT190134]</t>
  </si>
  <si>
    <t>Science and Technology Projects of China National Tobacco Corporation Fujian Company; Fujian Province Natural Science Foundation(Natural Science Foundation of Fujian Province); Education Department of Fujian Province</t>
  </si>
  <si>
    <t>FundingWe are grateful for grants support from the Science and Technology Projects of China National Tobacco Corporation Fujian Company (2021350000240014), Fujian Province Natural Science Foundation (2020J01553) and the Education Department of Fujian Province (JAT190134).</t>
  </si>
  <si>
    <t>10.3390/ijms23031084</t>
  </si>
  <si>
    <t>YZ8DA</t>
  </si>
  <si>
    <t>WOS:000755700600001</t>
  </si>
  <si>
    <t>Han, YT; Yang, Y; Li, Y; Yin, X; Chen, ZY; Yang, DN; Yang, YP; Yang, YQ; Yang, XF</t>
  </si>
  <si>
    <t>Han, Yutong; Yang, Ya; Li, Yan; Yin, Xin; Chen, Zhiyu; Yang, Danni; Yang, Yongping; Yang, Yunqiang; Yang, Xuefei</t>
  </si>
  <si>
    <t>Genome-Wide Identification of OSC Gene Family and Potential Function in the Synthesis of Ursane- and Oleanane-Type Triterpene in Momordica charantia</t>
  </si>
  <si>
    <t>triterpenoid; OSC; bitter gourd; biosynthesis</t>
  </si>
  <si>
    <t>MASLINIC ACID; CYCLOARTENOL SYNTHASE; BIOSYNTHESIS; EVOLUTION; ENZYME</t>
  </si>
  <si>
    <t>The triterpenes in bitter gourd (Momordica charantia) show a variety of medicinal activities. Oxidosqualene cyclase (OSC) plays an indispensable role in the formation of triterpene skeletons during triterpene biosynthesis. In this study, we identified nine genes encoding OSCs from bitter gourd (McOSC1-9). Analyses of their expression patterns in different tissues suggested that characteristic triterpenoids may be biosynthesized in different tissues and then transported. We constructed a hairy root system in which McOSC7 overexpression led to an increased accumulation of camaldulenic acid, enoxolone, and quinovic acid. Thus, the overexpression of McOSC7 increased the active components content in bitter gourd. Our data provide an important foundation for understanding the roles of McOSCs in triterpenoid synthesis.</t>
  </si>
  <si>
    <t>Han, Yutong</t>
  </si>
  <si>
    <t>[Han, Yutong; Li, Yan; Chen, Zhiyu; Yang, Xuefei] Chinese Acad Sci, Key Lab Econ Plants &amp; Biotechnol, Kunming 650201, Yunnan, Peoples R China; [Han, Yutong; Yang, Ya; Li, Yan; Yin, Xin; Chen, Zhiyu; Yang, Danni; Yang, Yongping; Yang, Yunqiang; Yang, Xuefei] Chinese Acad Sci, Kunming Inst Bot, Key Lab Plant Divers &amp; Biogeog East Asia, Kunming 650204, Yunnan, Peoples R China; [Han, Yutong; Yang, Ya; Li, Yan; Yin, Xin; Chen, Zhiyu; Yang, Danni; Yang, Yongping; Yang, Yunqiang; Yang, Xuefei] Chinese Acad Sci, Kunming Inst Bot, Plant Germplasm &amp; Genom Ctr, Kunming 650201, Yunnan, Peoples R China; [Han, Yutong; Yang, Ya; Li, Yan; Yin, Xin; Chen, Zhiyu; Yang, Danni; Yang, Yongping; Yang, Yunqiang] Chinese Acad Sci, Kunming Inst Bot, Inst Tibetan Plateau Res Kunming, Kunming 650201, Yunnan, Peoples R China; [Yang, Xuefei] Chinese Acad Sci, Southeast Asia Biodivers Res Inst, Yezin 05282, Naypyitaw, Myanmar</t>
  </si>
  <si>
    <t>Chinese Academy of Sciences; Chinese Academy of Sciences; Kunming Institute of Botany, CAS; Chinese Academy of Sciences; Kunming Institute of Botany, CAS; Chinese Academy of Sciences; Kunming Institute of Botany, CAS</t>
  </si>
  <si>
    <t>Yang, XF (通讯作者)，Chinese Acad Sci, Key Lab Econ Plants &amp; Biotechnol, Kunming 650201, Yunnan, Peoples R China.;Yang, YQ; Yang, XF (通讯作者)，Chinese Acad Sci, Kunming Inst Bot, Key Lab Plant Divers &amp; Biogeog East Asia, Kunming 650204, Yunnan, Peoples R China.;Yang, YQ; Yang, XF (通讯作者)，Chinese Acad Sci, Kunming Inst Bot, Plant Germplasm &amp; Genom Ctr, Kunming 650201, Yunnan, Peoples R China.;Yang, YQ (通讯作者)，Chinese Acad Sci, Kunming Inst Bot, Inst Tibetan Plateau Res Kunming, Kunming 650201, Yunnan, Peoples R China.;Yang, XF (通讯作者)，Chinese Acad Sci, Southeast Asia Biodivers Res Inst, Yezin 05282, Naypyitaw, Myanmar.</t>
  </si>
  <si>
    <t>hanyutong@mail.kib.ac.cn; yangya@mail.kib.ac.cn; liyan@mail.kib.ac.cn; yinxin@mail.kib.ac.cn; chenzhiyu@mail.kib.ac.cn; yangdanni@mail.kib.ac.cn; yangyp@mail.kib.ac.cn; yangyunqiang@mail.kib.ac.cn; xuefei@mail.kib.ac.cn</t>
  </si>
  <si>
    <t>Han, Yutong/0000-0003-3323-6426</t>
  </si>
  <si>
    <t>NSFC [31670338]; Southeast Asia Biodiversity Research Institute, Chinese Academy of Science [Y4ZK111B01]; Yunnan Fundamental Research Projects [202101AT070190]; Digitalization, Development and Application of Biotic Resource [202002AA100007]; Poverty Alleviation through Science and Technology Projects of Chinese Academy of Sciences [KFJ-FP-201905]; Technology Transfer into Yunnan Project [202003AD150005]</t>
  </si>
  <si>
    <t>NSFC(National Natural Science Foundation of China (NSFC)); Southeast Asia Biodiversity Research Institute, Chinese Academy of Science; Yunnan Fundamental Research Projects; Digitalization, Development and Application of Biotic Resource; Poverty Alleviation through Science and Technology Projects of Chinese Academy of Sciences; Technology Transfer into Yunnan Project</t>
  </si>
  <si>
    <t>This research was funded by the NSFC (Grant No. 31670338), Southeast Asia Biodiversity Research Institute, Chinese Academy of Science (Grant No.Y4ZK111B01), the Yunnan Fundamental Research Projects (Grant No. 202101AT070190), Digitalization, Development and Application of Biotic Resource (Grant No. 202002AA100007), Poverty Alleviation through Science and Technology Projects of Chinese Academy of Sciences (Grant No. KFJ-FP-201905), and Technology Transfer into Yunnan Project (Grant No. 202003AD150005).</t>
  </si>
  <si>
    <t>10.3390/ijms23010196</t>
  </si>
  <si>
    <t>YT0YX</t>
  </si>
  <si>
    <t>WOS:000751096200001</t>
  </si>
  <si>
    <t>Zheng, Y; Luo, LD; Chen, Q; Yang, DN; Gong, YQ; Yang, Y; Qin, XS; Wang, YH; Kong, XX; Yang, YP</t>
  </si>
  <si>
    <t>Zheng, Yan; Luo, Landi; Chen, Qian; Yang, Danni; Gong, Yuqiang; Yang, Ya; Qin, Xiangshi; Wang, Yuhua; Kong, Xiangxiang; Yang, Yongping</t>
  </si>
  <si>
    <t>Cold Response Transcriptome Analysis of the Alternative Splicing Events Induced by the Cold Stress in D. catenatum</t>
  </si>
  <si>
    <t>Dendrobium catenatum Lindl; alternative splicing; cold stress; DcCBP20</t>
  </si>
  <si>
    <t>CAP-BINDING COMPLEX; FREEZING TOLERANCE; LOW-TEMPERATURE; ARABIDOPSIS; EXPRESSION; PROTEINS; GENES; ACCLIMATION; ACTIVATION; LANDSCAPE</t>
  </si>
  <si>
    <t>Dendrobium catenatum Lindl is a valuable medicinal herb and gardening plant due to its ornamental value and special medical value. Low temperature is a major bottleneck restricting D. catenatum expansion towards the north, which influences the quality and yield of D. catenatum. In this study, we analysed the cold response of D. catenatum by RNA-Seq. A total of 4302 differentially expressed genes were detected under cold stress, which were mainly linked to protein kinase activity, membrane transport and the glycan biosynthesis and metabolism pathway. We also identified 4005 differential alternative events in 2319 genes significantly regulated by cold stress. Exon skipping and intron retention were the most common alternative splicing isoforms. Numerous genes were identified that differentially modulated under cold stress, including cold-induced transcription factors and splicing factors mediated by AS (alternative splicing). GO enrichment analysis found that differentially alternatively spliced genes without differential expression levels were related to RNA/mRNA processing and spliceosomes. DAS (differentially alternative splicing) genes with different expression levels were mainly enriched in protein kinase activity, plasma membrane and cellular response to stimulus. We further identified and cloned DcCBP20 in D. catenatum; we found that DcCBP20 promotes the generation of alternative splicing variants in cold-induced genes under cold stress via genetic experiments and RT-PCR. Taken together, our results identify the main cold-response pathways and alternative splicing events in D. catenatum responding to cold treatment and that DcCBP20 of D. catenatum get involved in regulating the AS and gene expression of cold-induced genes during this process. Our study will contribute to understanding the role of AS genes in regulating the cold stress response in D. catenatum.</t>
  </si>
  <si>
    <t>Zheng, Yan</t>
  </si>
  <si>
    <t>[Zheng, Yan; Chen, Qian; Yang, Danni; Gong, Yuqiang; Yang, Ya; Qin, Xiangshi; Wang, Yuhua; Kong, Xiangxiang; Yang, Yongping] Chinese Acad Sci, Germplasm Bank Wild Species, Kunming Inst Bot, Kunming 650201, Yunnan, Peoples R China; [Luo, Landi; Yang, Yongping] Chinese Acad Sci, Xishuangbanna Trop Bot Garden, CAS Lab Trop Plant Resources &amp; Sustainable Use, Menglun 666303, Mengla, Peoples R China; [Yang, Danni] Univ Chinese Acad Sci, Beijing 100049, Peoples R China; [Gong, Yuqiang] Yunnan Agr Univ, Coll Hort &amp; Landscape, Kunming 650500, Yunnan, Peoples R China</t>
  </si>
  <si>
    <t>Chinese Academy of Sciences; Kunming Institute of Botany, CAS; Chinese Academy of Sciences; Xishuangbanna Tropical Botanical Garden, CAS; Chinese Academy of Sciences; University of Chinese Academy of Sciences, CAS; Yunnan Agricultural University</t>
  </si>
  <si>
    <t>Kong, XX; Yang, YP (通讯作者)，Chinese Acad Sci, Germplasm Bank Wild Species, Kunming Inst Bot, Kunming 650201, Yunnan, Peoples R China.;Yang, YP (通讯作者)，Chinese Acad Sci, Xishuangbanna Trop Bot Garden, CAS Lab Trop Plant Resources &amp; Sustainable Use, Menglun 666303, Mengla, Peoples R China.</t>
  </si>
  <si>
    <t>zhengyan@mail.kib.ac.cn; luolandi@xtbg.ac.cn; chenqian@mail.kib.ac.cn; yangdanni@mail.kib.ac.cn; gyq415@126.com; yangya@mail.kib.ac.cn; qinxiangshi@mail.kib.ac.cn; wangyuhua@mail.kib.ac.cn; kongxiangxiang@mail.kib.ac.cn; yangyp@mail.kib.ac.cn</t>
  </si>
  <si>
    <t>YANG, DANNI/GYD-4120-2022; Wang, Yuhua/GLR-0968-2022</t>
  </si>
  <si>
    <t>10.3390/ijms23020981</t>
  </si>
  <si>
    <t>YR1YD</t>
  </si>
  <si>
    <t>WOS:000749793200001</t>
  </si>
  <si>
    <t>Dong, XM; Zhang, W; Zhang, SB</t>
  </si>
  <si>
    <t>Dong, Xiu-Mei; Zhang, Wei; Zhang, Shi-Bao</t>
  </si>
  <si>
    <t>Selection and Validation of Reference Genes for Quantitative Real-Time PCR Analysis of Development and Tissue-Dependent Flower Color Formation in Cymbidium lowianum</t>
  </si>
  <si>
    <t>Cymbidium lowianum; flower organ development; reference gene selection and validation; qRT-PCR; transcriptome data; geNorm and Normfinder software</t>
  </si>
  <si>
    <t>POLYMERASE-CHAIN-REACTION; EXPRESSION; NORMALIZATION; QUANTIFICATION</t>
  </si>
  <si>
    <t>The development and tissue-dependent color formation of the horticultural plant results in various color pattern flowers. Anthocyanins and carotenoids contribute to the red and yellow colors, respectively. In this study, quantitative real-time polymerase chain reaction (qRT-PCR) is used to analyze the expression profiles of anthocyanin and carotenoids biosynthesis genes in Cymbidium lowianum (Rchb.f.) Rchb.f. Appropriate reference gene selection and validation are required before normalization of gene expression in qRT-PCR analysis. Thus, we firstly selected 12 candidate reference genes from transcriptome data, and used geNorm and Normfinder to evaluate their expression stability in lip (divided into abaxial and adaxial), petal, and sepal of the bud and flower of C. lowianum. Our results show that the two most stable reference genes in different tissues of C. lowianum bud and flower are EF1 delta and 60S, the most unstable reference gene is 26S. The expression profiles of the CHS and BCH genes were similar to FPKM value profiles after normalization to the two most stable reference genes, EF1 delta and 60S, with the upregulated CHS and BCH expression in flower stage, indicating that the ABP and CBP were activated across the stages of flower development. However, when the most unstable reference gene, 26S, was used to normalize the qRT-PCR data, the expression profiles of CHS and BCH differed from FPKM value profiles, indicating the necessity of selecting stable reference genes. Moreover, CHS and BCH expression was highest in the abaxial lip and adaxial lip, respectively, indicating that the ABP and CBP were activated in abaxial and adaxial lip, respectively, resulting in a presence of red or yellow segments in abaxial and adaxial lip. This study is the first to provide reference genes in C. lowianum, and also provide useful information for studies that aim to understand the molecular mechanisms of flower color formation in C. lowianum.</t>
  </si>
  <si>
    <t>Dong, Xiu-Mei</t>
  </si>
  <si>
    <t>[Dong, Xiu-Mei; Zhang, Wei; Zhang, Shi-Bao] Chinese Acad Sci, Kunming Inst Bot, Key Lab Econ Plants &amp; Biotechnol, 132 Lanhei Rd, Kunming 650201, Yunnan, Peoples R China; [Dong, Xiu-Mei; Zhang, Wei; Zhang, Shi-Bao] Yunnan Key Lab Wild Plant Resources, 132 Lanhei Rd, Kunming 650201, Yunnan, Peoples R China</t>
  </si>
  <si>
    <t>Zhang, SB (通讯作者)，Chinese Acad Sci, Kunming Inst Bot, Key Lab Econ Plants &amp; Biotechnol, 132 Lanhei Rd, Kunming 650201, Yunnan, Peoples R China.;Zhang, SB (通讯作者)，Yunnan Key Lab Wild Plant Resources, 132 Lanhei Rd, Kunming 650201, Yunnan, Peoples R China.</t>
  </si>
  <si>
    <t>dongxiumei@mail.kib.ac.cn; zhangwei@mail.kib.ac.cn; sbzhang@mail.kib.ac.cn</t>
  </si>
  <si>
    <t>10.3390/ijms23020738</t>
  </si>
  <si>
    <t>YL6TQ</t>
  </si>
  <si>
    <t>WOS:000746022100001</t>
  </si>
  <si>
    <t>Wang, WL; Mao, H; Li, SJ; Zhang, LL; Yang, L; Yin, RH; Zhao, JH</t>
  </si>
  <si>
    <t>Wang, Weili; Mao, Hui; Li, Sujuan; Zhang, Longlong; Yang, Lian; Yin, Ronghua; Zhao, Jinhua</t>
  </si>
  <si>
    <t>Branched Chondroitin Sulfate Oligosaccharides Derived from the Sea Cucumber Acaudina molpadioides Stimulate Neurite Outgrowth</t>
  </si>
  <si>
    <t>MARINE DRUGS</t>
  </si>
  <si>
    <t>fucosylated chondroitin sulfate; sea cucumber; disaccharide branch; oligosaccharide; neurite outgrowth; stimulation</t>
  </si>
  <si>
    <t>HIPPOCAMPAL-NEURONS; PROMOTING ACTIVITY; GLYCOSAMINOGLYCAN; DISACCHARIDE; INHIBITOR</t>
  </si>
  <si>
    <t>Fucosylated chondroitin sulfate (FCS) from the sea cucumber Acaudina molpadioides (FCSAm) is the first one that was reported to be branched by disaccharide GalNAc-(alpha 1,2)-Fuc(3S4S) (15%) and sulfated Fuc (85%). Here, four size-homogenous fractions, and seven oligosaccharides, were separated from its beta-eliminative depolymerized products. Detailed NMR spectroscopic and MS analyses revealed the oligomers as hexa-, hepta-, octa-, and nonasaccharide, which further confirmed the precise structure of native FCSAm: it was composed of the CS-E-like backbone with a full content of sulfation at O-4 and O-6 of GalNAc in the disaccharide repeating unit, and the branches consisting of sulfated fucose (Fuc(4S) and Fuc(2S4S)) and heterodisaccharide [GalNAc-(alpha 1,2)-Fuc(3S4S)]. Pharmacologically, FCSAm and its depolymerized derivatives, including fractions and oligosaccharides, showed potent neurite outgrowth-promoting activity in a chain length-dependent manner. A comparison of analyses among oligosaccharides revealed that the sulfate pattern of the Fuc branches, instead of the heterodisaccharide, could affect the promotion intensity. Fuc(2S4S) and the saccharide length endowed the neurite outgrowth stimulation activity most.</t>
  </si>
  <si>
    <t>Wang, Weili</t>
  </si>
  <si>
    <t>[Wang, Weili; Mao, Hui; Li, Sujuan; Yang, Lian; Yin, Ronghua; Zhao, Jinhua] Chinese Acad Sci, Kunming Inst Bot, State Key Lab Phytochem &amp; Plant Resources West Ch, Kunming 650201, Yunnan, Peoples R China; [Wang, Weili; Mao, Hui; Li, Sujuan] Univ Chinese Acad Sci, Beijing 100049, Peoples R China; [Zhang, Longlong] Yunnan Univ, Sch Life Sci, State Key Lab Conservat &amp; Utilizat Bioresources, Key Lab Microbial Resources,Minist Educ, Kunming 650091, Yunnan, Peoples R China; [Yin, Ronghua; Zhao, Jinhua] South Cent Minzu Univ, Sch Pharmaceut Sci, Wuhan 430074, Peoples R China</t>
  </si>
  <si>
    <t>Chinese Academy of Sciences; Kunming Institute of Botany, CAS; Chinese Academy of Sciences; University of Chinese Academy of Sciences, CAS; Yunnan University; South Central Minzu University</t>
  </si>
  <si>
    <t>Yin, RH; Zhao, JH (通讯作者)，Chinese Acad Sci, Kunming Inst Bot, State Key Lab Phytochem &amp; Plant Resources West Ch, Kunming 650201, Yunnan, Peoples R China.;Yin, RH; Zhao, JH (通讯作者)，South Cent Minzu Univ, Sch Pharmaceut Sci, Wuhan 430074, Peoples R China.</t>
  </si>
  <si>
    <t>yinrh77@163.com; zhaojhscu@163.com</t>
  </si>
  <si>
    <t>National Natural Science Foundation of China [82073725, 31900926]</t>
  </si>
  <si>
    <t>This research was funded by the National Natural Science Foundation of China (82073725 and 31900926).</t>
  </si>
  <si>
    <t>1660-3397</t>
  </si>
  <si>
    <t>MAR DRUGS</t>
  </si>
  <si>
    <t>Mar. Drugs</t>
  </si>
  <si>
    <t>10.3390/md20100653</t>
  </si>
  <si>
    <t>Chemistry, Medicinal; Pharmacology &amp; Pharmacy</t>
  </si>
  <si>
    <t>5P3VI</t>
  </si>
  <si>
    <t>WOS:000873081700001</t>
  </si>
  <si>
    <t>Wang, B; Jiang, HY; Yang, J; Li, J; Yan, BC; Chen, X; Hu, K; Li, XR; Sun, HD; Deng, J; Puno, PT</t>
  </si>
  <si>
    <t>Wang, Bin; Jiang, Hua-Yi; Yang, Jin; Li, Jun; Yan, Bing-Chao; Chen, Xi; Hu, Kun; Li, Xing-Ren; Sun, Han-Dong; Deng, Jun; Puno, Pema-Tenzin</t>
  </si>
  <si>
    <t>Isolation and Bioinspired Total Synthesis of Rugosiformisin A, A Skeleton-Rearranged Abietane-Type Diterpenoid from Isodon rugosiformis</t>
  </si>
  <si>
    <t>ORGANIC LETTERS</t>
  </si>
  <si>
    <t>APORPHINE ALKALOIDS; TRITERPENOIDS; SESQUITERPENES; ACID</t>
  </si>
  <si>
    <t>Rugosiformisin A, a skeleton-rearranged abietane-type diterpenoid with a spiro[4.5]decane motif, was isolated from Isodon rugosiformis. Its structure was unambiguously established via NMR spectroscopic analysis and single-crystal X-ray diffraction. A bioinspired asymmetric synthesis of rugosiformisin A was achieved in 15 steps with 2.7% overall yield. The synthesis features an iridium-catalyzed asymmetric polyene cyclization and a semi-pinacol rearrangement.</t>
  </si>
  <si>
    <t>Wang, Bin</t>
  </si>
  <si>
    <t>[Wang, Bin; Jiang, Hua-Yi; Yang, Jin; Yan, Bing-Chao; Li, Xing-Ren; Sun, Han-Dong; Puno, Pema-Tenzin] Chinese Acad Sci, Kunming Inst Bot, State Key Lab Phytochem &amp; Plant Resources West Ch, Kunming 650201, Yunnan, Peoples R China; [Wang, Bin; Jiang, Hua-Yi; Yang, Jin; Yan, Bing-Chao; Chen, Xi; Hu, Kun; Li, Xing-Ren; Sun, Han-Dong; Puno, Pema-Tenzin] Chinese Acad Sci, Kunming Inst Bot, Yunnan Key Lab Nat Med Chem, Kunming 650201, Yunnan, Peoples R China; [Li, Jun; Chen, Xi; Hu, Kun; Deng, Jun] Nankai Univ, Coll Chem, State Key Lab, Tianjin 300071, Peoples R China; [Li, Jun; Deng, Jun] Nankai Univ, Inst Elemento Organ Chem, Coll Chem, Tianjin 300071, Peoples R China</t>
  </si>
  <si>
    <t>Chinese Academy of Sciences; Kunming Institute of Botany, CAS; Chinese Academy of Sciences; Kunming Institute of Botany, CAS; Nankai University; Nankai University</t>
  </si>
  <si>
    <t>Puno, PT (通讯作者)，Chinese Acad Sci, Kunming Inst Bot, State Key Lab Phytochem &amp; Plant Resources West Ch, Kunming 650201, Yunnan, Peoples R China.;Puno, PT (通讯作者)，Chinese Acad Sci, Kunming Inst Bot, Yunnan Key Lab Nat Med Chem, Kunming 650201, Yunnan, Peoples R China.;Deng, J (通讯作者)，Nankai Univ, Coll Chem, State Key Lab, Tianjin 300071, Peoples R China.;Deng, J (通讯作者)，Nankai Univ, Inst Elemento Organ Chem, Coll Chem, Tianjin 300071, Peoples R China.</t>
  </si>
  <si>
    <t>dengjun@nankai.edu.cn; punopematenzin@mail.kib.ac.cn</t>
  </si>
  <si>
    <t>Yan, Bing-Chao/0000-0002-9739-5234; Deng, Jun/0000-0002-7463-1329</t>
  </si>
  <si>
    <t>NSFC-Joint Foundation of Yunnan Province; Second Tibetan Plateau Scientific Expedition and Research (STEP) program; National Natural Science Foundation of China; CAS Interdisciplinary Innovation Team; Key Program of Yunnan Province; Yunnan Science Fund for Distinguished Young Scholars;  [U2002221];  [2019QZKK0502];  [81673329];  [81874298];  [21871278];  [2019FJ002]</t>
  </si>
  <si>
    <t xml:space="preserve">NSFC-Joint Foundation of Yunnan Province; Second Tibetan Plateau Scientific Expedition and Research (STEP) program; National Natural Science Foundation of China(National Natural Science Foundation of China (NSFC)); CAS Interdisciplinary Innovation Team; Key Program of Yunnan Province; Yunnan Science Fund for Distinguished Young Scholars; ; ; ; ; ; </t>
  </si>
  <si>
    <t>? ACKNOWLEDGMENTS This project was supported financially by the NSFC-Joint Foundation of Yunnan Province (U2002221) , the Second Tibetan Plateau Scientific Expedition and Research (STEP) program (2019QZKK0502) , the National Natural Science Foundation of China (No. 81673329, 81874298, 21871278) , the CAS ?Light of West China? Program and CAS Interdisciplinary Innovation Team (P.-T.P.) , the Key Program of Yunnan Province (J.D.) , and the Yunnan Science Fund for Distinguished Young Scholars (2019FJ002) .</t>
  </si>
  <si>
    <t>1523-7060</t>
  </si>
  <si>
    <t>1523-7052</t>
  </si>
  <si>
    <t>ORG LETT</t>
  </si>
  <si>
    <t>Org. Lett.</t>
  </si>
  <si>
    <t>NOV 11</t>
  </si>
  <si>
    <t>10.1021/acs.orglett.2c02834</t>
  </si>
  <si>
    <t>http://dx.doi.org/10.1021/acs.orglett.2c02834</t>
  </si>
  <si>
    <t>Chemistry, Organic</t>
  </si>
  <si>
    <t>8B7JY</t>
  </si>
  <si>
    <t>WOS:000917099700001</t>
  </si>
  <si>
    <t>Ma, YX; Jiang, Q; Wang, XF; Xiao, GZ</t>
  </si>
  <si>
    <t>Ma, Yuxin; Jiang, Qiong; Wang, Xiufang; Xiao, Guozhi</t>
  </si>
  <si>
    <t>Total Synthesis of Cordyceps militaris Glycans via Stereoselective Orthogonal One-Pot Glycosylation and alpha-Glycosylation Strategies</t>
  </si>
  <si>
    <t>STRUCTURAL-CHARACTERIZATION; POLYSACCHARIDE; OLIGOSACCHARIDE; ALKYNYLBENZOATES; CATALYSIS; PART</t>
  </si>
  <si>
    <t>Cordyceps militaris glycans with potent antioxidant activities have been efficiently and collectively synthesized. The synthetic approach features the following: (1) a stereoselective orthogonal one-pot glycosylation strategy for both 1,2 -trans- and 1,2-cis- glycosidic linkages; (2) a merged reagent modulation and remote anchimeric assistance (RMRAA) alpha-glucosylation strategy; (3) DMF-modulated alpha-glucosylation; (4) convergent [3 + 4 + 6] orthogonal one-pot assembly of the target tridecasaccharide.</t>
  </si>
  <si>
    <t>Ma, Yuxin</t>
  </si>
  <si>
    <t>[Ma, Yuxin; Xiao, Guozhi] Chinese Acad Sci, State Key Lab Phytochem &amp; Plant Resources West Chi, Kunming Inst Bot, Univ Chinese Acad Sci, Kunming 650201, Peoples R China; [Jiang, Qiong; Wang, Xiufang] Kunming Univ, Dept Chem, Kunming 650214, Peoples R China</t>
  </si>
  <si>
    <t>Chinese Academy of Sciences; Kunming Institute of Botany, CAS; University of Chinese Academy of Sciences, CAS; Kunming University</t>
  </si>
  <si>
    <t>Xiao, GZ (通讯作者)，Chinese Acad Sci, State Key Lab Phytochem &amp; Plant Resources West Chi, Kunming Inst Bot, Univ Chinese Acad Sci, Kunming 650201, Peoples R China.</t>
  </si>
  <si>
    <t>xiaoguozhi@mail.kib.ac.cn</t>
  </si>
  <si>
    <t>National Natural Science Foundation of China [22271294]; CAS Pioneer Hundred Talents Program [2017-128]; Key Project of the Natural Science Foundation of Yunnan Province [202101AS070030]; Young Talents Project of High-level Talent Introduction Program of Yunnan Province; Basic Research Programs of Yunnan Province [2020J0505, 202001BA070001-065]; High-Level Talent Special Support Plans for Young Talents of Kunming City [C202005008]</t>
  </si>
  <si>
    <t>National Natural Science Foundation of China(National Natural Science Foundation of China (NSFC)); CAS Pioneer Hundred Talents Program; Key Project of the Natural Science Foundation of Yunnan Province; Young Talents Project of High-level Talent Introduction Program of Yunnan Province; Basic Research Programs of Yunnan Province; High-Level Talent Special Support Plans for Young Talents of Kunming City</t>
  </si>
  <si>
    <t>The financial support from the National Natural Science Foundation of China (22271294), the CAS Pioneer Hundred Talents Program (No. 2017-128), the Key Project of the Natural Science Foundation of Yunnan Province (No. 202101AS070030), the Young Talents Project of High-level Talent Introduction Program of Yunnan Province, the Basic Research Programs of Yunnan Province (2020J0505, 202001BA070001-065), and the High-Level Talent Special Support Plans for Young Talents of Kunming City (Grant No. C202005008) are greatly acknowledged.</t>
  </si>
  <si>
    <t>10.1021/acs.orglett.2c03081</t>
  </si>
  <si>
    <t>5X0JV</t>
  </si>
  <si>
    <t>WOS:000878294800001</t>
  </si>
  <si>
    <t>Li, Q; Fu, AM; Wei, MS; Xiao, Y; Yin, J; Huang, JZ; Li, XN; Tong, QY; Chen, CM; Zhu, HC; Zhang, YH</t>
  </si>
  <si>
    <t>Li, Qin; Fu, Aimin; Wei, Mengsha; Xiao, Yang; Yin, Jie; Huang, Jianzheng; Li, Xiao-Nian; Tong, Qingyi; Chen, Chunmei; Zhu, Hucheng; Zhang, Yonghui</t>
  </si>
  <si>
    <t>Asperemestrins A-D, Emestrin Hybrid Polymers with Bridged Skeletons from the Endophytic Fungus Aspergillus nidulans</t>
  </si>
  <si>
    <t>Four emestrin hybrid polymers, asperemestrins A-D (1-4, respectively), were isolated from the fungus Aspergillus nidulans. Asperemestrins A-C are the first examples of emestrin-sterigmatocystin heterodimers bearing a 7/5/6/6/5/5/6/6/6 nonacyclic system with a 2,5-diazabicyclo[2.2.2]octane-3,6dione core, while asperemestrin D features an unprecedented 2,15-dithia-17,19diazabicyclo[14.2.2]icosa-4,8-diene-12,18,20-trione core skeleton. Their structures were determined by extensive spectroscopic data, electronic circular dichroism calculations, and single-crystal X-ray diffraction. Asperemestrin B showed moderate cytotoxicity against cancer cell lines, including SU-DHL-2, HEPG2, and HL-60.</t>
  </si>
  <si>
    <t>Li, Qin</t>
  </si>
  <si>
    <t>[Li, Qin; Fu, Aimin; Wei, Mengsha; Xiao, Yang; Yin, Jie; Huang, Jianzheng; Tong, Qingyi; Chen, Chunmei; Zhu, Hucheng; Zhang, Yonghui] Huazhong Univ Sci &amp; Technol, Hubei Key Lab Nat Med Chem &amp; Resource Evaluat, Sch Pharm, Tongji Med Coll, Wuhan 430030, Peoples R China; [Li, Xiao-Nian] Chinese Acad Sci, State Key Lab Phytochem &amp; Plant Resourcesin West C, Kunming Inst Bot, Kunming 650204, Peoples R China</t>
  </si>
  <si>
    <t>Huazhong University of Science &amp; Technology; Chinese Academy of Sciences; Kunming Institute of Botany, CAS</t>
  </si>
  <si>
    <t>Chen, CM; Zhu, HC; Zhang, YH (通讯作者)，Huazhong Univ Sci &amp; Technol, Hubei Key Lab Nat Med Chem &amp; Resource Evaluat, Sch Pharm, Tongji Med Coll, Wuhan 430030, Peoples R China.</t>
  </si>
  <si>
    <t>chenchunmei@hust.edu.cn; zhuhucheng@hust.edu.cn; zhangyh@mails.tjmu.edu.cn</t>
  </si>
  <si>
    <t>Program for Changjiang Scholars of Ministry of Education of the People's Republic of China [T2016088]; National Natural Science Foundation for Distinguished Young Scholars [81725021]; National Natural Science Foundation for Excellent Young Scholars [81922065]; Innovative Research Groups of the National Natural Science Foundation of China [81721005]; Science and Technology Major Project of Hubei Province [2021ACA012]; Research and Development Program of Hubei Province [2020BCA058]; Academic Frontier Youth Team of HUST [2017QYTD19]; Integrated Innovative Team for Major Human Diseases Program of Tongji Medical College (HUST)</t>
  </si>
  <si>
    <t>Program for Changjiang Scholars of Ministry of Education of the People's Republic of China; National Natural Science Foundation for Distinguished Young Scholars(National Natural Science Foundation of China (NSFC)National Science Fund for Distinguished Young Scholars); National Natural Science Foundation for Excellent Young Scholars; Innovative Research Groups of the National Natural Science Foundation of China(National Natural Science Foundation of China (NSFC)); Science and Technology Major Project of Hubei Province; Research and Development Program of Hubei Province; Academic Frontier Youth Team of HUST; Integrated Innovative Team for Major Human Diseases Program of Tongji Medical College (HUST)</t>
  </si>
  <si>
    <t>This work was financially supported by the Program for Changjiang Scholars of Ministry of Education of the People's Republic of China (T2016088), the National Natural Science Foundation for Distinguished Young Scholars (81725021), the National Natural Science Foundation for Excellent Young Scholars (81922065), Innovative Research Groups of the National Natural Science Foundation of China (81721005), the Science and Technology Major Project of Hubei Province (2021ACA012), the Research and Development Program of Hubei Province (2020BCA058), the Academic Frontier Youth Team of HUST (2017QYTD19), and the Integrated Innovative Team for Major Human Diseases Program of Tongji Medical College (HUST). The authors thank the Analytical and Testing Center at the Huazhong University of Science and Technology for assistance in the acquisition of the NMR, ECD, UV, and IR spectra.</t>
  </si>
  <si>
    <t>10.1021/acs.orglett.2c02701</t>
  </si>
  <si>
    <t>5S1UH</t>
  </si>
  <si>
    <t>WOS:000874983500001</t>
  </si>
  <si>
    <t>Zheng, Y; Liu, ZW; Li, T; Li, X; Li, SH</t>
  </si>
  <si>
    <t>Zheng, Yu; Liu, Zhi-Wei; Li, Tao; Li, Xian; Li, Sheng-Hong</t>
  </si>
  <si>
    <t>KIO3-Mediated gamma-C(sp3)-H Sulfenylation of Enaminones</t>
  </si>
  <si>
    <t>DEHYDROGENATIVE COUPLING REACTION; REGIOSELECTIVE SULFENYLATION; DIMETHYL-SULFOXIDE; BOND FORMATION; CROSS; FUNCTIONALIZATION; ACTIVATION; THIOLS</t>
  </si>
  <si>
    <t>A metal-free regioselective gamma-C(sp3)-H sulfenylation of enaminones with heterocyclic thiols is reported. This transformation is efficient, mild, scalable, and environmentally friendly and tolerates a large variety of enaminones substrates and heterocyclic thiols. The utility of this strategy is demonstrated in a late-stage modification of bioactive natural products and drug derivatives.</t>
  </si>
  <si>
    <t>Zheng, Yu</t>
  </si>
  <si>
    <t>[Zheng, Yu; Li, Sheng-Hong] Chinese Acad Sci, Kunming Inst Bot, State Key Lab Phytochem &amp; Plant Resources West Chi, Kunming 650201, Peoples R China; [Liu, Zhi-Wei; Li, Xian] Kunming Med Univ, Sch Pharmaceut Sci, Kunming 650500, Peoples R China; [Liu, Zhi-Wei; Li, Xian] Kunming Med Univ, Yunnan Key Lab Pharmacol Nat Prod, Kunming 650500, Peoples R China; [Li, Tao; Li, Sheng-Hong] Chengdu Univ Tradit Chinese Med, State Key Lab Southwestern Chinese Med Resources, R China, Chengdu 611137, Peoples R China; [Li, Tao; Li, Sheng-Hong] Chengdu Univ Tradit Chinese Med, Innovat Inst Chinese Med &amp; Pharm, Chengdu 611137, Peoples R China</t>
  </si>
  <si>
    <t>Chinese Academy of Sciences; Kunming Institute of Botany, CAS; Kunming Medical University; Kunming Medical University; Chengdu University of Traditional Chinese Medicine; Chengdu University of Traditional Chinese Medicine</t>
  </si>
  <si>
    <t>Li, SH (通讯作者)，Chinese Acad Sci, Kunming Inst Bot, State Key Lab Phytochem &amp; Plant Resources West Chi, Kunming 650201, Peoples R China.;Li, SH (通讯作者)，Chengdu Univ Tradit Chinese Med, State Key Lab Southwestern Chinese Med Resources, R China, Chengdu 611137, Peoples R China.;Li, SH (通讯作者)，Chengdu Univ Tradit Chinese Med, Innovat Inst Chinese Med &amp; Pharm, Chengdu 611137, Peoples R China.</t>
  </si>
  <si>
    <t>shli@mail.kib.ac.cn</t>
  </si>
  <si>
    <t>State Key Program of National Natural Science Foundation of China [21937006]; National Natural Science Foundation of China [22101287]; Postdoctoral Directional Training Foundation of Yunnan Province; Yunnan Province</t>
  </si>
  <si>
    <t>State Key Program of National Natural Science Foundation of China(National Natural Science Foundation of China (NSFC)); National Natural Science Foundation of China(National Natural Science Foundation of China (NSFC)); Postdoctoral Directional Training Foundation of Yunnan Province; Yunnan Province</t>
  </si>
  <si>
    <t>This work was supported financially by the State Key Program of National Natural Science Foundation of China (21937006) , the National Natural Science Foundation of China (22101287) , the Postdoctoral Directional Training Foundation of Yunnan Province (awarded to Yu Zheng) , and the Postdoctoral Research Funding of Projects of Yunnan Province (awarded to Yu Zheng) .</t>
  </si>
  <si>
    <t>OCT 21</t>
  </si>
  <si>
    <t>10.1021/acs.orglett.2c02824</t>
  </si>
  <si>
    <t>7N5GZ</t>
  </si>
  <si>
    <t>WOS:000869056600001</t>
  </si>
  <si>
    <t>Zhao, Q; Xiao, LG; Bi, LS; Si, Y; Zhang, XM; Chen, JH; Liu, HY</t>
  </si>
  <si>
    <t>Zhao, Qing; Xiao, Long-Gao; Bi, Li-Sha; Si, Yu; Zhang, Xiao-Mei; Chen, Jian-Hong; Liu, Hai-Yang</t>
  </si>
  <si>
    <t>Hedychins E and F: Labdane-Type Norditerpenoids with Anti- Inflammatory Activity from the Rhizomes of Hedychium forrestii</t>
  </si>
  <si>
    <t>DITERPENOIDS; ANTIOXIDANT; CORONARIUM; CYTOKINES</t>
  </si>
  <si>
    <t>Hedychin E (1), a novel labdane-type norditerpenoid, and hedychin F (2), a new labdane-type dinorditerpenoid, were isolated from the rhizomes of Hedychium forrestii. Their structures were determined through a combination of spectroscopic analysis and X-ray single-crystal diffractions. Hedychin E (1) is an unprecedented 6-norditerpenoid with a fused tetrahydrofuran-lactone motif, and a reasonable biosynthetic pathway for 1 was proposed. Compound 2 showed a significant anti-inflammatory effect against LPS-induced NO production in macrophage RAW264.7 cells with an IC50 value of 21.0 mu M.</t>
  </si>
  <si>
    <t>Zhao, Qing</t>
  </si>
  <si>
    <t>[Zhao, Qing; Si, Yu; Zhang, Xiao-Mei] Yunnan Univ Chinese Med, Coll Tradit Chinese Med, Kunming 650500, Peoples R China; [Xiao, Long-Gao; Bi, Li-Sha; Liu, Hai-Yang] Chinese Acad Sci, Kunming Inst Bot, State Key Lab Phytochem &amp; Plant Resources West Chi, Kunming 650201, Peoples R China; [Xiao, Long-Gao; Bi, Li-Sha; Liu, Hai-Yang] Yunnan Characterist Plant Extract Lab, Kunming 650106, Peoples R China; [Xiao, Long-Gao; Bi, Li-Sha] Univ Chinese Acad Sci, Beijing 100049, Peoples R China; [Chen, Jian-Hong] 944 Hosp PLA, Emergency Dept, Jiuquan 735000, Gansu Province, Peoples R China</t>
  </si>
  <si>
    <t>Yunnan University of Chinese Medicine; Chinese Academy of Sciences; Kunming Institute of Botany, CAS; Chinese Academy of Sciences; University of Chinese Academy of Sciences, CAS</t>
  </si>
  <si>
    <t>Liu, HY (通讯作者)，Chinese Acad Sci, Kunming Inst Bot, State Key Lab Phytochem &amp; Plant Resources West Chi, Kunming 650201, Peoples R China.;Liu, HY (通讯作者)，Yunnan Characterist Plant Extract Lab, Kunming 650106, Peoples R China.;Chen, JH (通讯作者)，944 Hosp PLA, Emergency Dept, Jiuquan 735000, Gansu Province, Peoples R China.</t>
  </si>
  <si>
    <t>2602565725@qq.com; haiyangliu@mail.kib.ac.cn</t>
  </si>
  <si>
    <t>National Natural Science Foundation of China [U1802287, 82260687, 31960001]; Yunnan Provincial Science and Technology Department-Applied Basic Research Joint Special Funds of Yunnan University of Traditional Chinese Medicine [2017FF116 (- 011)]; Ten Thousand Talents Plan of Yunnan Province for Industrial Technology Leading Talents [YNWR-CYJS-2019-011]; Project of Yunnan Characteristic Plant Screening and R&amp;D Service CXO Platform [2022YKZY001]</t>
  </si>
  <si>
    <t>National Natural Science Foundation of China(National Natural Science Foundation of China (NSFC)); Yunnan Provincial Science and Technology Department-Applied Basic Research Joint Special Funds of Yunnan University of Traditional Chinese Medicine; Ten Thousand Talents Plan of Yunnan Province for Industrial Technology Leading Talents; Project of Yunnan Characteristic Plant Screening and R&amp;D Service CXO Platform</t>
  </si>
  <si>
    <t>This work was financially supported by the National Natural Science Foundation of China (U1802287, 82260687, and 31960001) , the Yunnan Provincial Science and Technology Department-Applied Basic Research Joint Special Funds of Yunnan University of Traditional Chinese Medicine (2017FF116 (- 011) ) , the Ten Thousand Talents Plan of Yunnan Province for Industrial Technology Leading Talents (YNWR-CYJS-2019-011) , and the Project of Yunnan Characteristic Plant Screening and R&amp;D Service CXO Platform (2022YKZY001) .</t>
  </si>
  <si>
    <t>SEP 30</t>
  </si>
  <si>
    <t>10.1021/acs.orglett.2c02710</t>
  </si>
  <si>
    <t>7M2TS</t>
  </si>
  <si>
    <t>WOS:000861304000001</t>
  </si>
  <si>
    <t>Huang, L; Zhang, ZZ; Li, YN; Yi, P; Gu, W; Yang, J; Li, YM; Hao, XJ; Yuan, CM</t>
  </si>
  <si>
    <t>Huang, Lei; Zhang, Zi-Zhen; Li, Ya-Nan; Yi, Ping; Gu, Wei; Yang, Jue; Li, Yan-Mei; Hao, Xiao-Jiang; Yuan, Chun-Mao</t>
  </si>
  <si>
    <t>Hypersampones A-C, Three Nor-Polycyclic Polyprenylated Acylphloroglucinols with Lipid-Lowering Activity from Hypericum sampsonii</t>
  </si>
  <si>
    <t>Hypersampones A-C (1-3), three unprecedented nor-polycyclic polyprenylated acylphloroglucinols (PPAPs), were isolated from Hypericum sampsonii. These compounds represent the first nor-PPAPs with an unexpected tetracyclic 6/5/5/6 ring system. Their structures were assigned through the analysis of detailed spectroscopic data, X-ray crystallography, and electronic circular dichroism calculations. Compound 1 significantly inhibited the accumulation of lipid in an oleic acid-treated HepG2 cell model by suppressing the protein expression of FAS and ACACA at 5 mu M.</t>
  </si>
  <si>
    <t>Huang, Lei</t>
  </si>
  <si>
    <t>[Huang, Lei; Zhang, Zi-Zhen; Li, Ya-Nan; Yi, Ping; Gu, Wei; Yang, Jue; Li, Yan-Mei; Hao, Xiao-Jiang; Yuan, Chun-Mao] Guizhou Med Univ, State Key Lab Funct &amp; Applicat Med Plants, Guiyang 550014, Peoples R China; [Huang, Lei; Zhang, Zi-Zhen; Li, Ya-Nan; Yi, Ping; Gu, Wei; Yang, Jue; Li, Yan-Mei; Hao, Xiao-Jiang; Yuan, Chun-Mao] Chinese Acad Sci, Key Lab Chem Nat Prod Guizhou Prov, Guiyang 550014, Peoples R China; [Hao, Xiao-Jiang] Chinese Acad Sci, Kunming Inst Bot, State Key Lab Phytochemistry &amp; Plant Resources Wes, Kunming 650201, Peoples R China</t>
  </si>
  <si>
    <t>Li, YM; Hao, XJ; Yuan, CM (通讯作者)，Guizhou Med Univ, State Key Lab Funct &amp; Applicat Med Plants, Guiyang 550014, Peoples R China.;Li, YM; Hao, XJ; Yuan, CM (通讯作者)，Chinese Acad Sci, Key Lab Chem Nat Prod Guizhou Prov, Guiyang 550014, Peoples R China.;Hao, XJ (通讯作者)，Chinese Acad Sci, Kunming Inst Bot, State Key Lab Phytochemistry &amp; Plant Resources Wes, Kunming 650201, Peoples R China.</t>
  </si>
  <si>
    <t>liyanmei518@hotmail.com; haoxj@mail.kib.ac.cn; yuanchunmao01@126.com</t>
  </si>
  <si>
    <t>Yuan, Chunmao/0000-0002-3550-161X; huang, lei/0000-0003-0828-1321</t>
  </si>
  <si>
    <t>Science and Technology Department of Guizhou Province [QKH 20201Z076, QKHJCZK[2021]YB569, QKHZC [2020]4Y203,, QKHJC-ZK[2022] YB293, QKHPTRC [2020]5008]; National Natural Science Foundation of China (NSFC) [82060631, U1812403, 81760630, 31960087, 82160808, 81872772, 81960546]; 13th Batch of Outstanding Young Scientific and Technological Talents in Guizhou Province [QKHPTRC [2021]5633]; High-level Innovative Talents in Guizhou Province; Cultivation Project of National Natural Science Foundation of Guizhou Medical University; Light of the West Talent Cultivation Program of Chinese Academy of Sciences [RZ [2020]82]; 100 Leading Talents of Guizhou Province; Technology Plan Project of Guizhou Province [QKHPTRC[2019]5627]</t>
  </si>
  <si>
    <t>Science and Technology Department of Guizhou Province; National Natural Science Foundation of China (NSFC)(National Natural Science Foundation of China (NSFC)); 13th Batch of Outstanding Young Scientific and Technological Talents in Guizhou Province; High-level Innovative Talents in Guizhou Province; Cultivation Project of National Natural Science Foundation of Guizhou Medical University; Light of the West Talent Cultivation Program of Chinese Academy of Sciences; 100 Leading Talents of Guizhou Province; Technology Plan Project of Guizhou Province</t>
  </si>
  <si>
    <t>This research was financially supported by the Science and Technology Department of Guizhou Province (QKH 20201Z076), the National Natural Science Foundation of China (NSFC, 82060631, U1812403, 81760630, 31960087, 82160808, 81872772, and 81960546), the 13th Batch of Outstanding Young Scientific and Technological Talents in Guizhou Province (QKHPTRC [2021]5633), The Science and Technology Department of Guizhou Province (), High-level Innovative Talents in Guizhou Province (Thousand Levels of Talent, C.MQKHJCZK[2021]YB569, QKHZC [2020]4Y203, QKHJC-ZK[2022] YB293, and QKHPTRC [2020]5008.Y. in 2018), the Cultivation Project of National Natural Science Foundation of Guizhou Medical University, the Light of the West Talent Cultivation Program of Chinese Academy of Sciences (C.-M.Y., RZ [2020]82), the 100 Leading Talents of Guizhou Province (Y.-M.L.), and the Technology Plan Project of Guizhou Province (QKHPTRC[2019]5627).</t>
  </si>
  <si>
    <t>10.1021/acs.orglett.2c02240</t>
  </si>
  <si>
    <t>3P9MK</t>
  </si>
  <si>
    <t>WOS:000837857600001</t>
  </si>
  <si>
    <t>Zhao, LQ; Zhao, YL; He, YJ; Yang, XW; Luo, XD</t>
  </si>
  <si>
    <t>Zhao, Lan-Qin; Zhao, Yun-Li; He, Ying-Jie; Yang, Xing-Wei; Luo, Xiao-Dong</t>
  </si>
  <si>
    <t>Tuberindine A, a Truffle Alkaloid with an Unprecedented Skeleton Exhibiting Anti-hyperuricemic Bioactivity</t>
  </si>
  <si>
    <t>CELLULOSE; ACIDS</t>
  </si>
  <si>
    <t>Tuberindines A and B (1 and 2), truffle alkaloids with intriguing structures, were isolated from Tuber indicum and detected in other truffle species. They appear to arise biosynthetically from amino acid and isosaccharinic units. Compound 1 upregulated the expression of organic anion transporters OAT1 and ABCG2 and significantly exhibited antihyperuricemic bioactivity in vitro and in vivo, which might support the value of truffles as a dietary supplement.</t>
  </si>
  <si>
    <t>Zhao, Lan-Qin</t>
  </si>
  <si>
    <t>[Zhao, Lan-Qin; Luo, Xiao-Dong] Chinese Acad Sci, Kunming Inst Bot, State Key Lab Phytochem &amp; Plant Resources West Ch, Kunming 650201, Yunnan, Peoples R China; [Zhao, Yun-Li; He, Ying-Jie; Luo, Xiao-Dong] Yunnan Univ, Minist Educ, Key Lab Med Chem Nat Resource, Kunming 650091, Yunnan, Peoples R China; [Zhao, Yun-Li; He, Ying-Jie; Luo, Xiao-Dong] Yunnan Univ, Yunnan Prov Ctr Res &amp; Dev Nat Prod, Kunming 650091, Yunnan, Peoples R China; [Zhao, Yun-Li; He, Ying-Jie; Luo, Xiao-Dong] Yunnan Univ, Sch Chem Sci &amp; Technol, Kunming 650091, Yunnan, Peoples R China; [Yang, Xing-Wei] Sun Yat Sen Univ, Sch Pharmaceut Sci Shenzhen, Shenzhen 518107, Peoples R China</t>
  </si>
  <si>
    <t>Chinese Academy of Sciences; Kunming Institute of Botany, CAS; Yunnan University; Yunnan University; Yunnan University; Sun Yat Sen University</t>
  </si>
  <si>
    <t>Luo, XD (通讯作者)，Chinese Acad Sci, Kunming Inst Bot, State Key Lab Phytochem &amp; Plant Resources West Ch, Kunming 650201, Yunnan, Peoples R China.;Luo, XD (通讯作者)，Yunnan Univ, Minist Educ, Key Lab Med Chem Nat Resource, Kunming 650091, Yunnan, Peoples R China.;Luo, XD (通讯作者)，Yunnan Univ, Yunnan Prov Ctr Res &amp; Dev Nat Prod, Kunming 650091, Yunnan, Peoples R China.;Luo, XD (通讯作者)，Yunnan Univ, Sch Chem Sci &amp; Technol, Kunming 650091, Yunnan, Peoples R China.;Yang, XW (通讯作者)，Sun Yat Sen Univ, Sch Pharmaceut Sci Shenzhen, Shenzhen 518107, Peoples R China.</t>
  </si>
  <si>
    <t>yang-xingwei@foxmail.com; xdluo@mail.kib.ac.cn</t>
  </si>
  <si>
    <t>Second Tibetan Plateau Scientific Expedition and Research (STEP) program [2019QZKK0502]; Yunnan Major Science and Technology Projects [2019FY003004, 2019ZF003]</t>
  </si>
  <si>
    <t>Second Tibetan Plateau Scientific Expedition and Research (STEP) program; Yunnan Major Science and Technology Projects</t>
  </si>
  <si>
    <t>The authors are grateful to the Second Tibetan Plateau Scientific Expedition and Research (STEP) program (2019QZKK0502), and the Yunnan Major Science and Technology Projects (2019FY003004, 2019ZF003) for partial financial support.</t>
  </si>
  <si>
    <t>10.1021/acs.orglett.2c01421</t>
  </si>
  <si>
    <t>2N8PL</t>
  </si>
  <si>
    <t>WOS:000818635200001</t>
  </si>
  <si>
    <t>Zhang, TY; Zhang, LY; Liang, X; Wei, K; Yang, YR</t>
  </si>
  <si>
    <t>Zhang, Tian-Yuan; Zhang, Lu-Yue; Liang, Xiao; Wei, Kun; Yang, Yu-Rong</t>
  </si>
  <si>
    <t>Catalytic, Asymmetric Total Synthesis of (+)-?-, (+)-?-, (+)-?-, and(-)-?-Lycorane</t>
  </si>
  <si>
    <t>FORMAL SYNTHESIS; STEREOSPECIFIC SYNTHESIS; CONJUGATE ADDITION; ALPHA-ALLYLATION; GAMMA-LYCORANE; AMARYLLIDACEAE; (+/-)-GAMMA-LYCORANE; CYCLIZATION; (+/-)-ALPHA-LYCORANE; HYDROGENATION</t>
  </si>
  <si>
    <t>Thefirst collectively asymmetric total synthesis of all membersof lycorane, including (+)-alpha, (+)-beta, (+)-gamma, and (-)-delta, in a catalytic mannerhas been achieved. The cornerstone of this synthesis features an asymmetric,stereodivergent Ir/amine dual catalytic alpha-allylation of 2-phthalimidoacetalde-hyde.</t>
  </si>
  <si>
    <t>Zhang, Tian-Yuan</t>
  </si>
  <si>
    <t>[Zhang, Tian-Yuan; Zhang, Lu-Yue; Liang, Xiao; Wei, Kun; Yang, Yu-Rong] Chinese Acad Sci, Kunming Inst Bot, State Key Lab Phytochem &amp; Plant Resources West Ch, Kunming 650201, Yunnan, Peoples R China; [Zhang, Lu-Yue] Univ Chinese Acad Sci, Beijing 100049, Peoples R China</t>
  </si>
  <si>
    <t>Wei, K; Yang, YR (通讯作者)，Chinese Acad Sci, Kunming Inst Bot, State Key Lab Phytochem &amp; Plant Resources West Ch, Kunming 650201, Yunnan, Peoples R China.</t>
  </si>
  <si>
    <t>weikun@mail.kib.ac.cn; yangyurong@mail.kib.ac.cn</t>
  </si>
  <si>
    <t>National Natural Science Foundation of China [21971249, 22171274, 22001256]; Key Research Program of the Frontier Sciences of the CAS [ZDBS-LY-SM030]</t>
  </si>
  <si>
    <t>National Natural Science Foundation of China(National Natural Science Foundation of China (NSFC)); Key Research Program of the Frontier Sciences of the CAS</t>
  </si>
  <si>
    <t>Financial support was provided by the National Natural Science Foundation of China (21971249, 22171274, and 22001256) and the Key Research Program of the Frontier Sciences of the CAS (Grant ZDBS-LY-SM030)</t>
  </si>
  <si>
    <t>APR 22</t>
  </si>
  <si>
    <t>10.1021/acs.orglett.2c00905</t>
  </si>
  <si>
    <t>1F2IS</t>
  </si>
  <si>
    <t>WOS:000794996900024</t>
  </si>
  <si>
    <t>Xie, TZ; Luo, L; Zhao, YL; Li, H; Xiang, ML; Qin, XJ; He, YJ; Zhu, YY; Dai, Z; Wang, ZJ; Wei, X; Liu, YP; Zhao, LX; Lai, R; Luo, XD</t>
  </si>
  <si>
    <t>Xie, Tian-Zhen; Luo, Lei; Zhao, Yun-Li; Li, Hao; Xiang, Mei-Ling; Qin, Xu-Jie; He, Ying-Jie; Zhu, Yan-Yan; Dai, Zhi; Wang, Zhao-Jie; Wei, Xin; Liu, Ya-Ping; Zhao, Li-Xing; Lai, Ren; Luo, Xiao-Dong</t>
  </si>
  <si>
    <t>Steroidal Alkaloids with a Potent Analgesic Effect Based on N-type Calcium Channel Inhibition</t>
  </si>
  <si>
    <t>MICE LACKING; VERATRUM; CORE</t>
  </si>
  <si>
    <t>Two distinctive alkaloids with 6/6/6/5/6/6 fused rings, in which a previously unidentified linkage of C-12/23 generates a rigid skeleton, resulting in a new subtype of steroidal alkaloid, were isolated from Veratrum grandiflorum. Compounds 1 and 2 showed potent analgesic effects in vivo, superior to the well-known analgesic, pethidine (Dolantin), likely by inhibiting Ca(V)2.2 voltage-gated calcium channels.</t>
  </si>
  <si>
    <t>Xie, Tian-Zhen</t>
  </si>
  <si>
    <t>[Xie, Tian-Zhen; Zhao, Yun-Li; Xiang, Mei-Ling; He, Ying-Jie; Zhu, Yan-Yan; Dai, Zhi; Wang, Zhao-Jie; Zhao, Li-Xing; Luo, Xiao-Dong] Yunnan Univ, Sch Chem Sci &amp; Technol, Key Lab Med Chem Nat Resource, Minist Educ &amp; Yunnan Prov, Kunming 650091, Yunnan, Peoples R China; [Luo, Lei; Li, Hao; Lai, Ren] Chinese Acad Sci, Kunming Inst Zool, Key Lab Anim Models &amp; Human Dis Mech, Key Lab Bioact Peptides Yunnan Prov, Kunming 650223, Yunnan, Peoples R China; [Qin, Xu-Jie; Wei, Xin; Liu, Ya-Ping; Luo, Xiao-Dong] Chinese Acad Sci, Kunming Inst Bot, State Key Lab Phytochem &amp; Plant Resources West Ch, Kunming 650201, Yunnan, Peoples R China</t>
  </si>
  <si>
    <t>Yunnan University; Chinese Academy of Sciences; Kunming Institute of Zoology; Chinese Academy of Sciences; Kunming Institute of Botany, CAS</t>
  </si>
  <si>
    <t>Luo, XD (通讯作者)，Yunnan Univ, Sch Chem Sci &amp; Technol, Key Lab Med Chem Nat Resource, Minist Educ &amp; Yunnan Prov, Kunming 650091, Yunnan, Peoples R China.;Lai, R (通讯作者)，Chinese Acad Sci, Kunming Inst Zool, Key Lab Anim Models &amp; Human Dis Mech, Key Lab Bioact Peptides Yunnan Prov, Kunming 650223, Yunnan, Peoples R China.;Luo, XD (通讯作者)，Chinese Acad Sci, Kunming Inst Bot, State Key Lab Phytochem &amp; Plant Resources West Ch, Kunming 650201, Yunnan, Peoples R China.</t>
  </si>
  <si>
    <t>rlai@mail.kiz.ac.cn; xdluo@ynu.edu.cn</t>
  </si>
  <si>
    <t>Second Tibetan Plateau Scientific Expedition and Research (STEP) program [2019QZKK0502]; Yunnan Science and Technology Project [2019ZF003, 202105AE160006, 202001AW070015]</t>
  </si>
  <si>
    <t>We are grateful to the Second Tibetan Plateau Scientific Expedition and Research (STEP) program (2019QZKK0502) and the Yunnan Science and Technology Project (2019ZF003, 202105AE160006, and 202001AW070015) for partial financial support. We thank the Advanced Analysis and Measurement Center of Yunnan University for the sample testing service.</t>
  </si>
  <si>
    <t>10.1021/acs.orglett.1c02853</t>
  </si>
  <si>
    <t>ZL5CH</t>
  </si>
  <si>
    <t>WOS:000763694500001</t>
  </si>
  <si>
    <t>Long, XW; Zhang, M; Yang, XD; Deng, J</t>
  </si>
  <si>
    <t>Long, Xianwen; Zhang, Min; Yang, Xiaodong; Deng, Jun</t>
  </si>
  <si>
    <t>Total Synthesis of (+/-)-Spiroaxillarone A via a Reversible Sulfa- Michael Addition</t>
  </si>
  <si>
    <t>LIGANDS; THIOLS</t>
  </si>
  <si>
    <t>A bioinspired strategy is described for the total synthesis of spiroaxillarone A, which exhibited significant antimalarial activity against resistant Plasmodium falciparum (IC50 = 2.32 mu M). The key steps include an intermolecular ethanethiol Michael addition, o-quinone Michael addition, and subsequent beta-ethanethiol elimination. This synthetic sequence provides a potential biosynthetic pathway of spiroaxillarone A.</t>
  </si>
  <si>
    <t>Long, Xianwen</t>
  </si>
  <si>
    <t>[Long, Xianwen; Yang, Xiaodong] Yunnan Univ, Minist Educ, Key Lab Med Chem Nat Resources, Kunming 650091, Yunnan, Peoples R China; [Long, Xianwen; Yang, Xiaodong] Yunnan Univ, Yunnan Prov Ctr Res &amp; Dev Nat Prod, Kunming 650091, Yunnan, Peoples R China; [Long, Xianwen; Yang, Xiaodong] Yunnan Univ, Sch Chem Sci &amp; Technol, Kunming 650091, Yunnan, Peoples R China; [Long, Xianwen; Zhang, Min] Chinese Acad Sci, Kunming Inst Bot, State Key Lab Phytochem &amp; Plant Resources West Ch, Kunming 650201, Yunnan, Peoples R China; [Deng, Jun] Nankai Univ, Coll Chem, State Key Lab, Tianjin 300071, Peoples R China; [Deng, Jun] Nankai Univ, Coll Chem, Inst Elementoorgan Chem, Tianjin 300071, Peoples R China</t>
  </si>
  <si>
    <t>Yunnan University; Yunnan University; Yunnan University; Chinese Academy of Sciences; Kunming Institute of Botany, CAS; Nankai University; Nankai University</t>
  </si>
  <si>
    <t>Deng, J (通讯作者)，Nankai Univ, Coll Chem, State Key Lab, Tianjin 300071, Peoples R China.;Deng, J (通讯作者)，Nankai Univ, Coll Chem, Inst Elementoorgan Chem, Tianjin 300071, Peoples R China.</t>
  </si>
  <si>
    <t>dengjun@nankai.edu.cn</t>
  </si>
  <si>
    <t>xianwen, long/0000-0002-7286-1542; Deng, Jun/0000-0002-7463-1329</t>
  </si>
  <si>
    <t>National Natural Science Foundation of China [21871278]; Fundamental Research Funds for Central Universities; Nankai University; CAS Light of West China Program; Key Program of Yunnan Province</t>
  </si>
  <si>
    <t>National Natural Science Foundation of China(National Natural Science Foundation of China (NSFC)); Fundamental Research Funds for Central Universities(Fundamental Research Funds for the Central Universities); Nankai University; CAS Light of West China Program; Key Program of Yunnan Province</t>
  </si>
  <si>
    <t>Financial support from the National Natural Science Foundation of China (21871278) , Fundamental Research Funds for Central Universities, Nankai University, CAS Light of West China Program, and Key Program of Yunnan Province is gratefully acknowledged.</t>
  </si>
  <si>
    <t>FEB 18</t>
  </si>
  <si>
    <t>10.1021/acs.orglett.1c04282</t>
  </si>
  <si>
    <t>ZD4PG</t>
  </si>
  <si>
    <t>WOS:000758180800008</t>
  </si>
  <si>
    <t>Zhou, ZS; Zhao, YL; Hu, BY; Wang, B; Liu, YP; Zhu, YY; He, YJ; Wang, ZJ; Dai, Z; Zhao, LX; Luo, XD</t>
  </si>
  <si>
    <t>Zhou, Zhong-Shun; Zhao, Yun-Li; Hu, Bin-Yuan; Wang, Bei; Liu, Ya-Ping; Zhu, Yan-Yan; He, Ying-Jie; Wang, Zhao-Jie; Dai, Zhi; Zhao, Li-Xing; Luo, Xiao-Dong</t>
  </si>
  <si>
    <t>Steroidal alkaloid with unprecedented triheterocyclic architecture</t>
  </si>
  <si>
    <t>CHEMICAL COMMUNICATIONS</t>
  </si>
  <si>
    <t>MALIC-ACID; SKELETON</t>
  </si>
  <si>
    <t>Veratrazine A (1), a steroidal alkaloid with a unique 6/5/5 triheterocyclic scaffold as the side chain, was isolated from Veratrum stenophyllum, and its structure was established via spectroscopic analyses and X-ray diffraction. A plausible biosynthetic pathway for 1 is proposed. Bioassy exhibits moderate anti-inflammatory activities in vitro and in vivo.</t>
  </si>
  <si>
    <t>Zhou, Zhong-Shun</t>
  </si>
  <si>
    <t>[Zhou, Zhong-Shun; Zhao, Yun-Li; Hu, Bin-Yuan; Zhu, Yan-Yan; He, Ying-Jie; Wang, Zhao-Jie; Dai, Zhi; Zhao, Li-Xing; Luo, Xiao-Dong] Yunnan Univ, Sch Chem Sci &amp; Technol, Key Lab Med Chem Nat Resource, Yunnan Characterist Plant Extract Lab,Minist Educ, R China, Kunming 650500, Peoples R China; [Liu, Ya-Ping; Luo, Xiao-Dong] Chinese Acad Sci, Kunming Inst Bot, State Key Lab Phytochem &amp; Plant Resources West Chi, Kunming 650201, Peoples R China; [Wang, Bei] Lanzhou Univ Technol, Sch Life Sci &amp; Engn, Key Lab Herbal Tebitan Drug Screening &amp; Deep Proc, Lanzhou 730050, Peoples R China</t>
  </si>
  <si>
    <t>Yunnan University; Chinese Academy of Sciences; Kunming Institute of Botany, CAS; Lanzhou University of Technology</t>
  </si>
  <si>
    <t>Luo, XD (通讯作者)，Yunnan Univ, Sch Chem Sci &amp; Technol, Key Lab Med Chem Nat Resource, Yunnan Characterist Plant Extract Lab,Minist Educ, R China, Kunming 650500, Peoples R China.;Luo, XD (通讯作者)，Chinese Acad Sci, Kunming Inst Bot, State Key Lab Phytochem &amp; Plant Resources West Chi, Kunming 650201, Peoples R China.</t>
  </si>
  <si>
    <t>High-level Talent Promotion and Training Project of Kunming [2022SCP003]; Project of Yunnan Characteristic Plant Screening and R&amp;D Service CXO Platform [2022YKZY001]; Scientific and Technological Innovation Team of Yunnan Province [202105AE160006]</t>
  </si>
  <si>
    <t>High-level Talent Promotion and Training Project of Kunming; Project of Yunnan Characteristic Plant Screening and R&amp;D Service CXO Platform; Scientific and Technological Innovation Team of Yunnan Province</t>
  </si>
  <si>
    <t>This study was financially supported by the High-level Talent Promotion and Training Project of Kunming (2022SCP003), Project of Yunnan Characteristic Plant Screening and R&amp;D Service CXO Platform (2022YKZY001), and Scientific and Technological Innovation Team of Yunnan Province (202105AE160006). We thank the Advanced Analysis and Measurement Center of Yunnan University for technical support.</t>
  </si>
  <si>
    <t>1359-7345</t>
  </si>
  <si>
    <t>1364-548X</t>
  </si>
  <si>
    <t>CHEM COMMUN</t>
  </si>
  <si>
    <t>Chem. Commun.</t>
  </si>
  <si>
    <t>JAN 3</t>
  </si>
  <si>
    <t>10.1039/d2cc06073f</t>
  </si>
  <si>
    <t>7I4JD</t>
  </si>
  <si>
    <t>WOS:000898529900001</t>
  </si>
  <si>
    <t>Ye, YS; Liu, R; Jiang, NN; Li, SY; Nian, Y; Xu, G</t>
  </si>
  <si>
    <t>Ye, Yan-Song; Liu, Rui; Jiang, Na-Na; Li, Song-Yu; Nian, Yin; Xu, Gang</t>
  </si>
  <si>
    <t>Caged polycyclic polyprenylated acylphloroglucinols as Ca(v)3.2 low voltage-gated Ca2+ channel inhibitors from Hypericum curvisepalum</t>
  </si>
  <si>
    <t>DERIVATIVES</t>
  </si>
  <si>
    <t>Five caged polycyclic polyprenylated acylphloroglucinols including an unprecedented octahydro-2,5-methanoindene skeleton (1) were discovered from Hypericum curvisepalum. Biologically, 1 and 2 are potent Ca(v)3.2 T-type Ca2+ channel inhibitors with negligible effect on the cardiovascular antitarget, the human ether-A-go-go-related gene potassium channel. Additionally, 2 indicates strong antinociception in the mouse acetic acid writhing test.</t>
  </si>
  <si>
    <t>Ye, Yan-Song</t>
  </si>
  <si>
    <t>[Ye, Yan-Song; Liu, Rui; Jiang, Na-Na; Li, Song-Yu; Nian, Yin; Xu, Gang] Chinese Acad Sci, Kunming Inst Bot, State Key Lab Phytochem &amp; Plant Resources West Chi, Kunming 650201, Peoples R China; [Ye, Yan-Song; Liu, Rui; Jiang, Na-Na; Li, Song-Yu; Nian, Yin; Xu, Gang] Chinese Acad Sci, Kunming Inst Bot, Yunnan Key Lab Nat Med Chem, Kunming 650201, Peoples R China; [Jiang, Na-Na] Univ Chinese Acad Sci, Beijing 100049, Peoples R China; [Liu, Rui] Shaanxi Normal Univ, Coll Life Sci, Key Lab Minist Educ Med Resources &amp; Nat Pharmaceut, Natl Engn Lab Resource Dev Endangered Crude Drugs, Xian 710119, Peoples R China</t>
  </si>
  <si>
    <t>Chinese Academy of Sciences; Kunming Institute of Botany, CAS; Chinese Academy of Sciences; Kunming Institute of Botany, CAS; Chinese Academy of Sciences; University of Chinese Academy of Sciences, CAS; Shaanxi Normal University</t>
  </si>
  <si>
    <t>Nian, Y; Xu, G (通讯作者)，Chinese Acad Sci, Kunming Inst Bot, State Key Lab Phytochem &amp; Plant Resources West Chi, Kunming 650201, Peoples R China.;Nian, Y; Xu, G (通讯作者)，Chinese Acad Sci, Kunming Inst Bot, Yunnan Key Lab Nat Med Chem, Kunming 650201, Peoples R China.</t>
  </si>
  <si>
    <t>nianyin@mail.kib.ac.cn; xugang008@mail.kib.ac.cn</t>
  </si>
  <si>
    <t>Ye, Yan-Song/0000-0003-4414-6880</t>
  </si>
  <si>
    <t>NOV 24</t>
  </si>
  <si>
    <t>10.1039/d2cc05396a</t>
  </si>
  <si>
    <t>6M0AG</t>
  </si>
  <si>
    <t>WOS:000882523100001</t>
  </si>
  <si>
    <t>Li, LL; Shen, HW; Bao, DF; Wanasinghe, DN; Lu, YZ; Feng, Y; Luo, ZL</t>
  </si>
  <si>
    <t>Li, Long-Li; Shen, Hong-Wei; Bao, Dan-Feng; Wanasinghe, Dhanushka N.; Lu, Yong-Zhong; Feng, Yuan; Luo, Zong-Long</t>
  </si>
  <si>
    <t>The plethora of Tubeufiaceae in lakes of the northwestern Yunnan plateau, China</t>
  </si>
  <si>
    <t>FRONTIERS IN MICROBIOLOGY</t>
  </si>
  <si>
    <t>Dothideomycetes; lignicolous freshwater fungi; helicosporous hyphomycetes; morphology; multigene phylogeny</t>
  </si>
  <si>
    <t>FRESH-WATER FUNGI; PHYLOGENETIC INVESTIGATIONS; SEQUENCE ALIGNMENT; SUBMERGED WOOD; NOV.; HABITATS; PSEUDOHELICOMYCES; BIODIVERSITY; REVISION; RECORDS</t>
  </si>
  <si>
    <t>The diversity of lignicolous freshwater fungi in northwestern Yunnan, China, has been studied for several years in the College of Agriculture and Biological Science, at Dali University. Over the last 5 years, we published two new genera and nine new species of Tubeufiaceae from northwestern Yunnan. This study focused on introducing tubeufia-like hyphomycetous fungi found in freshwater lakes in the northwestern Yunnan plateau. Eleven fresh collections of tubeufiaceous taxa were gathered and identified. Among them, a new genus, Neomanoharachariella, is introduced to accommodate Neomanoharachariella aquatica, which is characterized by a light brown to dark brown color, dictyoseptate, and broadly oval to ellipsoid and well-developed conidiophores. Two new species, viz., Neohelicosporium suae and Parahelicomyces suae, one new record, Helicoma rufum, and three new collections, namely, H. rugosum, P. hyalosporus, and Tubeufia cylindrothecia are introduced based on morphological evidence and molecular phylogenetic analysis of combined ITS, LSU, tef 1-alpha, and RPB2 sequence data. Detailed descriptions and illustrations of these species are provided, and a morphological comparison with similar taxa is discussed.</t>
  </si>
  <si>
    <t>Li, Long-Li</t>
  </si>
  <si>
    <t>[Li, Long-Li; Shen, Hong-Wei; Bao, Dan-Feng; Feng, Yuan; Luo, Zong-Long] Dali Univ, Coll Agr &amp; Biol Sci, Dali, Peoples R China; [Shen, Hong-Wei; Bao, Dan-Feng] Mae Fah Luang Univ, Ctr Excellence Fungal Res, Chiang Rai, Thailand; [Shen, Hong-Wei] Mae Fah Luang Univ, Sch Sci, Chiang Rai, Thailand; [Bao, Dan-Feng] Chiang Mai Univ, Fac Agr, Dept Entomol &amp; Plant Pathol, Chiang Mai, Thailand; [Wanasinghe, Dhanushka N.] Chinese Acad Sci, Kunming Inst Bot, Ctr Mt Futures, Honghe, Peoples R China; [Lu, Yong-Zhong] Guizhou Inst Technol, Sch Food &amp; Pharmaceut Engn, Guiyang, Peoples R China</t>
  </si>
  <si>
    <t>Dali University; Mae Fah Luang University; Mae Fah Luang University; Chiang Mai University; Chinese Academy of Sciences; Kunming Institute of Botany, CAS; Guizhou Institute of Technology</t>
  </si>
  <si>
    <t>Luo, ZL (通讯作者)，Dali Univ, Coll Agr &amp; Biol Sci, Dali, Peoples R China.</t>
  </si>
  <si>
    <t>luozonglongfungi@163.com</t>
  </si>
  <si>
    <t>CAS President's International Fellowship Initiative (PIFI); National Science Foundation of China (NSFC); Postdoctoral Fund from the Human Resources and Social Security Bureau of Yunnan Province;  [2021FYB0005];  [32150410362]</t>
  </si>
  <si>
    <t xml:space="preserve">CAS President's International Fellowship Initiative (PIFI); National Science Foundation of China (NSFC)(National Natural Science Foundation of China (NSFC)); Postdoctoral Fund from the Human Resources and Social Security Bureau of Yunnan Province; ; </t>
  </si>
  <si>
    <t>Funding This work was mainly supported by the National Natural Science Foundation of China (Project ID: 32060005 and 31900020) and the Yunnan Fundamental Research Project (Grant Nos. 202101AU070137 and 202201AW070001).</t>
  </si>
  <si>
    <t>1664-302X</t>
  </si>
  <si>
    <t>FRONT MICROBIOL</t>
  </si>
  <si>
    <t>Front. Microbiol.</t>
  </si>
  <si>
    <t>NOV 28</t>
  </si>
  <si>
    <t>10.3389/fmicb.2022.1056669</t>
  </si>
  <si>
    <t>6W8QJ</t>
  </si>
  <si>
    <t>WOS:000895990900001</t>
  </si>
  <si>
    <t>Wang, R; Wang, YL; Guerin-Laguette, A; Zhang, P; Colinas, C; Yu, FQ</t>
  </si>
  <si>
    <t>Wang, Ran; Wang, Yanliang; Guerin-Laguette, Alexis; Zhang, Peng; Colinas, Carlos; Yu, Fuqiang</t>
  </si>
  <si>
    <t>Factors influencing successful establishment of exotic Pinus radiata seedlings with co-introduced Lactarius deliciosus or local ectomycorrhizal fungal communities</t>
  </si>
  <si>
    <t>exotic pine; extracellular enzyme; fungal community; Lactarius; rhizosphere; Suillus</t>
  </si>
  <si>
    <t>PLANT INVASIONS; PLANTATIONS; PATTERNS; PINACEAE; PINES</t>
  </si>
  <si>
    <t>An introduction of exotic or non-native trees may fail due to a lack of suitable fungal partners. We planted exotic Pinus radiata in Xifeng, Guizhou Southwest China. Strategies to introduce P. radiata seedlings either colonized with an ectomycorrhizal fungus (EcMF), Lactarius deliciosus, or expect them to form familiar/new associations with local EcMF in a new habitat were studied to know how P. radiata could be successfully established over a period of 2.5 years. Plant height and needle nutrient acquisition, the persistence of the co-introduced L. deliciosus, and fungal community composition in rhizosphere soil and root tips were analyzed. In addition, a greenhouse bioassay experiment of local soil to assess the differences in the EcMF community between exotic and native pine seedlings was also conducted. The current results demonstrated that P. radiata could establish in the Xifeng plantation with or without co-introduced L. deliciosus. The co-introduced L. deliciosus might be naturalized with P. radiata in the new area since it has been fruited for 2 years with high relative abundance in mycorrhizosphere soil. L. deliciosus pre-colonization significantly altered the mycorrhizosphere fungal composition and it had a positive correlation with nitrogen acquisition of P. radiata. Host identity had no effect on fungal composition since exotic P. radiata and native P. massoniana recruited similar local fungal communities in early establishment or in plantation. The cosmopolitan species Suillus placidus, with high relative abundance, formed a familiar association with P. radiata. The greenhouse bioassay experiment further showed that Suillus sp. contributed relatively higher total extracellular enzymes by forming ectomycorrhizas with P. radiata and the same type of ectomycorrhiza of P. radiata and P. massoniana showed different enzymatic functions. Our study indicated that exotic P. radiata could be a suitable tree capable to get established successfully in the Xifeng plantation either by interaction with the co-introduced L. deliciosus or with a local EcMF, but we should be cautious about large-scale planting of P. radiata. L. deliciosus persisted in plantation and more attention should be paid to local EcMF community changes induced by the introduced L. deliciosus.</t>
  </si>
  <si>
    <t>Wang, Ran</t>
  </si>
  <si>
    <t>[Wang, Ran; Wang, Yanliang; Zhang, Peng; Yu, Fuqiang] Chinese Acad Sci, Kunming Inst Bot, Yunnan Key Lab Fungal Divers &amp; Green Dev, Germplasm Bank Wild Species, Kunming, Peoples R China; [Wang, Ran; Colinas, Carlos] Univ Lleida, Dept Crop &amp; Forest Sci, Lleida, Spain; [Guerin-Laguette, Alexis] Mycotree C Southern Woods Nursery, Christchurch, New Zealand; [Colinas, Carlos] Forest Sci Ctr Catalonia, Solsona, Spain</t>
  </si>
  <si>
    <t>Chinese Academy of Sciences; Kunming Institute of Botany, CAS; Universitat de Lleida; Centre Tecnologic Forestal de Catalunya (CTFC)</t>
  </si>
  <si>
    <t>Wang, R; Yu, FQ (通讯作者)，Chinese Acad Sci, Kunming Inst Bot, Yunnan Key Lab Fungal Divers &amp; Green Dev, Germplasm Bank Wild Species, Kunming, Peoples R China.;Wang, R (通讯作者)，Univ Lleida, Dept Crop &amp; Forest Sci, Lleida, Spain.</t>
  </si>
  <si>
    <t>wangran@mail.kib.ac.cn; fqyu@mail.kib.ac.cn</t>
  </si>
  <si>
    <t>NOV 17</t>
  </si>
  <si>
    <t>10.3389/fmicb.2022.973483</t>
  </si>
  <si>
    <t>6S0BF</t>
  </si>
  <si>
    <t>WOS:000892661500001</t>
  </si>
  <si>
    <t>Yang, N; Hua, JN; Zhang, JB; Liu, D; Bhople, P; Li, XX; Zhang, Y; Ruan, HH; Xing, W; Mao, LF</t>
  </si>
  <si>
    <t>Yang, Nan; Hua, Jiani; Zhang, Jiangbao; Liu, Dong; Bhople, Parag; Li, Xiuxiu; Zhang, Yan; Ruan, Honghua; Xing, Wei; Mao, Lingfeng</t>
  </si>
  <si>
    <t>Soil nutrients and plant diversity affect ectomycorrhizal fungal community structure and functional traits across three subalpine coniferous forests</t>
  </si>
  <si>
    <t>ectomycorrhizal fungi; subalpine region; fungal ITS gene; coniferous forest ecosystems; climate warming</t>
  </si>
  <si>
    <t>LITTER DECOMPOSITION; MICROBIAL COMMUNITIES; NITROGEN DEPOSITION; ORGANIC NITROGEN; HOST; AVAILABILITY; PHOSPHORUS; BIOMASS; MYCORRHIZAS; BACTERIAL</t>
  </si>
  <si>
    <t>The symbiotic relationship between ectomycorrhizal fungi (EMF) and the roots of host plants is significantly important in regulating the health and stability of ecosystems, especially of those such as the climate warming affected subalpine forest ecosystems. Therefore, from the coniferous forest systems located in the Southern Qinghai-Tibetan Plateau, root tips from three forest tree species: Pinus wallichiana, Abies spectabilis and Picea spinulosa, were collected to look for the local causes of EMF community composition and diversity patterns. The EMF colonization rate, diversity and taxonomic community structure were determined by morphotyping and sanger sequencing of the fungal ITS gene from the root tip samples. Soil exploration types were identified based on the morphologies of the ectomycorrhizas, coupled with soil properties analysis and plant diversity survey. Contrasting patterns of EMF community and functional diversity were found across the studied three forests types dominated by different coniferous tree species. In terms of associations between soil and EMF properties, the total phosphorus (TP) and nitrate (NO3-) contents in soil negatively correlated with the colonization rate and the Shannon diversity index of EMF in contrast to the positive relationship between TP and EMF richness. The soil total nitrogen (TN), ammonium (NH4+) and plant diversity together caused 57.6% of the total variations in the EMF taxonomic community structure at the three investigated forest systems. Whereas based on the soil exploration types alone, NH4+ and TN explained 74.2% of variance in the EMF community structures. Overall, the findings of this study leverage our understanding of EMF dynamics and local influencing factors in coniferous forests dominated by different tree species within the subalpine climatic zone.</t>
  </si>
  <si>
    <t>Yang, Nan</t>
  </si>
  <si>
    <t>[Yang, Nan; Hua, Jiani; Zhang, Jiangbao; Li, Xiuxiu; Zhang, Yan; Ruan, Honghua; Mao, Lingfeng] Nanjing Forestry Univ, Coll Biol &amp; Environm, Coinnovat Ctr Sustainable Forestry Southern China, Dept Ecol, Nanjing, Peoples R China; [Liu, Dong] Chinese Acad Sci, Kunming Inst Bot, Yunnan Key Lab Fungal Divers &amp; Green Dev, Germplasm Bank Wild Species, Kunming, Yunnan, Peoples R China; [Bhople, Parag] Univ Limerick, Fac Sci &amp; Engn, Sch Nat Sci, Dept Biol Sci, Limerick, Ireland; [Xing, Wei] Jiangsu Acad Forestry, Nanjing, Peoples R China; [Xing, Wei] Yangzhou Urban Forest Ecosyst Natl Res Stn, Yangzhou, Jiangsu, Peoples R China</t>
  </si>
  <si>
    <t>Nanjing Forestry University; Chinese Academy of Sciences; Kunming Institute of Botany, CAS; University of Limerick</t>
  </si>
  <si>
    <t>Mao, LF (通讯作者)，Nanjing Forestry Univ, Coll Biol &amp; Environm, Coinnovat Ctr Sustainable Forestry Southern China, Dept Ecol, Nanjing, Peoples R China.;Xing, W (通讯作者)，Jiangsu Acad Forestry, Nanjing, Peoples R China.;Xing, W (通讯作者)，Yangzhou Urban Forest Ecosyst Natl Res Stn, Yangzhou, Jiangsu, Peoples R China.</t>
  </si>
  <si>
    <t>nerring@163.com; maolingfeng2008@163.com</t>
  </si>
  <si>
    <t>Yang, Nan/GSO-0726-2022</t>
  </si>
  <si>
    <t>Yang, Nan/0000-0002-9176-334X</t>
  </si>
  <si>
    <t>OCT 6</t>
  </si>
  <si>
    <t>10.3389/fmicb.2022.1016610</t>
  </si>
  <si>
    <t>5Q2BC</t>
  </si>
  <si>
    <t>WOS:000873641300001</t>
  </si>
  <si>
    <t>Luo, KY; Zhao, CL</t>
  </si>
  <si>
    <t>Luo, Kai-Yue; Zhao, Chang-Lin</t>
  </si>
  <si>
    <t>Morphology and multigene phylogeny reveal a new order and a new species of wood-inhabiting basidiomycete fungi (Agaricomycetes)</t>
  </si>
  <si>
    <t>biodiversity; fungal systematics; ITS; LSU; new taxa; wood-decaying fungi; Xenasmatales; Xenasmatella nigroidea</t>
  </si>
  <si>
    <t>APHYLLOPHORALES; POLYPORALES; CHECKLIST; HYMENOCHAETALES; CLASSIFICATION; CHINA; GENUS</t>
  </si>
  <si>
    <t>Dead wood-associated fungi play an important role in wood degradation and the recycling of organic matter in the forest ecological system. Xenasmataceae is a cosmopolitan group of wood-rotting fungi that grows on tropical, subtropical, temperate, and boreal vegetation. In this study, a new fungal order, Xenasmatales, is introduced based on both morphology and multigene phylogeny to accommodate Xenasmataceae. According to the internal transcribed spacer and nuclear large subunit (ITS+nLSU) and nLSU-only analyses of 13 orders, Xenasmatales formed a single lineage and then grouped with orders Atheliales, Boletales, and Hymenochaetales. The ITS dataset revealed that the new taxon Xenasmatella nigroidea clustered into Xenasmatella and was closely grouped with Xenasmatella vaga. In the present study, Xenasmatella nigroidea collected from Southern China is proposed as a new taxon, based on a combination of morphology and phylogeny. Additionally, a key to the Xenasmatella worldwide is provided.</t>
  </si>
  <si>
    <t>Luo, Kai-Yue</t>
  </si>
  <si>
    <t>[Luo, Kai-Yue; Zhao, Chang-Lin] Southwest Forestry Univ, Key Lab Forest Resources Conservat &amp; Utilizat Sout, Minist Educ, Kunming, Peoples R China; [Luo, Kai-Yue; Zhao, Chang-Lin] Southwest Forestry Univ, Restorat &amp; Ecol Serv, Yunnan Key Lab Plateau Wetland Conservat, Kunming, Peoples R China; [Luo, Kai-Yue; Zhao, Chang-Lin] Southwest Forestry Univ, Coll Biodivers Conservat, Kunming, Peoples R China; [Zhao, Chang-Lin] Chinese Acad Sci, Kunming Inst Bot, Yunnan Key Lab Fungal Divers &amp; Green Dev, Kunming, Peoples R China</t>
  </si>
  <si>
    <t>Southwest Forestry University - China; Southwest Forestry University - China; Southwest Forestry University - China; Chinese Academy of Sciences; Kunming Institute of Botany, CAS</t>
  </si>
  <si>
    <t>Zhao, CL (通讯作者)，Southwest Forestry Univ, Key Lab Forest Resources Conservat &amp; Utilizat Sout, Minist Educ, Kunming, Peoples R China.;Zhao, CL (通讯作者)，Southwest Forestry Univ, Restorat &amp; Ecol Serv, Yunnan Key Lab Plateau Wetland Conservat, Kunming, Peoples R China.;Zhao, CL (通讯作者)，Southwest Forestry Univ, Coll Biodivers Conservat, Kunming, Peoples R China.;Zhao, CL (通讯作者)，Chinese Acad Sci, Kunming Inst Bot, Yunnan Key Lab Fungal Divers &amp; Green Dev, Kunming, Peoples R China.</t>
  </si>
  <si>
    <t>fungi@swfu.edu.cn</t>
  </si>
  <si>
    <t>National Natural Science Foundation of China [32170004, U2102220]; Yunnan Fundamental Research Project [202001AS070043]; High-level Talents Program of Yunnan Province [YNQR-QNRC-2018-111]; Yunnan Key Laboratory of Plateau Wetland Conservation, Restoration, and Ecological Services [202105AG070002]</t>
  </si>
  <si>
    <t>National Natural Science Foundation of China(National Natural Science Foundation of China (NSFC)); Yunnan Fundamental Research Project; High-level Talents Program of Yunnan Province; Yunnan Key Laboratory of Plateau Wetland Conservation, Restoration, and Ecological Services</t>
  </si>
  <si>
    <t>The research was supported by the National Natural Science Foundation of China (Project No. 32170004, U2102220) to C-LZ, the Yunnan Fundamental Research Project (Grant No. 202001AS070043) to C-LZ, the High-level Talents Program of Yunnan Province (YNQR-QNRC-2018-111) to C-LZ, and the Yunnan Key Laboratory of Plateau Wetland Conservation, Restoration, and Ecological Services (202105AG070002) to K-YL.</t>
  </si>
  <si>
    <t>AUG 31</t>
  </si>
  <si>
    <t>10.3389/fmicb.2022.970731</t>
  </si>
  <si>
    <t>4N5CJ</t>
  </si>
  <si>
    <t>WOS:000854036600001</t>
  </si>
  <si>
    <t>Gui, H; Fan, LC; Wang, DH; Yan, P; Li, X; Pang, YH; Zhang, LP; Zamanian, K; Shi, LL; Xu, JC; Han, WY</t>
  </si>
  <si>
    <t>Gui, Heng; Fan, Lichao; Wang, Donghui; Yan, Peng; Li, Xin; Pang, Yinghua; Zhang, Liping; Zamanian, Kazem; Shi, Lingling; Xu, Jianchu; Han, Wenyan</t>
  </si>
  <si>
    <t>Variations in Soil Nutrient Dynamics and Bacterial Communities After the Conversion of Forests to Long-Term Tea Monoculture Systems</t>
  </si>
  <si>
    <t>tea production; pyrosequencing; monoculture system; co-occurrence network; nutrient availability</t>
  </si>
  <si>
    <t>LAND-USE; RHIZOSPHERE MICROBIOME; COOCCURRENCE PATTERNS; CONTAMINATED SOILS; NETWORK COMPLEXITY; WESTERN SICHUAN; PLANTATION AGE; ORGANIC-CARBON; KEYSTONE TAXA; HILLY REGION</t>
  </si>
  <si>
    <t>The soil microbial community is a key indicator to evaluate the soil health and productivities in agricultural ecosystems. Monoculture and conversions of forests to tea plantations have been widely applied in tea plantation globally, but long-term monoculture of tea plantation could lead to soil degradation and yield decline. Understanding how long-term monoculture systems influence the soil health and ecosystem functions in tea plantation is of great importance for soil environment management. In this study, through the comparison of three independent tea plantations across eastern China composed of varying stand ages (from 3 to 90 years after conversion from forest), we found that long-term tea monoculture led to significant increases in soil total organic carbon (TOC) and microbial nitrogen (MBN). Additionally, the structure, function, and co-occurrence network of soil bacterial communities were investigated by pyrosequencing 16S rRNA genes. The pyrosequencing analysis revealed that the structures and functions of soil bacterial communities were significantly affected by different stand ages, but sampling sites and land-use conversion (from forest to tea plantation) had stronger effects than stand age on the diversity and structure of soil bacterial communities. Soil bacterial diversity can be improved with increasing stand ages in tea plantation. Further RDA analysis revealed that the C and N availability improvement in tea plantation soils led to the variation of structure and function in soil bacterial communities. Moreover, co-occurrence network analysis of soil bacterial communities also demonstrated that interactions among soil bacteria taxa were strengthened with increasing stand age. Our findings suggest that long-term monoculture with proper managements could be beneficial to soil ecosystems by increasing the C and N content and strengthening bacterial associations in tea plantations. Overall, this study provides a comprehensive understanding of the impact of land-use change and long-term monoculture stand age on soil environments in tea plantation.</t>
  </si>
  <si>
    <t>Gui, Heng</t>
  </si>
  <si>
    <t>[Gui, Heng; Fan, Lichao; Wang, Donghui; Yan, Peng; Li, Xin; Zhang, Liping; Han, Wenyan] Chinese Acad Agr Sci, Tea Res Inst, Hangzhou, Peoples R China; [Gui, Heng; Shi, Lingling; Xu, Jianchu] Chinese Acad Sci, Kunming Inst Bot, Dept Econ Plants &amp; Biotechnol, Yunnan Key Lab Wild Plant Resources, Kunming, Peoples R China; [Gui, Heng; Shi, Lingling; Xu, Jianchu] Chinese Acad Sci, Kunming Inst Bot, Ctr Mt Futures CMF, Kunming, Peoples R China; [Fan, Lichao; Zamanian, Kazem] Univ Gottingen, Dept Soil Sci Temperate Ecosyst, Gottingen, Germany; [Fan, Lichao] Chinese Acad Sci, Kunming Inst Bot, Yunnan Key Lab Fungal Divers &amp; Green Dev, Kunming, Peoples R China; [Pang, Yinghua] Bur Agr &amp; Rural Affairs Yuhang Dist, Hangzhou, Peoples R China; [Zamanian, Kazem] Nanjing Univ Informat Sci &amp; Technol, Sch Geog Sci, Nanjing, Peoples R China</t>
  </si>
  <si>
    <t>Chinese Academy of Agricultural Sciences; Tea Research Institute, CAAS; Chinese Academy of Sciences; Kunming Institute of Botany, CAS; Chinese Academy of Sciences; Kunming Institute of Botany, CAS; University of Gottingen; Chinese Academy of Sciences; Kunming Institute of Botany, CAS; Nanjing University of Information Science &amp; Technology</t>
  </si>
  <si>
    <t>Fan, LC; Han, WY (通讯作者)，Chinese Acad Agr Sci, Tea Res Inst, Hangzhou, Peoples R China.;Fan, LC (通讯作者)，Univ Gottingen, Dept Soil Sci Temperate Ecosyst, Gottingen, Germany.;Fan, LC (通讯作者)，Chinese Acad Sci, Kunming Inst Bot, Yunnan Key Lab Fungal Divers &amp; Green Dev, Kunming, Peoples R China.</t>
  </si>
  <si>
    <t>flcxsy@126.com; hanwy@tricaas.com</t>
  </si>
  <si>
    <t>Zamanian, Kazem/E-4961-2016</t>
  </si>
  <si>
    <t>Zamanian, Kazem/0000-0002-9536-9251</t>
  </si>
  <si>
    <t>10.3389/fmicb.2022.896530</t>
  </si>
  <si>
    <t>3A5QZ</t>
  </si>
  <si>
    <t>WOS:000827315700001</t>
  </si>
  <si>
    <t>Zeng, QC; Lebreton, A; Man, XW; Jia, LK; Wang, GS; Gong, S; Buee, M; Wu, G; Dai, YC; Yang, ZL; Martin, FM</t>
  </si>
  <si>
    <t>Zeng, Qingchao; Lebreton, Annie; Man, Xiaowu; Jia, Liukun; Wang, Gengshen; Gong, Sai; Buee, Marc; Wu, Gang; Dai, Yucheng; Yang, Zhuliang; Martin, Francis M.</t>
  </si>
  <si>
    <t>Ecological Drivers of the Soil Microbial Diversity and Composition in Primary Old-Growth Forest and Secondary Woodland in a Subtropical Evergreen Broad-Leaved Forest Biome in the Ailao Mountains, China</t>
  </si>
  <si>
    <t>community structure; evergreen sclerophyllous broad-leaved forest; forest replacement; pine forest; subtropical biome; soil microbiome; Yunnan</t>
  </si>
  <si>
    <t>LITTER DECOMPOSITION; FUNGAL COMMUNITIES; BACTERIAL; WEST; RHIZOSPHERE; VEGETATION; TEMPERATE; RESPONSES; RICHNESS; LINKAGES</t>
  </si>
  <si>
    <t>Replacement of primary old-growth forests by secondary woodlands in threatened subtropical biomes drives important changes at the level of the overstory, understory and forest floor, but the impact on belowground microbial biodiversity is yet poorly documented. In the present study, we surveyed by metabarcoding sequencing, the diversity and composition of soil bacteria and fungi in the old-growth forest, dominated by stone oaks (Lithocarpus spp.) and in the secondary Yunnan pine woodland of an iconic site for biodiversity research, the Ailaoshan National Nature Reserve (Ailao Mountains, Yunnan province, China). We assessed the effect of forest replacement and other environmental factors, including soil horizons, soil physicochemical characteristics and seasonality (monsoon vs. dry seasons). We showed that tree composition and variation in soil properties were major drivers for both bacterial and fungal communities, with a significant influence from seasonality. Ectomycorrhizal Operational Taxonomic Units (OTUs) dominated the functional fungal guilds. Species richness and diversity of the bacterial and fungal communities were higher in the pine woodland compared to the primary Lithocarpus forest, although prominent OTUs were different. The slightly lower complexity of the microbiome in the primary forest stands likely resulted from environmental filtering under relatively stable conditions over centuries, when compared to the secondary pine woodlands. In the old-growth forest, we found a higher number of species, but that communities were homogeneously distributed, whereas in the pine woodlands, there is a slightly lower number of species present but the communities are heterogeneously distributed. The present surveys of the bacterial and fungal diversity will serve as references in future studies aiming to assess the impact of the climate change on soil microbial diversity in both old-growth forests and secondary woodlands in Ailaoshan.</t>
  </si>
  <si>
    <t>Zeng, Qingchao</t>
  </si>
  <si>
    <t>[Zeng, Qingchao; Lebreton, Annie; Man, Xiaowu; Dai, Yucheng; Martin, Francis M.] Beijing Forestry Univ, Beijing Adv Innovat Ctr Tree Breeding Mol Design, Beijing, Peoples R China; [Zeng, Qingchao; Dai, Yucheng] Beijing Forestry Univ, Sch Ecol &amp; Nat Conservat, Beijing, Peoples R China; [Lebreton, Annie; Buee, Marc; Martin, Francis M.] Univ Lorraine, Ctr INRAE GrandEst Nancy, INRAE, UMR Interact Arbres Microorganismes, Nancy, France; [Jia, Liukun; Wang, Gengshen; Gong, Sai; Wu, Gang; Yang, Zhuliang] Chinese Acad Sci, Kunming Inst Bot, Key Lab Plant Divers &amp; Biogeog East Asia, Kunming, Peoples R China; [Wang, Gengshen; Wu, Gang; Yang, Zhuliang] Yunnan Key Lab Fungal Divers &amp; Green Dev, Kunming, Peoples R China</t>
  </si>
  <si>
    <t>Beijing Forestry University; Beijing Forestry University; INRAE; Universite de Lorraine; Chinese Academy of Sciences; Kunming Institute of Botany, CAS</t>
  </si>
  <si>
    <t>Dai, YC; Martin, FM (通讯作者)，Beijing Forestry Univ, Beijing Adv Innovat Ctr Tree Breeding Mol Design, Beijing, Peoples R China.;Dai, YC (通讯作者)，Beijing Forestry Univ, Sch Ecol &amp; Nat Conservat, Beijing, Peoples R China.;Martin, FM (通讯作者)，Univ Lorraine, Ctr INRAE GrandEst Nancy, INRAE, UMR Interact Arbres Microorganismes, Nancy, France.;Yang, ZL (通讯作者)，Chinese Acad Sci, Kunming Inst Bot, Key Lab Plant Divers &amp; Biogeog East Asia, Kunming, Peoples R China.;Yang, ZL (通讯作者)，Yunnan Key Lab Fungal Divers &amp; Green Dev, Kunming, Peoples R China.</t>
  </si>
  <si>
    <t>yuchengdai@bjfu.edu.cn; fungi@mail.kib.ac.cn; francis.martin@inrae.fr</t>
  </si>
  <si>
    <t>JUN 13</t>
  </si>
  <si>
    <t>10.3389/fmicb.2022.908257</t>
  </si>
  <si>
    <t>2O7PQ</t>
  </si>
  <si>
    <t>WOS:000819247000001</t>
  </si>
  <si>
    <t>Wanasinghe, DN; Mortimer, PE; Bezerra, JDP</t>
  </si>
  <si>
    <t>Wanasinghe, Dhanushka N.; Mortimer, Peter E.; Bezerra, Jadson D. P.</t>
  </si>
  <si>
    <t>Editorial: Fungal Systematics and Biogeography</t>
  </si>
  <si>
    <t>taxonomic diversity; biogeographic distributions; molecular phylogeny; ecological roles; host-specificity</t>
  </si>
  <si>
    <t>Wanasinghe, Dhanushka N.</t>
  </si>
  <si>
    <t>[Wanasinghe, Dhanushka N.; Mortimer, Peter E.] Chinese Acad Sci, Kunming Inst Bot, Ctr Mt Futures, Kunming, Yunnan, Peoples R China; [Wanasinghe, Dhanushka N.; Mortimer, Peter E.] Chinese Acad Sci, Kunming Inst Bot, Dept Econom Plants &amp; Biotechnol, Yunnan Key Lab Wild Plant Resources, Kunming, Peoples R China; [Bezerra, Jadson D. P.] Univ Fed Goias UFG, Setor Micol, Dept Biociencias Tecnol, Inst Patol Trop Saude Publ IPTSP, Goiania, Brazil</t>
  </si>
  <si>
    <t>Chinese Academy of Sciences; Kunming Institute of Botany, CAS; Chinese Academy of Sciences; Kunming Institute of Botany, CAS; Universidade Federal de Goias</t>
  </si>
  <si>
    <t>Wanasinghe, DN; Mortimer, PE (通讯作者)，Chinese Acad Sci, Kunming Inst Bot, Ctr Mt Futures, Kunming, Yunnan, Peoples R China.;Wanasinghe, DN; Mortimer, PE (通讯作者)，Chinese Acad Sci, Kunming Inst Bot, Dept Econom Plants &amp; Biotechnol, Yunnan Key Lab Wild Plant Resources, Kunming, Peoples R China.</t>
  </si>
  <si>
    <t>dnadeeshan@gmail.com; peter@mail.kib.ac.cn</t>
  </si>
  <si>
    <t>Wanasinghe, Dhanushka Nadeeshan/P-1693-2017; Bezerra, Jadson DP/A-5846-2019</t>
  </si>
  <si>
    <t>Wanasinghe, Dhanushka Nadeeshan/0000-0003-1759-3933; Bezerra, Jadson DP/0000-0002-7782-8602</t>
  </si>
  <si>
    <t>CAS President's International Fellowship Initiative [2021FYB0005]; National Science Foundation of China (NSFC) [32150410362]; Postdoctoral Fund from Human Resources and Social Security Bureau of Yunnan Province</t>
  </si>
  <si>
    <t>CAS President's International Fellowship Initiative; National Science Foundation of China (NSFC)(National Natural Science Foundation of China (NSFC)); Postdoctoral Fund from Human Resources and Social Security Bureau of Yunnan Province</t>
  </si>
  <si>
    <t>PM thanks the High-End Foreign Experts in the High-Level Talent 318 Recruitment Plan of Yunnan Province, 2021. DW would like to thank the CAS President's International Fellowship Initiative (No. 2021FYB0005), the National Science Foundation of China (NSFC) under the project code (32150410362), and the Postdoctoral Fund from Human Resources and Social Security Bureau of Yunnan Province.</t>
  </si>
  <si>
    <t>10.3389/fmicb.2021.827725</t>
  </si>
  <si>
    <t>YV4FH</t>
  </si>
  <si>
    <t>WOS:000752684900001</t>
  </si>
  <si>
    <t>Li, N; Chen, M; Zhu, HT; Zhang, M; Wang, D; Yang, CR; Zhang, YJ</t>
  </si>
  <si>
    <t>Li, Na; Chen, Min; Zhu, Hong-Tao; Zhang, Man; Wang, Dong; Yang, Chong-Ren; Zhang, Ying-Jun</t>
  </si>
  <si>
    <t>Theaflavoids A-C, new flavan-3-ols with potent alpha-glucosidase inhibitory activity from Yunnan black tea 'Jin-Ya'</t>
  </si>
  <si>
    <t>LWT-FOOD SCIENCE AND TECHNOLOGY</t>
  </si>
  <si>
    <t>Yunnan black tea; Flavonoids; Flavan-3-ols; alpha-glucosidase inhibitory activity; Antioxidant activity</t>
  </si>
  <si>
    <t>ANTIOXIDANT ACTIVITY; FLAVONOL GLYCOSIDES; FAT; PIGMENTS</t>
  </si>
  <si>
    <t>Black tea, rich in various and complex polyphenols, is one of the most popular beverages in the world due to its pleasant aroma and health benefits, such as alleviate hyperglycemia and antioxidant. The extensive investigation on the chemical constituents of Yunnan black tea 'Jin-Ya', produced from the leaf buds of Camellia sinensis var. assamica, led to the isolation and identification of 16 flavonoids including three new flavan-3-ols, namely theaflavoids A-C (1-3). Most of the isolates displayed obvious inhibitory activity on alpha-glucosidase with IC50 values ranging from 1.11 to 24.7 mu M. Notably, the new theaflavoids 1-3 showed much stronger inhibitory activity (IC50 = 1.34, 1.11, and 4.57 mu M, respectively) than those of the positive controls (acarbose and quercetin, IC50 = 228 and 9.38 mu M, respectively). In addition, the isolated flavonol glycosides 5-16 were evaluated for their antioxidant activities by DPPH and ABTS(+) radical scavenging assays. Those with galloyl group in molecular exhibited comparable free radical scavenging activities to the positive controls (ascorbic acid and Trolox), while most of the flavonol glycosides showed only moderate activities. The results indicated that Yunnan black tea 'Jin-Ya' is an ideal drink with hypoglycemic and antioxidant property, and is worthy of regular consumption.</t>
  </si>
  <si>
    <t>Li, Na</t>
  </si>
  <si>
    <t>[Li, Na; Chen, Min; Zhu, Hong-Tao; Zhang, Man; Wang, Dong; Yang, Chong-Ren; Zhang, Ying-Jun] Chinese Acad Sci, Kunming Inst Bot, State Key Lab Phytochem &amp; Plant Resources West, Kunming 650201, Peoples R China; [Chen, Min] Univ Chinese Acad Sci, Beijing 100049, Peoples R China; [Zhang, Ying-Jun] Chinese Acad Sci, Kunming Inst Bot, Yunnan Key Lab Nat Med Chem, Kunming 650201, Peoples R China</t>
  </si>
  <si>
    <t>Zhang, YJ (通讯作者)，Chinese Acad Sci, Kunming Inst Bot, State Key Lab Phytochem &amp; Plant Resources West, Kunming 650201, Peoples R China.</t>
  </si>
  <si>
    <t>zhangyj@mail.kib.ac.cn</t>
  </si>
  <si>
    <t>Zhang, Y J/HLG-1022-2023; zhang, ying/HJB-1230-2022</t>
  </si>
  <si>
    <t>Postdoctoral Directional Training Foundation of Yunnan Province, Industrial Innovation Talents of Rejuvenating Yunnan talents support plan of Yunnan province, IndustrialResearch Talent Project of CAS K.C.Wong Leading Talent Plan; National Natural Science Foundation of China [21672223]</t>
  </si>
  <si>
    <t>Postdoctoral Directional Training Foundation of Yunnan Province, Industrial Innovation Talents of Rejuvenating Yunnan talents support plan of Yunnan province, IndustrialResearch Talent Project of CAS K.C.Wong Leading Talent Plan; National Natural Science Foundation of China(National Natural Science Foundation of China (NSFC))</t>
  </si>
  <si>
    <t>This work was supported by Postdoctoral Directional Training Foundation of Yunnan Province, Industrial Innovation Talents of Rejuvenating Yunnan talents support plan of Yunnan province, IndustrialResearch Talent Project of CAS K.C.Wong Leading Talent Plan and the National Natural Science Foundation of China (No. 21672223). The authors are grateful to the staffs of the analytical and bioactivity screening groups at the State Key Laboratory of Phytochemistry and Plant Resources in West China, Kunming Institute of Botany, Chinese Academy of Sciences, for measuring the spectroscopic data and bioactivity.</t>
  </si>
  <si>
    <t>0023-6438</t>
  </si>
  <si>
    <t>1096-1127</t>
  </si>
  <si>
    <t>LWT-FOOD SCI TECHNOL</t>
  </si>
  <si>
    <t>LWT-Food Sci. Technol.</t>
  </si>
  <si>
    <t>OCT 1</t>
  </si>
  <si>
    <t>10.1016/j.lwt.2022.113918</t>
  </si>
  <si>
    <t>6A4MF</t>
  </si>
  <si>
    <t>WOS:000880630000003</t>
  </si>
  <si>
    <t>Wang, YB; Wang, XY; Hu, GL; Al-Romaima, A; Liu, XQ; Bai, XH; Li, JH; Li, ZR; Qiu, MH</t>
  </si>
  <si>
    <t>Wang, Yanbing; Wang, Xiaoyuan; Hu, Guilin; Al-Romaima, Abdulbaset; Liu, Xiaoqiong; Bai, Xuehui; Li, Jinhong; Li, Zhongrong; Qiu, Minghua</t>
  </si>
  <si>
    <t>Effect of green coffee oil as a natural active emulsifying agent on the properties of corn starch-based films</t>
  </si>
  <si>
    <t>Corn starch -based films; Green coffee oil; Emulsifier; Mechanical properties; Barrier properties</t>
  </si>
  <si>
    <t>ARABICA</t>
  </si>
  <si>
    <t>Green coffee oil can be used as a biologically active emulsifier. In this study, corn starch-based composite films with different concentrations of Arabica coffee oil (ACO) and Robusta coffee oil (RCO) were prepared using the solution-casting method. The film-forming properties and physicochemical characteristics of the composite films were investigated, and their antibacterial activity was evaluated. With the addition of coffee oil, the mechanical properties of the corn starch-based films improved, and the thickness, UV light-shielding performance and transparency of the cornstarch-based film significantly increased. Compared with the oil-free or RCO addition films, the addition of ACO significantly reduced the solubility and water vapor transmission rate of the films, resulting in an improvement of waterproof performance of the films. Furthermore, adding of coffee oil formed micelles in the composite film, in which the active ingredient exhibited S. aureus inhibitory activity. The results showed that ACO, as bioactive vegetable oil, can be used as a natural surfactant to improve the overall per-formance of starch-based films. At the same time, ACO can meet the needs of consumers to reduce the use of chemical additives, and its application in corn starch-based composite films could become a promising food packaging platform.</t>
  </si>
  <si>
    <t>Wang, Yanbing</t>
  </si>
  <si>
    <t>[Wang, Yanbing; Wang, Xiaoyuan; Hu, Guilin; Al-Romaima, Abdulbaset; Li, Zhongrong; Qiu, Minghua] Chinese Acad Sci, Kunming Inst Bot, State Key Lab Phytochemistry &amp; Plant Resources Wes, Kunming 650201, Yunnan, Peoples R China; [Wang, Yanbing; Wang, Xiaoyuan; Liu, Xiaoqiong; Bai, Xuehui; Li, Jinhong] Dehong Trop Agr Res Inst Yunnan, Ruili 678600, Yunnan, Peoples R China; [Wang, Yanbing; Wang, Xiaoyuan] Guangxi Univ, Coll Agr, Nanning 530004, Guangxi, Peoples R China</t>
  </si>
  <si>
    <t>Chinese Academy of Sciences; Kunming Institute of Botany, CAS; Guangxi University</t>
  </si>
  <si>
    <t>Qiu, MH (通讯作者)，Chinese Acad Sci, Kunming Inst Bot, State Key Lab Phytochemistry &amp; Plant Resources Wes, Kunming 650201, Yunnan, Peoples R China.</t>
  </si>
  <si>
    <t>National Natural Science Foundation of China, China [U1902206, 31670364]; Science and Technology Entering Yunnan Project Plan, China [202003AD150006]; STS Program of Chinese Academy of Sciences, China [KFJ-SW-STS-143-8]; Dehong Comprehensive Experiment Station of Coffee, Yunnan, Chia [CARS-11-YNLJH]; Coffee Industry Science and Technology Mission in Zhenkang County, Yunnan Province, China [202204BI090009]</t>
  </si>
  <si>
    <t>National Natural Science Foundation of China, China(National Natural Science Foundation of China (NSFC)); Science and Technology Entering Yunnan Project Plan, China; STS Program of Chinese Academy of Sciences, China; Dehong Comprehensive Experiment Station of Coffee, Yunnan, Chia; Coffee Industry Science and Technology Mission in Zhenkang County, Yunnan Province, China</t>
  </si>
  <si>
    <t>This study was supported financially by the National Natural Science Foundation of China, China (Nos. U1902206, 31670364), Science and Technology Entering Yunnan Project Plan, China (No. 202003AD150006), the STS Program of Chinese Academy of Sciences, China (No. KFJ-SW-STS-143-8), Dehong Comprehensive Experiment Station of Coffee, Yunnan, Chia (No. CARS-11-YNLJH), Coffee Industry Science and Technology Mission in Zhenkang County, Yunnan Province, China (No. 202204BI090009).</t>
  </si>
  <si>
    <t>10.1016/j.lwt.2022.114087</t>
  </si>
  <si>
    <t>5S8FQ</t>
  </si>
  <si>
    <t>WOS:000875419000005</t>
  </si>
  <si>
    <t>Sun, H; Shi, Q; Zhang, SB; Huang, W</t>
  </si>
  <si>
    <t>Sun, Hu; Shi, Qi; Zhang, Shi-Bao; Huang, Wei</t>
  </si>
  <si>
    <t>The response of photosystem I to fluctuating light is influenced by leaf nitrogen content in tomato</t>
  </si>
  <si>
    <t>ENVIRONMENTAL AND EXPERIMENTAL BOTANY</t>
  </si>
  <si>
    <t>Chlorophyll fluorescence; Cyclic electron flow; Photosynthesis; Photoinhibition; PSI redox state</t>
  </si>
  <si>
    <t>CYCLIC ELECTRON FLOW; PROTON MOTIVE FORCE; CO2 ASSIMILATION; REGULATORY NETWORK; PLANT-GROWTH; TRANSPORT; PHOTOSYNTHESIS; ATP; ENERGY; PHOTOPROTECTION</t>
  </si>
  <si>
    <t>Fluctuating light and nitrogen (N) deficiency can occur synchronously under natural growth conditions. How-ever, little is known about the photosynthetic regulation under fluctuating light in plants grown with N deficiency. In the present study, we examined the effect of N supply on the response of photosystem I (PSI) to fluctuating light in tomato. Plants grown under high N concentration (HN-plants) had higher leaf N content, chlorophyll content and saturating CO2 assimilation rate than plants grown under middle and low N concentrations (MN- and LN-plants). After an abrupt increase in illumination for 10 s, all plants could not generate a sufficient proton gradient (Delta pH). Meanwhile, PSI was over-reduced in HN-and MN-plants but was highly oxidized in LN-plants. In LN-plants, the smallest PSII electron flow avoided an over-reduction of PSI under fluctuating light. After transition from low to high light, CEF gradually increased to the peak in 30 s in HN-plants but rapidly increased to the peak in 10 s in MN-plants. Such delayed activation of CEF in HN-plants accelerated the over-reduction of PSI. After fluctuating light treatment, HN-plants displayed the greatest PSI photoinhibition, followed by MN-and LN-plants. These results indicated that leaf N content significantly affected the response of PSI to fluctuating light in tomato.</t>
  </si>
  <si>
    <t>[Sun, Hu; Shi, Qi; Zhang, Shi-Bao; Huang, Wei] Chinese Acad Sci, Kunming Inst Bot, Kunming 650201, Peoples R China; [Sun, Hu; Shi, Qi] Univ Chinese Acad Sci, Beijing 100049, Peoples R China</t>
  </si>
  <si>
    <t>Zhang, SB; Huang, W (通讯作者)，Chinese Acad Sci, Kunming Inst Bot, Kunming 650201, Peoples R China.</t>
  </si>
  <si>
    <t>sbzhang@mail.kib.ac.cn; huangwei@mail.kib.ac.cn</t>
  </si>
  <si>
    <t>Huang, Wei/0000-0003-1854-6995; Sun, Hu/0000-0003-1516-3665</t>
  </si>
  <si>
    <t>National Natural Science Foundationof China [31971412]; Project for Innovation Team of Yunnan Province</t>
  </si>
  <si>
    <t>National Natural Science Foundationof China(National Natural Science Foundation of China (NSFC)); Project for Innovation Team of Yunnan Province</t>
  </si>
  <si>
    <t>This work was supported by the National Natural Science Foundationof China (Grant 31971412) , and the Project for Innovation Team of Yunnan Province.</t>
  </si>
  <si>
    <t>0098-8472</t>
  </si>
  <si>
    <t>1873-7307</t>
  </si>
  <si>
    <t>ENVIRON EXP BOT</t>
  </si>
  <si>
    <t>Environ. Exp. Bot.</t>
  </si>
  <si>
    <t>10.1016/j.envexpbot.2021.104665</t>
  </si>
  <si>
    <t>Plant Sciences; Environmental Sciences</t>
  </si>
  <si>
    <t>WA5KD</t>
  </si>
  <si>
    <t>WOS:000702923000001</t>
  </si>
  <si>
    <t>Su, DY; Gong, Y; Li, SY; Yang, J; Nian, Y</t>
  </si>
  <si>
    <t>Su, Deyuan; Gong, Ye; Li, Songyu; Yang, Jian; Nian, Yin</t>
  </si>
  <si>
    <t>Cyclovirobuxine D, a cardiovascular drug from traditional Chinese medicine, alleviates inflammatory and neuropathic pain mainly via inhibition of voltage-gated Ca(v)3.2 channels</t>
  </si>
  <si>
    <t>FRONTIERS IN PHARMACOLOGY</t>
  </si>
  <si>
    <t>Cyclovirobuxine D; Ca(v)3; 2; Ca(v)2; Buxus microphylla; analgesic effects</t>
  </si>
  <si>
    <t>ROOT GANGLION NEURONS; CALCIUM-CHANNELS; CELL-PROLIFERATION; PACLITAXEL; RAT; RECEPTOR; GENE; EXPRESSION; APOPTOSIS; CURRENTS</t>
  </si>
  <si>
    <t>Cyclovirobuxine D (CVB-D), the main active constituent of traditional Chinese medicine Buxus microphylla, was developed as a safe and effective cardiovascular drug in China. B. microphylla has also been used to relieve various pain symptoms for centuries. In this study, we examined and uncovered strong and persistent analgesic effects of cyclovirobuxine D against several mouse models of pain, including carrageenan- and CFA-induced inflammatory pain and paclitaxel-mediated neuropathic hypersensitivity. Cyclovirobuxine D shows comparable analgesic effects by intraplantar or intraperitoneal administration. Cyclovirobuxine D potently inhibits voltage-gated Ca(v)2.2 and Ca(v)3.2 channels but has negligible effects on a diverse group of nociceptive ion channels distributed in primary afferent neurons, including Na(v)1.7, Na(v)1.8, TRPV1, TPRA1, TRPM8, ASIC3, P2X2 and P2X4. Moreover, inhibition of Ca(v)3.2, rather than Ca(v)2.2, plays a dominant role in attenuating the excitability of isolated dorsal root ganglion neurons and pain relieving effects of cyclovirobuxine D. Our work reveals that a currently in-use cardiovascular drug has strong analgesic effects mainly via blockade of Ca(v)3.2 and provides a compelling rationale and foundation for conducting clinical studies to repurpose cyclovirobuxine D in pain management.</t>
  </si>
  <si>
    <t>Su, Deyuan</t>
  </si>
  <si>
    <t>[Su, Deyuan] Chinese Acad Sci, Kunming Inst Zool, Ion Channel Res &amp; Drug Dev Ctr, Key Lab Anim Models &amp; Human Dis Mech,Key Lab Bioac, Kunming, Yunnan, Peoples R China; [Su, Deyuan; Gong, Ye; Li, Songyu; Nian, Yin] Chinese Acad Sci, Kunming Inst Bot, State Key Lab Phytochem &amp; Plant Resources West Chi, Kunming, Yunnan, Peoples R China; [Su, Deyuan; Li, Songyu] Univ Chinese Acad Sci, Beijing, Peoples R China; [Yang, Jian] Columbia Univ, Dept Biol Sci, New York, NY 10027 USA</t>
  </si>
  <si>
    <t>Chinese Academy of Sciences; Kunming Institute of Zoology; Chinese Academy of Sciences; Kunming Institute of Botany, CAS; Chinese Academy of Sciences; University of Chinese Academy of Sciences, CAS; Columbia University</t>
  </si>
  <si>
    <t>Nian, Y (通讯作者)，Chinese Acad Sci, Kunming Inst Bot, State Key Lab Phytochem &amp; Plant Resources West Chi, Kunming, Yunnan, Peoples R China.;Yang, J (通讯作者)，Columbia Univ, Dept Biol Sci, New York, NY 10027 USA.</t>
  </si>
  <si>
    <t>jy160@columbia.edu; nianyin@mail.kib.ac.cn</t>
  </si>
  <si>
    <t>National Natural Science Foundation of China; Second Tibetan Plateau Scientific Expedition and Research (STEP) program [32070393]; Natural Science Foundation of Yunnan [2019QZKK0502-0304]; Ten Thousand Talent Plans for Young Top-notch Talents of Yunnan Province [202001AS070040, 202101AV070010]; CAS Light of West China Young Scholars Program [YNWR-QNBJ-2020-277]; Fund of State Key Laboratory of Phytochemistry and Plant Resources in West China;  [P2020-KF10]</t>
  </si>
  <si>
    <t xml:space="preserve">National Natural Science Foundation of China(National Natural Science Foundation of China (NSFC)); Second Tibetan Plateau Scientific Expedition and Research (STEP) program; Natural Science Foundation of Yunnan(Natural Science Foundation of Yunnan Province); Ten Thousand Talent Plans for Young Top-notch Talents of Yunnan Province; CAS Light of West China Young Scholars Program; Fund of State Key Laboratory of Phytochemistry and Plant Resources in West China; </t>
  </si>
  <si>
    <t>This study was supported by the National Natural Science Foundation of China (32070393), the Second Tibetan Plateau Scientific Expedition and Research (STEP) program (2019QZKK0502-0304), Natural Science Foundation of Yunnan (202001AS070040 and 202101AV070010), Ten Thousand Talent Plans for Young Top-notch Talents of Yunnan Province (YNWR-QNBJ-2020-277), CAS Light of West China Young Scholars Program (2021) and Joint Program (2021), the Fund of State Key Laboratory of Phytochemistry and Plant Resources in West China (P2020-KF10).</t>
  </si>
  <si>
    <t>1663-9812</t>
  </si>
  <si>
    <t>FRONT PHARMACOL</t>
  </si>
  <si>
    <t>Front. Pharmacol.</t>
  </si>
  <si>
    <t>DEC 21</t>
  </si>
  <si>
    <t>10.3389/fphar.2022.1081697</t>
  </si>
  <si>
    <t>7N8ON</t>
  </si>
  <si>
    <t>WOS:000907595600001</t>
  </si>
  <si>
    <t>Arunachalam, K; Anand, K; Palanisamy, S; Anathy, V</t>
  </si>
  <si>
    <t>Arunachalam, Karuppusamy; Anand, Krishnan; Palanisamy, Subramanian; Anathy, Vikas</t>
  </si>
  <si>
    <t>Editorial: Oxidative stress related to cellular metabolism in lung health and diseases</t>
  </si>
  <si>
    <t>reactive oxygen species; oxidative stress; lung disease; respiratory illness; drug toxicity and therapy</t>
  </si>
  <si>
    <t>OBSTRUCTIVE PULMONARY-DISEASE; PREVALENCE; ASTHMA</t>
  </si>
  <si>
    <t>Arunachalam, Karuppusamy</t>
  </si>
  <si>
    <t>[Arunachalam, Karuppusamy] Chinese Acad Sci, Key Lab Econ Plants &amp; Biotechnol, Kunming, Peoples R China; [Arunachalam, Karuppusamy] Chinese Acad Sci, Kunming Inst Bot, Yunnan Key Lab Wild Plant Resources, Kunming, Peoples R China; [Arunachalam, Karuppusamy] Chinese Acad Sci, Southeast Asia Biodivers Res Inst, Naypyidaw, Myanmar; [Arunachalam, Karuppusamy] Univ Fed Mato Grosso Sul UFMS, Fac Med Dr Helio Mandetta FAMED, Ctr Estudos Celulas Tronco Terapia Celular &amp; Gene, Programa Posgrad Saude &amp; Desenvolvimento Regiao C, Campo Grande, MS, Brazil; [Anand, Krishnan] Univ Free State, Fac Hlth Sci, Sch Pathol, Dept Chem Pathol, Bloemfontein, South Africa; [Palanisamy, Subramanian] Gangneung Wonju Natl Univ, Dept Marine Food Sci &amp; Technol, Kangnung, Gangwon, South Korea; [Palanisamy, Subramanian] Gangneung Wonju Natl Univ, East Coast Life Sci Inst, Kangnung, Gangwon, South Korea; [Anathy, Vikas] Univ Vermont, Dept Pathol, Burlington, VT USA</t>
  </si>
  <si>
    <t>Chinese Academy of Sciences; Chinese Academy of Sciences; Kunming Institute of Botany, CAS; Universidade Federal de Mato Grosso do Sul; University of the Free State; Kangnung Wonju National University; Kangnung Wonju National University; University of Vermont</t>
  </si>
  <si>
    <t>Arunachalam, K (通讯作者)，Chinese Acad Sci, Key Lab Econ Plants &amp; Biotechnol, Kunming, Peoples R China.;Arunachalam, K (通讯作者)，Chinese Acad Sci, Kunming Inst Bot, Yunnan Key Lab Wild Plant Resources, Kunming, Peoples R China.;Arunachalam, K (通讯作者)，Chinese Acad Sci, Southeast Asia Biodivers Res Inst, Naypyidaw, Myanmar.;Arunachalam, K (通讯作者)，Univ Fed Mato Grosso Sul UFMS, Fac Med Dr Helio Mandetta FAMED, Ctr Estudos Celulas Tronco Terapia Celular &amp; Gene, Programa Posgrad Saude &amp; Desenvolvimento Regiao C, Campo Grande, MS, Brazil.</t>
  </si>
  <si>
    <t>arunachalam04@gmail.com</t>
  </si>
  <si>
    <t>Arunachalam, Karuppusamy/G-5023-2018</t>
  </si>
  <si>
    <t>Arunachalam, Karuppusamy/0000-0001-9146-7068</t>
  </si>
  <si>
    <t>NOV 3</t>
  </si>
  <si>
    <t>10.3389/fphar.2022.1015423</t>
  </si>
  <si>
    <t>6J2BD</t>
  </si>
  <si>
    <t>WOS:000886631100001</t>
  </si>
  <si>
    <t>Arunachalam, K; Sreeja, PS; Yang, XF</t>
  </si>
  <si>
    <t>Arunachalam, Karuppusamy; Sreeja, Puthanpura Sasidharan; Yang, Xuefei</t>
  </si>
  <si>
    <t>The Antioxidant Properties of Mushroom Polysaccharides can Potentially Mitigate Oxidative Stress, Beta-Cell Dysfunction and Insulin Resistance</t>
  </si>
  <si>
    <t>reactive oxygen species; oxidative stress; antioxidant; diabetes mellitus; mushroom polysaccharides</t>
  </si>
  <si>
    <t>AGARICUS-BLAZEI MURILL; GANODERMA-LUCIDUM POLYSACCHARIDES; ACTIVATED SIGNALING PATHWAYS; TYPE-2 DIABETES-MELLITUS; PROTEIN-KINASE-C; MT-ALPHA-GLUCAN; MEDICINAL MUSHROOM; SUBMERGED-CULTURE; PHELLINUS-LINTEUS; STRUCTURAL-CHARACTERIZATION</t>
  </si>
  <si>
    <t>Diabetes mellitus is a prevalent metabolic and endocrine illness affecting people all over the world and is of serious health and financial concern. Antidiabetic medicine delivered through pharmacotherapy, including synthetic antidiabetic drugs, are known to have several negative effects. Fortunately, several natural polysaccharides have antidiabetic properties, and the use of these polysaccharides as adjuncts to conventional therapy is becoming more common, particularly in underdeveloped nations. Oxidative stress has a critical role in the development of diabetes mellitus (DM). The review of current literature presented here focusses, therefore, on the antioxidant properties of mushroom polysaccharides used in the management of diabetic complications, and discusses whether these antioxidant properties contribute to the deactivation of the oxidative stress-related signalling pathways, and to the amelioration of beta-cell dysfunction and insulin resistance. In this study, we conducted a systematic review of the relevant information concerning the antioxidant and antidiabetic effects of mushrooms from electronic databases, such as PubMed, Scopus or Google Scholar, for the period 1994 to 2021. In total, 104 different polysaccharides from mushrooms have been found to have antidiabetic effects. Most of the literature on mushroom polysaccharides has demonstrated the beneficial effects of these polysaccharides on reactive oxygen and nitrogen species (RONS) levels. This review discuss the effects of these polysaccharides on hyperglycemia and other alternative antioxidant therapies for diabetic complications through their applications and limits, in order to gain a better understanding of how they can be used to treat DM. Preclinical and phytochemical investigations have found that most of the active polysaccharides extracted from mushrooms have antioxidant activity, reducing oxidative stress and preventing the development of DM. Further research is necessary to confirm whether mushroom polysaccharides can effectively alleviate hyperglycemia, and the mechanisms by which they do this, and to investigate whether these polysaccharides might be utilized as a complementary therapy for the prevention and management of DM in the future.</t>
  </si>
  <si>
    <t>[Arunachalam, Karuppusamy; Yang, Xuefei] Chinese Acad Sci, Kunming Inst Bot, Key Lab Econ Plants &amp; Biotechnol, Kunming, Peoples R China; [Arunachalam, Karuppusamy; Yang, Xuefei] Chinese Acad Sci, Southeast Asia Biodivers Res Inst, Nay Pyi Taw, Myanmar; [Arunachalam, Karuppusamy; Yang, Xuefei] Univ Chinese Acad Sci, Beijing, Peoples R China; [Sreeja, Puthanpura Sasidharan] NSS Coll, Dept Bot, Palakkad, India; [Arunachalam, Karuppusamy; Yang, Xuefei] Chinese Acad Sci, Kunming Inst Bot, Yunnan Key Lab Wild Plant Resources, Kunming, Peoples R China</t>
  </si>
  <si>
    <t>Arunachalam, K; Yang, XF (通讯作者)，Chinese Acad Sci, Kunming Inst Bot, Key Lab Econ Plants &amp; Biotechnol, Kunming, Peoples R China.;Arunachalam, K; Yang, XF (通讯作者)，Chinese Acad Sci, Southeast Asia Biodivers Res Inst, Nay Pyi Taw, Myanmar.;Arunachalam, K; Yang, XF (通讯作者)，Univ Chinese Acad Sci, Beijing, Peoples R China.;Arunachalam, K; Yang, XF (通讯作者)，Chinese Acad Sci, Kunming Inst Bot, Yunnan Key Lab Wild Plant Resources, Kunming, Peoples R China.</t>
  </si>
  <si>
    <t>arunachalam04@gmail.com; xuefei@mail.kib.ac.cn</t>
  </si>
  <si>
    <t>CAS-PIFI (Chinese Academy of Sciences-President's International Fellowship for Postdoctoral Research) [2020PB0112]; Inventory and Database Construction Project of Herbal Medicine [2018FY100700]; Southeast Asia Biodiversity Research Institute, Chinese Academy of Sciences [2015CASE-ABRIRG001, Y4ZK111B01]</t>
  </si>
  <si>
    <t>CAS-PIFI (Chinese Academy of Sciences-President's International Fellowship for Postdoctoral Research); Inventory and Database Construction Project of Herbal Medicine; Southeast Asia Biodiversity Research Institute, Chinese Academy of Sciences</t>
  </si>
  <si>
    <t>KA acknowledges the CAS-PIFI (Chinese Academy of Sciences-President's International Fellowship for Postdoctoral Research, Reference no. 2020PB0112) for his postdoctoral research. The authors would also like to thank the Inventory and Database Construction Project of Herbal Medicine, as well as the Belt and Road Countries (Grant number 2018FY100700) and the Southeast Asia Biodiversity Research Institute, Chinese Academy of Sciences (Grant numbers 2015CASE-ABRIRG001 and Y4ZK111B01) for providing partial funding for this study.</t>
  </si>
  <si>
    <t>10.3389/fphar.2022.874474</t>
  </si>
  <si>
    <t>1J5BC</t>
  </si>
  <si>
    <t>WOS:000797932500001</t>
  </si>
  <si>
    <t>Liu, CX; Bai, L; Cao, P; Li, SS; Huang, SX; Wang, JD; Li, L; Zhang, J; Zhao, JW; Song, J; Sun, P; Zhang, YY; Zhang, H; Guo, XW; Yang, XL; Tan, XQ; Liu, WD; Wang, XJ; Xiang, WS</t>
  </si>
  <si>
    <t>Liu, Chongxi; Bai, Lu; Cao, Peng; Li, Shanshan; Huang, Sheng-Xiong; Wang, Jidong; Li, Lei; Zhang, Ji; Zhao, Junwei; Song, Jia; Sun, Peng; Zhang, Yanyan; Zhang, Hui; Guo, Xiaowei; Yang, Xilang; Tan, Xinqiu; Liu, Wende; Wang, Xiangjing; Xiang, Wensheng</t>
  </si>
  <si>
    <t>Novel Plant Growth Regulator Guvermectin from Plant Growth-Promoting Rhizobacteria Boosts Biomass and Grain Yield in Rice</t>
  </si>
  <si>
    <t>JOURNAL OF AGRICULTURAL AND FOOD CHEMISTRY</t>
  </si>
  <si>
    <t>guvermectin; plant growth regulator; plant growth-promoting rhizobacteria; rice yield; transcriptome</t>
  </si>
  <si>
    <t>APICAL HOOK DEVELOPMENT; SMALL-AUXIN; H+-ATPASES; ROOT; GENE; INHIBITION; ETHYLENE</t>
  </si>
  <si>
    <t>Food is a fundamental human right, and global food security is threatened by crop production. Plant growth regulators (PGRs) play an essential role in improving crop yield and quality, and this study reports on a novel PGR, termed guvermectin (GV), isolated from plant growth-promoting rhizobacteria, which can promote root and coleoptile growth, tillering, and early maturing in rice. GV is a nucleoside analogue like cytokinin (CK), but it was found that GV significantly promoted root and hypocotyl growth, which is different from the function of CK in Arabidopsis. The Arabidopsis CK receptor triple mutant ahk2-2 ahk3-3 cre1-12 still showed a GV response. Moreover, GV led different growth-promoting traits from auxin, gibberellin (GA), and brassinosteroid (BR) in Arabidopsis and rice. The results from a four-year field trial involving 28 rice varieties showed that seed-soaking treatment with GV increased the yields by 6.2 to 19.6%, outperforming the 4.0 to 10.8% for CK, 1.6 to 16.9% for BR, and 2.2 to 7.1% for GA-auxin-BR mixture. Transcriptome analysis demonstrated that GV induced different transcriptome patterns from CK, auxin, BR, and GA, and SAUR genes may regulate GV-mediated plant growth and development. This study suggests that GV represents a novel PGR with a unique signal perception and transduction pathway in plants.</t>
  </si>
  <si>
    <t>Liu, Chongxi</t>
  </si>
  <si>
    <t>[Liu, Chongxi; Bai, Lu; Cao, Peng; Li, Lei; Zhang, Ji; Zhao, Junwei; Song, Jia; Sun, Peng; Zhang, Hui; Guo, Xiaowei; Yang, Xilang; Wang, Xiangjing; Xiang, Wensheng] Northeast Agr Univ, Key Lab Agr Microbiol Heilongjiang Prov, Harbin 150030, Peoples R China; [Bai, Lu; Li, Shanshan; Li, Lei; Zhang, Yanyan; Liu, Wende; Xiang, Wensheng] Chinese Acad Agr Sci, Inst Plant Protect, State Key Lab Biol Plant Dis &amp; Insect Pests, Beijing 100193, Peoples R China; [Huang, Sheng-Xiong; Guo, Xiaowei] Chinese Acad Sci, Kunming Inst Bot, State Key Lab Phytochem &amp; Plant Resources West Ch, Kunming 650201, Yunnan, Peoples R China; [Wang, Jidong] Huzhou Univ, Coll Life Sci, Key Lab Vector Biol &amp; Pathogen Control Zhejiang P, Huzhou 313000, Peoples R China; [Tan, Xinqiu] Hunan Acad Agr Sci, Inst Plant Protect, Changsha 410125, Peoples R China</t>
  </si>
  <si>
    <t>Northeast Agricultural University - China; Chinese Academy of Agricultural Sciences; Institute of Plant Protection, CAAS; Chinese Academy of Sciences; Kunming Institute of Botany, CAS; Huzhou University; Hunan Academy of Agricultural Sciences</t>
  </si>
  <si>
    <t>Wang, XJ; Xiang, WS (通讯作者)，Northeast Agr Univ, Key Lab Agr Microbiol Heilongjiang Prov, Harbin 150030, Peoples R China.;Liu, WD; Xiang, WS (通讯作者)，Chinese Acad Agr Sci, Inst Plant Protect, State Key Lab Biol Plant Dis &amp; Insect Pests, Beijing 100193, Peoples R China.</t>
  </si>
  <si>
    <t>liuwende@caas.cn; wangneau2013@163.com; xiangwensheng@neau.edu.cn</t>
  </si>
  <si>
    <t>Li, Shanshan/HLH-7747-2023</t>
  </si>
  <si>
    <t>Liu, Chongxi/0000-0002-6505-7820</t>
  </si>
  <si>
    <t>National Natural Science Foundation of China [32030090, 31872037, 31772240]</t>
  </si>
  <si>
    <t>This work was supported by grants from the National Natural Science Foundation of China (32030090, 31872037, and 31772240).</t>
  </si>
  <si>
    <t>0021-8561</t>
  </si>
  <si>
    <t>1520-5118</t>
  </si>
  <si>
    <t>J AGR FOOD CHEM</t>
  </si>
  <si>
    <t>J. Agric. Food Chem.</t>
  </si>
  <si>
    <t>DEC 28</t>
  </si>
  <si>
    <t>10.1021/acs.jafc.2c07072</t>
  </si>
  <si>
    <t>http://dx.doi.org/10.1021/acs.jafc.2c07072</t>
  </si>
  <si>
    <t>Agriculture, Multidisciplinary; Chemistry, Applied; Food Science &amp; Technology</t>
  </si>
  <si>
    <t>Agriculture; Chemistry; Food Science &amp; Technology</t>
  </si>
  <si>
    <t>8Z8HC</t>
  </si>
  <si>
    <t>WOS:000933612000001</t>
  </si>
  <si>
    <t>Novel Plant Growth Regulator Guvermectin from Plant Growth- Rhizobacteria Boosts Biomass and Grain Yield in Rice</t>
  </si>
  <si>
    <t>Food is a fundamental human right, and global food security is threatened by crop production. Plant growth regulators (PGRs) play an essential role in improving crop yield and quality, and this study reports on a novel PGR, termed guvermectin (GV), isolated from plant growth-promoting rhizobacteria, which can promote root and coleoptile growth, tillering, and early maturing in rice. GV is a nucleoside analogue like cytokinin (CK), but it was found that GV significantly promoted root and hypocotyl growth, which is different from the function of CK in Arabidopsis. The Arabidopsis CK receptor triple mutant ahk2-2 ahk33 cre1-12 still showed a GV response. Moreover, GV led different growth-promoting traits from auxin, gibberellin (GA), and brassinosteroid (BR) in Arabidopsis and rice. The results from a four-year field trial involving 28 rice varieties showed that seed soaking treatment with GV increased the yields by 6.2 to 19.6%, outperforming the 4.0 to 10.8% for CK, 1.6 to 16.9% for BR, and 2.2 to 7.1% for GA-auxin-BR mixture. Transcriptome analysis demonstrated that GV induced different transcriptome patterns from CK, auxin, BR, and GA, and SAUR genes may regulate GV-mediated plant growth and development. This study suggests that GV represents a novel PGR with a unique signal perception and transduction pathway in plants.</t>
  </si>
  <si>
    <t>Bai, Lu</t>
  </si>
  <si>
    <t>[Bai, Lu; Li, Shanshan; Li, Lei; Zhang, Yanyan; Liu, Wende; Xiang, Wensheng] Chinese Acad Agr Sci, Inst Plant Protect, State Key Lab Biol Plant Dis &amp; Insect Pests, Beijing 100193, Peoples R China; [Liu, Chongxi; Bai, Lu; Cao, Peng; Li, Lei; Zhang, Ji; Zhao, Junwei; Song, Jia; Sun, Peng; Zhang, Hui; Guo, Xiaowei; Yang, Xilang; Wang, Xiangjing; Xiang, Wensheng] Northeast Agr Univ, Key Lab Agr Microbiol Heilongjiang Prov, Harbin 150030, Peoples R China; [Huang, Sheng-Xiong; Guo, Xiaowei] Chinese Acad Sci, Kunming Inst Bot, State Key Lab Phytochem &amp; Plant Resources West Chi, Kunming 650201, Peoples R China; [Wang, Jidong] Huzhou Univ, Coll Life Sci, Key Lab Vector Biol &amp; Pathogen Control Zhejiang Pr, Huzhou 313000, Peoples R China; [Tan, Xinqiu] Hunan Acad Agr Sci, Inst Plant Protect, Changsha 410125, Peoples R China</t>
  </si>
  <si>
    <t>Chinese Academy of Agricultural Sciences; Institute of Plant Protection, CAAS; Northeast Agricultural University - China; Chinese Academy of Sciences; Kunming Institute of Botany, CAS; Huzhou University; Hunan Academy of Agricultural Sciences</t>
  </si>
  <si>
    <t>Liu, WD; Xiang, WS (通讯作者)，Chinese Acad Agr Sci, Inst Plant Protect, State Key Lab Biol Plant Dis &amp; Insect Pests, Beijing 100193, Peoples R China.;Wang, XJ; Xiang, WS (通讯作者)，Northeast Agr Univ, Key Lab Agr Microbiol Heilongjiang Prov, Harbin 150030, Peoples R China.</t>
  </si>
  <si>
    <t>National Natural Science Foundation of China;  [32030090];  [31872037];  [31772240]</t>
  </si>
  <si>
    <t xml:space="preserve">National Natural Science Foundation of China(National Natural Science Foundation of China (NSFC)); ; ; </t>
  </si>
  <si>
    <t>Funding This work was supported by grants from the National Natural Science Foundation of China (32030090, 31872037, and 31772240) .</t>
  </si>
  <si>
    <t>6Z4FC</t>
  </si>
  <si>
    <t>WOS:000897733600001</t>
  </si>
  <si>
    <t>Hu, ZX; Zhang, P; Zou, JB; An, Q; Yi, P; Yuan, CM; Zhang, ZK; Zhao, LH; Hao, XJ</t>
  </si>
  <si>
    <t>Hu, Zhan-Xing; Zhang, Peng; Zou, Ji-Bin; An, Qiao; Yi, Ping; Yuan, Chun-Mao; Zhang, Zhong-Kai; Zhao, Li-Hua; Hao, Xiao-Jiang</t>
  </si>
  <si>
    <t>Quinolizidine Alkaloids with Antitomato Spotted Wilt Virus and Insecticidal Activities from the Seeds of Thermopsis lanceolata R. Br</t>
  </si>
  <si>
    <t>against T. urticae. Thermopsis lanceolata R. Br.; quinolizidine alkaloids; anti-TSWV; insecticidal activity; structure-activity relationship</t>
  </si>
  <si>
    <t>ENANTIOSELECTIVE SYNTHESIS; NMR; DERIVATIVES</t>
  </si>
  <si>
    <t>As part of our ongoing investigation of pesticide active quinolizidine alkaloids (QAs) from the family Fabaceae, the chemical constituents of the seeds of Thermopsis lanceolata R. Br. were systematically investigated. Bioassay-guided fractionation and purification of the crude extract led to the isolation of seventeen new QAs (1-17), including three new naturally occurring compounds (15-17), along with 15 known compounds (18-32). Their structures were elucidated by comprehensive spectroscopic data analysis (IR, UV, NMR, and HRESIMS) and quantum chemistry calculations (13C NMR and ECD). The antitomato spotted wilt virus activities and insecticidal activities against Aphis fabae, Nilaparvata lugens (Stal), and Tetranychus urticae of compounds 1- 32 were screened using the lesion counting method, spray method, and rice-stem dipping method, respectively. Biological tests indicated that compounds 6, 9, 10, and 18 displayed significant anti-TSWV activities compared with the positive control ningnanmycin. Compounds 3, 4, and 5 showed better insecticidal activities against A. fabae with LC50 values of 10.07, 12.07, and 6.56 mg/L, respectively. Moreover, compounds 5, 18, and 24 exhibited moderate insecticidal activities against N. lugens (Stal) with LC50 values of 37.91, 53.44, and 31.21 mg/L, respectively. Furthermore, compounds 9 and 10 exhibited moderate insecticidal activities against T. urticae.</t>
  </si>
  <si>
    <t>Hu, Zhan-Xing</t>
  </si>
  <si>
    <t>[Hu, Zhan-Xing; Zhang, Peng; Zou, Ji-Bin; An, Qiao; Yi, Ping; Yuan, Chun-Mao; Hao, Xiao-Jiang] Guizhou Med Univ, State Key Lab Funct &amp; Applicat Med Plants, Guiyang 550014, Peoples R China; [Hu, Zhan-Xing; Zou, Ji-Bin; An, Qiao; Yi, Ping; Yuan, Chun-Mao; Hao, Xiao-Jiang] Key Lab Chem Nat Prod Guizhou Prov, Guiyang 550014, Peoples R China; [Hu, Zhan-Xing; Zou, Ji-Bin; An, Qiao; Yi, Ping; Yuan, Chun-Mao; Hao, Xiao-Jiang] Chinese Acad Sci, Guiyang 550002, Peoples R China; [Zhang, Peng] Guizhou Univ Tradit Chinese Med, Sch Pharm, Guiyang 550025, Peoples R China; [Zhang, Zhong-Kai; Zhao, Li-Hua] Inst Biotechnol &amp; Germplasm Resources, Yunnan Acad Agr Sci, Kunming 650204, Peoples R China; [Hao, Xiao-Jiang] Chinese Acad Med Sci, Res Unit Chem Biol Nat Anti Virus Prod, Kunming 650201, Peoples R China; [Hao, Xiao-Jiang] Chinese Acad Sci, State Key Lab Phytochem &amp; Plant Resources West Ch, Kunming Inst Bot, Kunming 650201, Peoples R China</t>
  </si>
  <si>
    <t>Guizhou Medical University; Chinese Academy of Sciences; Guizhou University of Traditional Chinese Medicine; Yunnan Academy of Agricultural Sciences; Chinese Academy of Medical Sciences - Peking Union Medical College; Chinese Academy of Sciences; Kunming Institute of Botany, CAS</t>
  </si>
  <si>
    <t>Hao, XJ (通讯作者)，Guizhou Med Univ, State Key Lab Funct &amp; Applicat Med Plants, Guiyang 550014, Peoples R China.;Hao, XJ (通讯作者)，Key Lab Chem Nat Prod Guizhou Prov, Guiyang 550014, Peoples R China.;Hao, XJ (通讯作者)，Chinese Acad Sci, Guiyang 550002, Peoples R China.;Zhang, ZK; Zhao, LH (通讯作者)，Inst Biotechnol &amp; Germplasm Resources, Yunnan Acad Agr Sci, Kunming 650204, Peoples R China.;Hao, XJ (通讯作者)，Chinese Acad Med Sci, Res Unit Chem Biol Nat Anti Virus Prod, Kunming 650201, Peoples R China.;Hao, XJ (通讯作者)，Chinese Acad Sci, State Key Lab Phytochem &amp; Plant Resources West Ch, Kunming Inst Bot, Kunming 650201, Peoples R China.</t>
  </si>
  <si>
    <t>zhongkai99@sina.com; 356429686@qq.com; haoxj@mail.kib.ac.cn</t>
  </si>
  <si>
    <t>Yuan, Chunmao/0000-0002-3550-161X; hu, zhanxing/0000-0003-1426-5416</t>
  </si>
  <si>
    <t>National Natural Science Foundation of China [32160103, U1812403]; Science and Technology Department of Guizhou Province [QKH ZC- [2021] -YB181, QKH JC- [2020] -1Y398]; Special Project of Academic Young Cultivation and Innovation Exploration of Guizhou Medical University (QKH PTRC) [[2018] 5779-60]</t>
  </si>
  <si>
    <t>National Natural Science Foundation of China(National Natural Science Foundation of China (NSFC)); Science and Technology Department of Guizhou Province; Special Project of Academic Young Cultivation and Innovation Exploration of Guizhou Medical University (QKH PTRC)</t>
  </si>
  <si>
    <t>The work was financially supported by the National Natural Science Foundation of China (32160103 and U1812403) , the Science and Technology Department of Guizhou Province (QKH ZC- [2021] -YB181 and QKH JC- [2020] -1Y398) , and the Special Project of Academic Young Cultivation and Innovation Exploration of Guizhou Medical University (QKH PTRC [2018] 5779-60) .</t>
  </si>
  <si>
    <t>10.1021/acs.jafc.2c02546</t>
  </si>
  <si>
    <t>3G0YJ</t>
  </si>
  <si>
    <t>WOS:000831082600001</t>
  </si>
  <si>
    <t>Cai, BC; Gong, L; Zhu, YY; Kong, LM; Ju, XM; Li, X; Yang, XD; Zhou, HY; Li, Y</t>
  </si>
  <si>
    <t>Cai, Bicheng; Gong, Liang; Zhu, Yiying; Kong, Lingmei; Ju, Xiaoman; Li, Xue; Yang, Xiaodong; Zhou, Hongyu; Li, Yan</t>
  </si>
  <si>
    <t>Identification of Gossypol Acetate as an Autophagy Modulator with Potent Anti-tumor Effect against Cancer Cells</t>
  </si>
  <si>
    <t>autophagy; gossypol acetate; apoptosis; adenosine 5 '-monophosphate (AMP)-activated protein kinase (AMPK); unc-51-like autophagy-activating kinase 1 (ULK1); mammalian target of rapamycin complex-1 (mTORC1); ATP; lysosome; cancer cell death</t>
  </si>
  <si>
    <t>PHASE I/II; APOPTOSIS; AT-101; PROTEIN; BCL-2; AMPK</t>
  </si>
  <si>
    <t>Autophagy, an evolutionarily conserved process, is intricately involved in many aspects of human health and a variety of human diseases, including cancer. Discovery of small-molecule autophagy modulators with potent anticancer effect would be of great significance. To this end, a natural product library consisting of 170 natural compounds were screened as autophagy modulators with potent cytotoxicity in our present study. Among these compounds, gossypol acetate (GAA), the mostly used medicinal form of gossypol, was identified. GAA effectively increased the number of autophagic puncta in GFP-LC3B-labeled 293T cells and significantly decreased cell viability in different cancer cells. In A549 cells, GAA at concentrations below 10 /AM triggered caspase-independent cell death via targeting autophagy, as evidenced by elevated LC3 conversion and decreased p62/SQSTM1 levels. Knocking down of LC3 significantly attenuated GAA-induced cell death. Mechanistically, GAA at low concentrations induced autophagy through targeting AMPK-mTORC1-ULK1 signaling. Interestingly, high concentrations of GAA induced LC3 conversion, p62 accumulation, and yellow autophagosome formation, indicating that GAA at high concentrations blocked autophagic flux. Mechanistically, GAA decreased intracellular ATP level and suppressed lysosome activity. Exogenous ATP partially reversed the inhibitory effect of GAA on autophagy, suggesting that decreased ATP level and lysosome activity might be involved in the blocking of autophagy flux by GAA. Collectively, our present study reveals the mechanisms by which GAA modulates autophagy and illustrates whether autophagy regulation by GAA is functionally involved in GAA-induced cancer cell death.</t>
  </si>
  <si>
    <t>Cai, Bicheng</t>
  </si>
  <si>
    <t>[Cai, Bicheng; Yang, Xiaodong; Li, Yan] Yunnan Univ, Key Lab Med Chem Nat Resource, Minist Educ, Kunming 650091, Yunnan, Peoples R China; [Cai, Bicheng; Gong, Liang; Zhu, Yiying; Kong, Lingmei; Ju, Xiaoman; Li, Xue; Zhou, Hongyu; Li, Yan] Chinese Acad Sci, Kunming Inst Bot, State Key Lab Phytochem &amp; Plant Resources West Ch, Kunming 650201, Yunnan, Peoples R China; [Cai, Bicheng] Southern Univ Sci &amp; Technol, Inst Shenzhen Resp Dis, Affiliated Hosp 1, Shenzhen Peoples Hosp, Shenzhen 518020, Peoples R China; [Zhou, Hongyu] Kunming Med Univ, Sch Pharmaceut Sci, Kunming 650500, Yunnan, Peoples R China; [Zhou, Hongyu] Kunming Med Univ, Yunnan Key Lab Pharmacol Nat Prod, Kunming 650500, Yunnan, Peoples R China</t>
  </si>
  <si>
    <t>Yunnan University; Chinese Academy of Sciences; Kunming Institute of Botany, CAS; Jinan University; Southern University of Science &amp; Technology; Kunming Medical University; Kunming Medical University</t>
  </si>
  <si>
    <t>Li, Y (通讯作者)，Yunnan Univ, Key Lab Med Chem Nat Resource, Minist Educ, Kunming 650091, Yunnan, Peoples R China.;Zhou, HY; Li, Y (通讯作者)，Chinese Acad Sci, Kunming Inst Bot, State Key Lab Phytochem &amp; Plant Resources West Ch, Kunming 650201, Yunnan, Peoples R China.;Zhou, HY (通讯作者)，Kunming Med Univ, Sch Pharmaceut Sci, Kunming 650500, Yunnan, Peoples R China.;Zhou, HY (通讯作者)，Kunming Med Univ, Yunnan Key Lab Pharmacol Nat Prod, Kunming 650500, Yunnan, Peoples R China.</t>
  </si>
  <si>
    <t>hongyuzhou1981@163.com; yan.li@ynu.edu.cn</t>
  </si>
  <si>
    <t>Ten Thousand Talents Plan of Yunnan Province-Youth Talent Support Program; National Natural Science Foundation of China [82160697, 81773783]; Yunnan Provincial Department of Science and Technology-Kunming Medical University Joint Research Fundamental Research Project [202101AY070001001]; Yunnan Fundamental Research Projects [202101AT070155, 2018FB147]</t>
  </si>
  <si>
    <t>Ten Thousand Talents Plan of Yunnan Province-Youth Talent Support Program; National Natural Science Foundation of China(National Natural Science Foundation of China (NSFC)); Yunnan Provincial Department of Science and Technology-Kunming Medical University Joint Research Fundamental Research Project; Yunnan Fundamental Research Projects</t>
  </si>
  <si>
    <t>This study was supported by the Ten Thousand Talents Plan of Yunnan Province-Youth Talent Support Program (H.Z.), the National Natural Science Foundation of China (grant nos 82160697 and 81773783), the Yunnan Provincial Department of Science and Technology-Kunming Medical University Joint Research Fundamental Research Project (202101AY070001001), and the Yunnan Fundamental Research Projects (grant nos 202101AT070155 and 2018FB147).</t>
  </si>
  <si>
    <t>MAR 2</t>
  </si>
  <si>
    <t>10.1021/acs.jafc.1c06399</t>
  </si>
  <si>
    <t>0A0HI</t>
  </si>
  <si>
    <t>WOS:000773642500015</t>
  </si>
  <si>
    <t>Hong, DF; Hu, GL; Peng, XR; Wang, XY; Wang, YB; Al-Romaima, A; Li, ZR; Qiu, MH</t>
  </si>
  <si>
    <t>Hong, De-Fu; Hu, Gui-Lin; Peng, Xing-Rong; Wang, Xiao-Yuan; Wang, Yan-Bing; Al-Romaima, Abdulbaset; Li, Zhong-Rong; Qiu, Ming-Hua</t>
  </si>
  <si>
    <t>Unusual ent-Kaurane Diterpenes from the Coffea Cultivar S288 Coffee Beans and Molecular Docking to alpha-Glucosidase</t>
  </si>
  <si>
    <t>diterpenes; structure elucidation; alpha-glucosidase; molecular docking</t>
  </si>
  <si>
    <t>ESTERS</t>
  </si>
  <si>
    <t>A total of 11 new (1-11) and 2 known (12 and 13) ent-kaurane diterpene derivatives were identified from the roasted beans of Coffea cultivar S288. Their structures were established by extensive spectroscopic analysis, including one- and two-dimensional nuclear magnetic resonance (heteronuclear single-quantum correlation, heteronuclear multiple-bond correlation, correlation spectroscopy, and rotating-frame Overhauser enhancement spectroscopy), high-resolution electrospray ionization mass spectrometry, and X-ray analyses. Cafespirone acid A (1) represents the first example of diterpene featuring a spirocyclic skeleton constructed from a 6/6/5 tricyclic system. Cafeane acid A (2) possesses a 6/6/6/5 tetracyclic system as a result of the C/D ring rearrangement. Furthermore, compounds 1-12 were evaluated for their alpha-glucosidase inhibitory activity. The results showed that compounds 2, 4, 5, 6, 7, 10, and 11 had a moderate inhibitory effect on alpha-glucosidase, and half-maximal inhibitory concentration values of compounds 4, 6, 7, and 10 were 18.76 +/- 1.46, 4.88 +/- 0.03, 12.35 +/- 0.91, and 12.64 +/- 0.59 mu M, respectively, compared to the positive control acarbose (60.71 +/- 16.45 mu M). Additionally, the molecular docking experiments showed that the carbonyl group at C-19 of compounds 4, 6, and 7 formed strong hydrogen bonds with ARG315, which may make them have moderate inhibitory activity.</t>
  </si>
  <si>
    <t>Hong, De-Fu</t>
  </si>
  <si>
    <t>[Hong, De-Fu; Hu, Gui-Lin; Peng, Xing-Rong; Wang, Xiao-Yuan; Wang, Yan-Bing; Al-Romaima, Abdulbaset; Li, Zhong-Rong; Qiu, Ming-Hua] Chinese Acad Sci, Kunming Inst Bot, State Key Lab Phytochem &amp; Plant Resources West Ch, Kunming 650201, Yunnan, Peoples R China; [Hong, De-Fu; Hu, Gui-Lin; Al-Romaima, Abdulbaset; Qiu, Ming-Hua] Univ Chinese Acad Sci, Beijing 100049, Peoples R China</t>
  </si>
  <si>
    <t>Qiu, MH (通讯作者)，Chinese Acad Sci, Kunming Inst Bot, State Key Lab Phytochem &amp; Plant Resources West Ch, Kunming 650201, Yunnan, Peoples R China.;Qiu, MH (通讯作者)，Univ Chinese Acad Sci, Beijing 100049, Peoples R China.</t>
  </si>
  <si>
    <t>ALROMAIMA, ABDULBASET/AAD-7621-2021</t>
  </si>
  <si>
    <t>National Natural Science Foundation of China, China [U1902206, 31670364]; Special Program of Introducing Sci-Tech Projects to Yunnan, China [202003AD150006]; STS Program of Chinese Academy of Sciences, China [KFJ-SW-STS-143-8]; Special Fund Project of Pu'er Municipal Government, China (2018); Foundation of State Key Laboratory of Phytochemistry and Plant Resources in West China, China [P2020-ZZ03]</t>
  </si>
  <si>
    <t>National Natural Science Foundation of China, China(National Natural Science Foundation of China (NSFC)); Special Program of Introducing Sci-Tech Projects to Yunnan, China; STS Program of Chinese Academy of Sciences, China; Special Fund Project of Pu'er Municipal Government, China (2018); Foundation of State Key Laboratory of Phytochemistry and Plant Resources in West China, China</t>
  </si>
  <si>
    <t>This study was supported financially by the National Natural Science Foundation of China, China (U1902206 and 31670364), the Special Program of Introducing Sci-Tech Projects to Yunnan, China (202003AD150006), the STS Program of Chinese Academy of Sciences, China (KFJ-SW-STS-143-8), the Special Fund Project of Pu'er Municipal Government, China (2018), and the Foundation of State Key Laboratory of Phytochemistry and Plant Resources in West China, China (P2020-ZZ03).</t>
  </si>
  <si>
    <t>JAN 19</t>
  </si>
  <si>
    <t>10.1021/acs.jafc.1c06524</t>
  </si>
  <si>
    <t>ZL2SF</t>
  </si>
  <si>
    <t>WOS:000745243900001</t>
  </si>
  <si>
    <t>Liu, YY; Zhang, L; Li, C; Yang, YQ; Duan, YW; Yang, YP; Sun, XD</t>
  </si>
  <si>
    <t>Liu, Yuanyuan; Zhang, Li; Li, Cheng; Yang, Yunqiang; Duan, Yuanwen; Yang, Yongping; Sun, Xudong</t>
  </si>
  <si>
    <t>Establishment of Agrobacterium-mediated genetic transformation and application of CRISPR/Cas9 genome-editing system to Brassica rapa var. rapa</t>
  </si>
  <si>
    <t>PLANT METHODS</t>
  </si>
  <si>
    <t>Turnip; Brassica rapa var; rapa; BrrWUSa; Genetic transformation; Genome editing</t>
  </si>
  <si>
    <t>EXPRESSION</t>
  </si>
  <si>
    <t>Background Genome editing is essential for crop molecular breeding. However, gene editing in turnip (Brassica rapa var. rapa) have not been reported owing to the very low transformation efficiency. Results In this study, we established a transformation procedure involving chemical-inducible activation of the BrrWUSa gene, which resulted in high transformation frequencies of turnip. Estradiol-inducible BrrWUSa transgenic plants were fertile and showed no obvious developmental defects. Furthermore, we used CRISPR/Cas9 gene-editing technology to edit BrrTCP4b and generated 20 BrrTCP4b-edited seedlings with an increase in leaf trichome number. Conclusion The results demonstrate that BrrWUSa improves the regeneration efficiency in turnip. The transformation procedure represents a promising strategy to improve genetic transformation and for functional characterization of genes in turnip.</t>
  </si>
  <si>
    <t>Liu, Yuanyuan</t>
  </si>
  <si>
    <t>[Liu, Yuanyuan; Zhang, Li; Li, Cheng; Yang, Yunqiang; Duan, Yuanwen; Yang, Yongping; Sun, Xudong] Chinese Acad Sci, Germplasm Bank Wild Species, Kunming Inst Bot, Kunming 650201, Yunnan, Peoples R China; [Yang, Yunqiang; Duan, Yuanwen; Yang, Yongping; Sun, Xudong] Chinese Acad Sci, Inst Tibetan Plateau Res Kunming, Kunming Inst Bot, Kunming 650201, Yunnan, Peoples R China; [Liu, Yuanyuan; Zhang, Li; Li, Cheng] Univ Chinese Acad Sci, Beijing, Peoples R China</t>
  </si>
  <si>
    <t>Yang, YP; Sun, XD (通讯作者)，Chinese Acad Sci, Germplasm Bank Wild Species, Kunming Inst Bot, Kunming 650201, Yunnan, Peoples R China.</t>
  </si>
  <si>
    <t>yangyp@mail.kib.ac.cn; sunxudong@mail.kib.ac.cn</t>
  </si>
  <si>
    <t>liu, yuanyuan/GWZ-5838-2022; liu, 园园/HJI-4438-2023; Sun, Xudong/HHN-3905-2022</t>
  </si>
  <si>
    <t>Strategic Priority Research Program of Chinese Academy of Science [XDA2004010306]; Science and Technology Program of Xizang Autonomous Region, China [XZ202001YD0008C]; Germplasm Bank of Wild Species, Kunming Institute of Botany, Chinese Academy of Sciences</t>
  </si>
  <si>
    <t>Strategic Priority Research Program of Chinese Academy of Science; Science and Technology Program of Xizang Autonomous Region, China; Germplasm Bank of Wild Species, Kunming Institute of Botany, Chinese Academy of Sciences</t>
  </si>
  <si>
    <t>This work was supported by the Strategic Priority Research Program of Chinese Academy of Science (XDA2004010306), Science and Technology Program of Xizang Autonomous Region, China (XZ202001YD0008C) and Germplasm Bank of Wild Species, Kunming Institute of Botany, Chinese Academy of Sciences.</t>
  </si>
  <si>
    <t>1746-4811</t>
  </si>
  <si>
    <t>Plant Methods</t>
  </si>
  <si>
    <t>AUG 6</t>
  </si>
  <si>
    <t>10.1186/s13007-022-00931-w</t>
  </si>
  <si>
    <t>Biochemical Research Methods; Plant Sciences</t>
  </si>
  <si>
    <t>3O4HU</t>
  </si>
  <si>
    <t>WOS:000836797200001</t>
  </si>
  <si>
    <t>Shen, HW; Bao, DF; Wanasinghe, DN; Boonmee, S; Liu, JK; Luo, ZL</t>
  </si>
  <si>
    <t>Shen, Hongwei; Bao, Danfeng; Wanasinghe, Dhanushka N.; Boonmee, Saranyaphat; Liu, Jiankui; Luo, Zonglong</t>
  </si>
  <si>
    <t>Novel Species and Records of Dictyosporiaceae from Freshwater Habitats in China and Thailand</t>
  </si>
  <si>
    <t>JOURNAL OF FUNGI</t>
  </si>
  <si>
    <t>new species; asexual morph; lignicolous freshwater fungi; phylogeny; taxonomy</t>
  </si>
  <si>
    <t>SP-NOV; MOLECULAR CHARACTERIZATION; SUBMERGED WOOD; PHYLOGENETIC-RELATIONSHIPS; LIPUT RIVER; FUNGI; YUNNAN; DIGITODESMIUM; TAXA; DIVERSITY</t>
  </si>
  <si>
    <t>China and Thailand are rich in fungal diversity with abundant freshwater resources that are favorable for numerous fungal encounters. Resulting from this, the majority of the Dictyosporiaceae species reported were from these two countries. During the investigation on the diversity of lignicolous freshwater fungi in the Greater Mekong Subregion, eleven collections of cheirosporous species on submerged wood were collected from lentic and lotic habitats in China and Thailand. Phylogenetic analysis that combined nuclear small-subunit ribosomal RNA (SSU), internal transcribed spacer region (ITS), nuclear large subunit ribosomal RNA (LSU) and translation elongation factor 1 alpha (tef 1-alpha) loci revealed six new species: Dictyocheirospora chiangmaiensis, D. multiappendiculata, D. suae, Digitodesmium aquaticum, Vikalpa grandispora and V. sphaerica. In addition, four known species were also identified and reported based on morphological and phylogenetic evidence. The detailed descriptions and illustrations of these taxa are provided with an updated phylogenetic tree of Dictyosporiaceae.</t>
  </si>
  <si>
    <t>Shen, Hongwei</t>
  </si>
  <si>
    <t>[Shen, Hongwei; Bao, Danfeng; Luo, Zonglong] Dali Univ, Coll Agr &amp; Biol Sci, Dali 671003, Peoples R China; [Shen, Hongwei; Boonmee, Saranyaphat] Mae Fah Luang Univ, Sch Sci, Chiang Rai 57100, Thailand; [Shen, Hongwei; Bao, Danfeng; Boonmee, Saranyaphat] Mae Fah Luang Univ, Ctr Excellence Fungal Res, Chiang Rai 57100, Thailand; [Bao, Danfeng] Chiang Mai Univ, Fac Agr, Dept Entomol &amp; Plant Pathol, Chiang Mai 50200, Thailand; [Wanasinghe, Dhanushka N.] Chinese Acad Sci, Kunming Inst Bot, Honghe Ctr Mt Futures, Honghe 654400, Peoples R China; [Liu, Jiankui] Univ Elect Sci &amp; Technol China, Ctr Informat Biol, Sch Life Sci &amp; Technol, Chengdu 611731, Peoples R China</t>
  </si>
  <si>
    <t>Dali University; Mae Fah Luang University; Mae Fah Luang University; Chiang Mai University; Chinese Academy of Sciences; Kunming Institute of Botany, CAS; University of Electronic Science &amp; Technology of China</t>
  </si>
  <si>
    <t>Luo, ZL (通讯作者)，Dali Univ, Coll Agr &amp; Biol Sci, Dali 671003, Peoples R China.</t>
  </si>
  <si>
    <t>Wanasinghe, Dhanushka/P-1693-2017; Liu, Jian-Kui (Jack)/F-7907-2010</t>
  </si>
  <si>
    <t>Wanasinghe, Dhanushka/0000-0003-1759-3933; Liu, Jian-Kui (Jack)/0000-0002-9232-228X</t>
  </si>
  <si>
    <t>National Natural Science Foundation of China; Yunnan Fundamental Research Project [32060005, 31970021];  [202101AU070137];  [202201AW070001]</t>
  </si>
  <si>
    <t xml:space="preserve">National Natural Science Foundation of China(National Natural Science Foundation of China (NSFC)); Yunnan Fundamental Research Project; ; </t>
  </si>
  <si>
    <t>This research was funded by the National Natural Science Foundation of China (project IDs: 32060005 and 31970021) and the Yunnan Fundamental Research Project (grant nos. 202101AU070137 and 202201AW070001).</t>
  </si>
  <si>
    <t>2309-608X</t>
  </si>
  <si>
    <t>J FUNGI</t>
  </si>
  <si>
    <t>J. Fungi</t>
  </si>
  <si>
    <t>10.3390/jof8111200</t>
  </si>
  <si>
    <t>Microbiology; Mycology</t>
  </si>
  <si>
    <t>7U8AF</t>
  </si>
  <si>
    <t>WOS:000912349100001</t>
  </si>
  <si>
    <t>Wan, SP; Huang, LL; Cui, MJ; Yu, CJ; Liu, W; Wang, R; Shi, XF; Yu, FQ</t>
  </si>
  <si>
    <t>Wan, Shan-Ping; Huang, Lan-Lan; Cui, Meng-Jin; Yu, Cheng-Jin; Liu, Wei; Wang, Rui; Shi, Xiao-Fei; Yu, Fu-Qiang</t>
  </si>
  <si>
    <t>Phylogenetic Analyses of Hydnobolites and New Species from China</t>
  </si>
  <si>
    <t>Ascomycota; hypogeous fungi; Pezizaceae; phylogeny; taxonomy</t>
  </si>
  <si>
    <t>ECTOMYCORRHIZAL FUNGAL COMMUNITIES; OAKS QUERCUS SPP.; SPECIFICITY; DIVERSITY; HOST; LIAOTUNGENSIS; ASCOMYCOTA; PEZIZACEAE; HABITATS; TRUFFLES</t>
  </si>
  <si>
    <t>Hydnobolites is an ectomycorrhizal fungal genus with hypogeous ascomata in the family Pezizaceae (Pezizales). Molecular analyses of Hydnobolites using both single (ITS) and concatenated gene datasets (ITS-nLSU) showed a total of 223 sequences, including 92 newly gained sequences from Chinese specimens. Phylogenetic results based on these two datasets revealed seven distinct phylogenetic clades. Among them, the ITS phylogenetic tree confirmed the presence of at least 42 phylogenetic species in Hydnobolites. Combined the morphological observations with molecular analyses, five new species of Hydnobolites translucidus sp. nov., H. subrufus sp. nov., H. lini sp. nov., H. sichuanensis sp. nov. and H. tenuiperidius sp. nov., and one new record species of H. cerebriformis Tul., were illustrated from Southwest China. Macro- and micro-morphological analyses of ascomata revealed a few, but diagnostic differences between the H. cerebriformis complex, while the similarities of the ITS sequences ranged from 94.4 to 97.2% resulting in well-supported clades.</t>
  </si>
  <si>
    <t>Wan, Shan-Ping</t>
  </si>
  <si>
    <t>[Wan, Shan-Ping; Huang, Lan-Lan; Cui, Meng-Jin; Yu, Cheng-Jin; Liu, Wei; Wang, Rui] Yunnan Agr Univ, Coll Resources &amp; Environm, Kunming 650201, Peoples R China; [Huang, Lan-Lan; Shi, Xiao-Fei; Yu, Fu-Qiang] Chinese Acad Sci, Kunming Inst Bot, Yunnan Key Lab Fungal Divers &amp; Green Dev, Germplasm Bank Wild Species, 132 Lanhei Rd, Kunming 650201, Peoples R China</t>
  </si>
  <si>
    <t>Yunnan Agricultural University; Chinese Academy of Sciences; Kunming Institute of Botany, CAS</t>
  </si>
  <si>
    <t>Shi, XF; Yu, FQ (通讯作者)，Chinese Acad Sci, Kunming Inst Bot, Yunnan Key Lab Fungal Divers &amp; Green Dev, Germplasm Bank Wild Species, 132 Lanhei Rd, Kunming 650201, Peoples R China.</t>
  </si>
  <si>
    <t>shixiaofei@mail.kib.ac.cn; fqyu@mail.kib.ac.cn</t>
  </si>
  <si>
    <t>Wan, Shanping/0000-0002-0794-3701</t>
  </si>
  <si>
    <t>National Natural Science Foundation of China; Basic Research Program of Yunnan [32060008]; open research project of the Cross-Cooperative Teamof the Germplasm Bank of Wild Species, Kunming Institute of Botany, Chinese Academy of Sciences [202201AT070268]</t>
  </si>
  <si>
    <t>National Natural Science Foundation of China(National Natural Science Foundation of China (NSFC)); Basic Research Program of Yunnan; open research project of the Cross-Cooperative Teamof the Germplasm Bank of Wild Species, Kunming Institute of Botany, Chinese Academy of Sciences</t>
  </si>
  <si>
    <t>This work is supported by The National Natural Science Foundation of China (NO.: 32060008), Basic Research Program of Yunnan (NO.: 202201AT070268) and the open research project of the Cross-Cooperative Teamof the Germplasm Bank of Wild Species, Kunming Institute of Botany, Chinese Academy of Sciences.</t>
  </si>
  <si>
    <t>10.3390/jof8121302</t>
  </si>
  <si>
    <t>7G7JF</t>
  </si>
  <si>
    <t>WOS:000902694900001</t>
  </si>
  <si>
    <t>Gao, Y; Ren, GC; Wanasinghe, DN; Xu, JC; de Farias, ARG; Gui, H</t>
  </si>
  <si>
    <t>Gao, Ying; Ren, Guang-Cong; Wanasinghe, Dhanushka N.; Xu, Jian-Chu; de Farias, Antonio Roberto Gomes; Gui, Heng</t>
  </si>
  <si>
    <t>Two New Species and a New Record of Microdochium from Grasses in Yunnan Province, South-West China</t>
  </si>
  <si>
    <t>two new species; Ascomycota; endophytes; multigene phylogeny; morphology; new taxa; taxonomy</t>
  </si>
  <si>
    <t>PHYLOGENETIC ANALYSIS; SP-NOV; FUNGI; MONOGRAPHELLA; NIVALE; IDENTIFICATION; MICROFUNGI; MORPHOLOGY; ALIGNMENT; DISEASE</t>
  </si>
  <si>
    <t>Microdochium species are frequently reported as phytopathogens on various plants and also as saprobic and soil-inhabiting organisms. As a pathogen, they mainly affect grasses and cereals, causing severe disease in economically valuable crops, resulting in reduced yield and, thus, economic loss. Numerous asexual Microdochium species have been described and reported as hyphomycetous. However, the sexual morph is not often found. The main purpose of this study was to describe and illustrate two new species and a new record of Microdochium based on morphological characterization and multi-locus phylogenetic analyses. Surveys of both asexual and sexual morph specimens were conducted from March to June 2021 in Yunnan Province, China. Here, we introduce Microdochium graminearum and M. shilinense, from dead herbaceous stems of grasses and report M. bolleyi as an endophyte of Setaria parviflora leaves. This study improves the understanding of Microdochium species on monocotyledonous flowering plants in East Asia. A summary of the morphological characteristics of the genus and detailed references are provided for use in future research.</t>
  </si>
  <si>
    <t>Gao, Ying</t>
  </si>
  <si>
    <t>[Gao, Ying; Ren, Guang-Cong; de Farias, Antonio Roberto Gomes] Mae Fah Luang Univ, Ctr Excellence Fungal Res, Chiang Rai 57100, Thailand; [Gao, Ying; Wanasinghe, Dhanushka N.; Xu, Jian-Chu; Gui, Heng] Chinese Acad Sci, Kunming Inst Bot, Ctr Mt Futures, Honghe 654400, Peoples R China; [Gao, Ying; Ren, Guang-Cong] Mae Fah Luang Univ, Sch Sci, Chiang Rai 57100, Thailand; [Ren, Guang-Cong] Guiyang Nursing Vocat Coll, Guiyang City 550081, Peoples R China; [Wanasinghe, Dhanushka N.; Xu, Jian-Chu; Gui, Heng] Chinese Acad Sci, Kunming Inst Bot, Dept Econ Plants &amp; Biotechnol, Yunnan Key Lab Wild Plant Resources, Kunming 650201, Peoples R China</t>
  </si>
  <si>
    <t>Mae Fah Luang University; Chinese Academy of Sciences; Kunming Institute of Botany, CAS; Mae Fah Luang University; Chinese Academy of Sciences; Kunming Institute of Botany, CAS</t>
  </si>
  <si>
    <t>de Farias, ARG (通讯作者)，Mae Fah Luang Univ, Ctr Excellence Fungal Res, Chiang Rai 57100, Thailand.;Gui, H (通讯作者)，Chinese Acad Sci, Kunming Inst Bot, Ctr Mt Futures, Honghe 654400, Peoples R China.;Gui, H (通讯作者)，Chinese Acad Sci, Kunming Inst Bot, Dept Econ Plants &amp; Biotechnol, Yunnan Key Lab Wild Plant Resources, Kunming 650201, Peoples R China.</t>
  </si>
  <si>
    <t>antonio.gom@mfu.ac.th; guiheng@mail.kib.ac.cn</t>
  </si>
  <si>
    <t>Strategic Priority Research Program of Chinese Academy of Sciences; National Natural Science Foundation of China [XDA26020203]; Youth Innovation Promotion Association of CAS, China [32001296]; National Research Council of Thailand (NRCT) [2022396];  [N42A650547]</t>
  </si>
  <si>
    <t xml:space="preserve">Strategic Priority Research Program of Chinese Academy of Sciences(Chinese Academy of Sciences); National Natural Science Foundation of China(National Natural Science Foundation of China (NSFC)); Youth Innovation Promotion Association of CAS, China; National Research Council of Thailand (NRCT)(National Research Council of Thailand (NRCT)); </t>
  </si>
  <si>
    <t>This research was funded by the Strategic Priority Research Program of Chinese Academy of Sciences, grant number XDA26020203; the National Natural Science Foundation of China, grant number 32001296; the Youth Innovation Promotion Association of CAS, China, grant number 2022396; and the National Research Council of Thailand (NRCT) grant number N42A650547.</t>
  </si>
  <si>
    <t>10.3390/jof8121297</t>
  </si>
  <si>
    <t>7G3ML</t>
  </si>
  <si>
    <t>WOS:000902432900001</t>
  </si>
  <si>
    <t>Zou, L; Zhang, XL; Deng, YL; Zhao, CL</t>
  </si>
  <si>
    <t>Zou, Lei; Zhang, Xiaolu; Deng, Yinglian; Zhao, Changlin</t>
  </si>
  <si>
    <t>Four New Wood-Inhabiting Fungal Species of Peniophoraceae (Russulales, Basidiomycota) from the Yunnan-Guizhou Plateau, China</t>
  </si>
  <si>
    <t>Asia; macrofungi; molecular systematics; taxonomy; Yunnan Province</t>
  </si>
  <si>
    <t>MORPHOLOGICAL CHARACTERS; CORTICIOID FUNGI; VARARIA RUSSULALES; APHYLLOPHORALES; PHYLOGENY</t>
  </si>
  <si>
    <t>Four new fungi of the family Peniophoraceae, viz., Peniophora roseoalba, P. yunnanensis, Vararia daweishanensis, and V. fragilis are herein proposed, based on a combination of morphological features and molecular evidence. Peniophora roseoalba is characterized by resupinate, membranaceous basidiomata with a rose pink to pale pinkish grey hymenophore, a monomitic hyphal system with clamped generative hyphae, the presence of cystidia, and ellipsoid basidiospores. However, P. yunnanensis differs in being tuberculate, with a pale cream to cream hymenial surface, small lamprocystidia (18-29 x 4.5-7 mu m), and subcylindrical basidiospores. Vararia daweishanensis is characterized by resupinate, membranous basidiomata with a pale yellowish hymenial surface, a dimitic hyphal system with clamped generative hyphae, strongly dextrinoid dichohyphae, and allantoid basidiospores; V. fragilis is characterized by resupinate, brittle basidiomata, with a buff to ochraceous hymenial surface and small ellipsoid basidiospores measuring 3.5-5.5 x 2.5-3.5 mu m. Sequences of the ITS and nLSU rRNA markers of the studied samples were generated, and phylogenetic analyses were performed with the maximum likelihood, maximum parsimony, and Bayesian inference methods. The nLSU analysis revealed that the four new species can be clustered into the family Peniophoraceae (Russulales), in the genera Peniophora and Vararia. Further studies based on the ITS dataset showed that four fungi of the family Peniophoraceae were new to science.</t>
  </si>
  <si>
    <t>Zou, Lei</t>
  </si>
  <si>
    <t>[Zou, Lei; Zhao, Changlin] Southwest Forestry Univ, Key Lab Forest Resources Conservat &amp; Utilizat Sout, Minist Educ, Kunming 650224, Peoples R China; [Zou, Lei; Zhang, Xiaolu; Deng, Yinglian; Zhao, Changlin] Southwest Forestry Univ, Coll Biodivers Conservat, Kunming 650224, Peoples R China; [Zhao, Changlin] Chinese Acad Sci, Kunming Inst Bot, Yunnan Key Lab Fungal Divers &amp; Green Dev, Kunming 650201, Peoples R China</t>
  </si>
  <si>
    <t>Southwest Forestry University - China; Southwest Forestry University - China; Chinese Academy of Sciences; Kunming Institute of Botany, CAS</t>
  </si>
  <si>
    <t>Zhao, CL (通讯作者)，Southwest Forestry Univ, Key Lab Forest Resources Conservat &amp; Utilizat Sout, Minist Educ, Kunming 650224, Peoples R China.;Zhao, CL (通讯作者)，Southwest Forestry Univ, Coll Biodivers Conservat, Kunming 650224, Peoples R China.;Zhao, CL (通讯作者)，Chinese Acad Sci, Kunming Inst Bot, Yunnan Key Lab Fungal Divers &amp; Green Dev, Kunming 650201, Peoples R China.</t>
  </si>
  <si>
    <t>Zhao, Changlin/0000-0002-8668-1075</t>
  </si>
  <si>
    <t>National Natural Science Foundation of China [32170004, U2102220]; High-level Talents Program of Yunnan Province [YNQRQNRC-2018-111]; Yunnan Fundamental Research Project [202001AS070043]</t>
  </si>
  <si>
    <t>National Natural Science Foundation of China(National Natural Science Foundation of China (NSFC)); High-level Talents Program of Yunnan Province; Yunnan Fundamental Research Project</t>
  </si>
  <si>
    <t>The research was supported by the National Natural Science Foundation of China (Project No. 32170004, U2102220) to Changlin Zhao, Yunnan Fundamental Research Project (Grant No. 202001AS070043) to Changlin Zhao, the High-level Talents Program of Yunnan Province (YNQRQNRC-2018-111) to Changlin Zhao.</t>
  </si>
  <si>
    <t>10.3390/jof8111227</t>
  </si>
  <si>
    <t>6W1RD</t>
  </si>
  <si>
    <t>WOS:000895511300001</t>
  </si>
  <si>
    <t>Du, TY; Karunarathna, SC; Zhang, X; Dai, DQ; Mapook, A; Suwannarach, N; Xu, JC; Stephenson, SL; Elgorban, AM; Al-Rejaie, S; Tibpromma, S</t>
  </si>
  <si>
    <t>Du, Tian-Ye; Karunarathna, Samantha C.; Zhang, Xian; Dai, Dong-Qin; Mapook, Ausana; Suwannarach, Nakarin; Xu, Jian-Chu; Stephenson, Steven L.; Elgorban, Abdallah M.; Al-Rejaie, Salim; Tibpromma, Saowaluck</t>
  </si>
  <si>
    <t>Endophytic Fungi Associated with Aquilaria sinensis (Agarwood) from China Show Antagonism against Bacterial and Fungal Pathogens</t>
  </si>
  <si>
    <t>agarwood; antibacterial activities; antifungal activities; antimicrobial activities; Lasiodiplodia</t>
  </si>
  <si>
    <t>ERWINIA-AMYLOVORA; VOLATILE COMPOUNDS; SEQUENCE DATA; IDENTIFICATION; VIRULENCE; INFECTION; ALLERGENS</t>
  </si>
  <si>
    <t>Agarwood is the most expensive non-construction wood product in the world. As a therapeutic agent, agarwood can cure some diseases, but few studies have been carried out on the antagonistic abilities of endophytic fungi associated with agarwood. Agarwood is mainly found in the genus Aquiaria. The objectives of this study are to understand the antimicrobial activities and their potential as biocontrol agents of the endophytic fungi of Aquilaria sinensis. First, fresh samples of A. sinensis were collected from Yunnan and Guangdong Provinces in 2020-2021, and the endophytic fungi were isolated and identified to genus level based on the phylogenetic analyses of the Internal Transcribed Spacer (ITS) region. In this bioassay, 47 endophytic strains were selected to check their bioactivities against three bacterial pathogens viz. Erwinia amylovora, Pseudomonas syringae, and Salmonella enterica; and three fungal pathogens viz. Alternaria alternata, Botrytis cinerea, and Penicillium digitatum. The antibiosis test was carried out by the dual culture assay (10 days), and among the 47 strains selected, 40 strains belong to 18 genera viz. Alternaria, Annulohypoxylon, Aspergillus, Botryosphaeria, Colletotrichum, Corynespora, Curvularia, Daldinia, Diaporthe, Fusarium, Lasiodiplodia, Neofusicoccum, Neopestalotiopsis, Nigrospora, Paracamarosporium, Pseudopithomyces, Trichoderma, Trichosporon and one strain belongs to Xylariaceae had antimicrobial activities. In particular, Lasiodiplodia sp. (YNA-D3) showed the inhibition of all the bacterial and fungal pathogens with a significant inhibition rate. In addition, the strains viz; Curvularia sp. (GDA-3A9), Diaporthe sp. (GDA-2A1), Lasiodiplodia sp. (YNA-D3), Neofusicoccum sp. (YNA-1C3), Nigrospora sp. (GDA-4C1), and Trichoderma sp. (YNA-1C1) showed significant antimicrobial activities and are considered worthy of further studies to identify individual fungal species and their bioactive compounds. This study enriches the diversity of endophytic fungi associated with agarwood, and their potential antagonistic effects against bacterial and fungal pathogens.</t>
  </si>
  <si>
    <t>Du, Tian-Ye</t>
  </si>
  <si>
    <t>[Du, Tian-Ye; Karunarathna, Samantha C.; Zhang, Xian; Dai, Dong-Qin; Tibpromma, Saowaluck] Qujing Normal Univ, Coll Biol Resource &amp; Food Engn, Ctr Yunnan Plateau Biol Resources Protect &amp; Utiliz, Qujing 655011, Peoples R China; [Du, Tian-Ye; Mapook, Ausana] Mae Fah Luang Univ, Ctr Excellence Fungal Res, Chiang Rai 57100, Thailand; [Du, Tian-Ye] Mae Fah Luang Univ, Sch Sci, Chiang Rai 57100, Thailand; [Suwannarach, Nakarin] Chiang Mai Univ, Fac Sci, Res Ctr Microbial Divers &amp; Sustainable Utilizat, Chiang Mai 50200, Thailand; [Xu, Jian-Chu] Kunming Inst Bot, Ctr Mt Futures, Kunming 650201, Peoples R China; [Stephenson, Steven L.] Univ Arkansas, Dept Biol Sci, Fayetteville, AR 72701 USA; [Elgorban, Abdallah M.] King Saud Univ, Coll Sci, Dept Bot &amp; Microbiol, Riyadh 11451, Saudi Arabia; [Al-Rejaie, Salim] King Saud Univ, Coll Pharm, Dept Pharmacol &amp; Toxicol, Riyadh 11451, Saudi Arabia</t>
  </si>
  <si>
    <t>Mae Fah Luang University; Mae Fah Luang University; Chiang Mai University; Chinese Academy of Sciences; Kunming Institute of Botany, CAS; University of Arkansas System; University of Arkansas Fayetteville; King Saud University; King Saud University</t>
  </si>
  <si>
    <t>Tibpromma, S (通讯作者)，Qujing Normal Univ, Coll Biol Resource &amp; Food Engn, Ctr Yunnan Plateau Biol Resources Protect &amp; Utiliz, Qujing 655011, Peoples R China.;Xu, JC (通讯作者)，Kunming Inst Bot, Ctr Mt Futures, Kunming 650201, Peoples R China.</t>
  </si>
  <si>
    <t>jxu@mail.kib.ac.cn; saowaluckfai@gmail.com</t>
  </si>
  <si>
    <t>Suwannarach, Nakarin/P-6078-2019; Dai, Dong-Qin/C-4303-2015; Elgorban, Dr. Abdallah/C-6000-2013</t>
  </si>
  <si>
    <t>Suwannarach, Nakarin/0000-0002-2653-1913; Dai, Dong-Qin/0000-0001-8935-8807; Mapook, Ausana/0000-0001-7929-2429; Du, Tianye/0000-0003-2105-1803; Elgorban, Dr. Abdallah/0000-0003-3664-7853; Karunarathna, Samantha Chandranath/0000-0001-7080-0781</t>
  </si>
  <si>
    <t>National Natural Science Foundation of China; High-Level Talent Recruitment Plan of Yunnan Provinces (Young Talents Program) [NSFC 31760013, 31950410558, 32260004]; King Saud University, Riyadh, Saudi Arabia; Chiang Mai University [RSP-2021/120]</t>
  </si>
  <si>
    <t>National Natural Science Foundation of China(National Natural Science Foundation of China (NSFC)); High-Level Talent Recruitment Plan of Yunnan Provinces (Young Talents Program); King Saud University, Riyadh, Saudi Arabia(King Saud University); Chiang Mai University</t>
  </si>
  <si>
    <t>This research was funded by the National Natural Science Foundation of China, grant number NSFC 31760013, 31950410558, 32260004, High-Level Talent Recruitment Plan of Yunnan Provinces (Young Talents Program). The authors extend their appreciation to project number (RSP-2021/120), King Saud University, Riyadh, Saudi Arabia and Chiang Mai University for financial support.</t>
  </si>
  <si>
    <t>10.3390/jof8111197</t>
  </si>
  <si>
    <t>6W2XV</t>
  </si>
  <si>
    <t>WOS:000895596600001</t>
  </si>
  <si>
    <t>Luo, Kaiyue; Zhao, Changlin</t>
  </si>
  <si>
    <t>A Molecular Systematics and Taxonomy Research on Trechispora (Hydnodontaceae, Trechisporales): Concentrating on Three New Trechispora Species from East Asia</t>
  </si>
  <si>
    <t>fungal diversity; morphology; southwest China; subtropical region; wood-inhabiting fungi</t>
  </si>
  <si>
    <t>NOV. HYDNODONTACEAE; BASIDIOMYCOTA; CHINA; CLASSIFICATION; DIVERSITY; FUNGI</t>
  </si>
  <si>
    <t>Trechispora are an important genus of wood-inhabiting fungi that have the ability to decompose rotten wood in the forest ecosystem. In this study, we reported three new species of Trechispora: T. murina, T. odontioidea, T. olivacea from a subtropical region of Yunnan Province, China. Species descriptions were based on a combination of morphological features and phylogenetic analyses of the ITS and LSU region of nuclear ribosomal DNA. Trechispora murina is characterized by the resupinate basidiomata, grandinioid hymenial surface with a greyish tint, monomitic hyphal system and ellipsoid, thick-walled, ornamented basidiospores; T. odontioidea has an odontioid hymenial surface with cylindrical to conical, blunt aculei and subglobose to globose, colorless, slightly thick-walled, ornamented basidiospores; T. olivacea has a farinaceous hymenial surface with olivaceous tint, basidia clavate and thick-walled, ornamented, broadly ellipsoid to globose basidiospores. Sequences of the ITS and nLSU rDNA markers of the studied samples were generated, and phylogenetic analyses were performed with maximum likelihood, maximum parsimony, and Bayesian inference methods. After a series of phylogenetic analyses, the 5.8S+nLSU dataset was constructed to test the phylogenetic relationship of Trechispora with other genera of Hydnodontaceae. The ITS dataset was used to evaluate the phylogenetic relationship of the three new species with other species of Trechispora. Using ITS phylogeny, the new species T. murina was retrieved as a sister to T. bambusicola with moderate supports; T. odontioidea formed a single lineage and then grouped with T. fimbriata and T. nivea; while T. olivacea formed a monophyletic lineage with T. farinacea, T. hondurensis, and T. mollis.</t>
  </si>
  <si>
    <t>Luo, Kaiyue</t>
  </si>
  <si>
    <t>[Luo, Kaiyue; Zhao, Changlin] Southwest Forestry Univ, Yunnan Key Lab Plateau Wetland Conservat Restorat, Kunming 650224, Yunnan, Peoples R China; [Luo, Kaiyue; Zhao, Changlin] Southwest Forestry Univ, Coll Biodivers Conservat, Kunming 650224, Yunnan, Peoples R China; [Zhao, Changlin] Southwest Forestry Univ, Key Lab Forest Resources Conservat &amp; Utilizat Sou, Minist Educ, Kunming 650224, Yunnan, Peoples R China; [Zhao, Changlin] Chinese Acad Sci, Kunming Inst Bot, Yunnan Key Lab Fungal Divers &amp; Green Dev, Kunming 650201, Yunnan, Peoples R China</t>
  </si>
  <si>
    <t>Zhao, CL (通讯作者)，Southwest Forestry Univ, Yunnan Key Lab Plateau Wetland Conservat Restorat, Kunming 650224, Yunnan, Peoples R China.;Zhao, CL (通讯作者)，Southwest Forestry Univ, Coll Biodivers Conservat, Kunming 650224, Yunnan, Peoples R China.;Zhao, CL (通讯作者)，Southwest Forestry Univ, Key Lab Forest Resources Conservat &amp; Utilizat Sou, Minist Educ, Kunming 650224, Yunnan, Peoples R China.;Zhao, CL (通讯作者)，Chinese Acad Sci, Kunming Inst Bot, Yunnan Key Lab Fungal Divers &amp; Green Dev, Kunming 650201, Yunnan, Peoples R China.</t>
  </si>
  <si>
    <t>Luo, Kaiyue/0000-0001-6145-4864</t>
  </si>
  <si>
    <t>National Natural Science Foundation of China [32170004, U2102220]; Yunnan Fundamental Research Project [202001AS070043]; High-level Talents Program of Yunnan Province [YNQR-QNRC-2018-111]; Opening Foundation of Yunnan Key Laboratory of Plateau Wetland Conservation [202105AG070002]</t>
  </si>
  <si>
    <t>National Natural Science Foundation of China(National Natural Science Foundation of China (NSFC)); Yunnan Fundamental Research Project; High-level Talents Program of Yunnan Province; Opening Foundation of Yunnan Key Laboratory of Plateau Wetland Conservation</t>
  </si>
  <si>
    <t>The research was supported by the National Natural Science Foundation of China (Project No. 32170004, U2102220), Yunnan Fundamental Research Project (Grant No. 202001AS070043), the High-level Talents Program of Yunnan Province (YNQR-QNRC-2018-111), and the Opening Foundation of Yunnan Key Laboratory of Plateau Wetland Conservation, Restoration and Ecological Services (202105AG070002).</t>
  </si>
  <si>
    <t>10.3390/jof8101020</t>
  </si>
  <si>
    <t>5P6WP</t>
  </si>
  <si>
    <t>WOS:000873289400001</t>
  </si>
  <si>
    <t>Shi, XF; Liu, D; He, XH; Liu, W; Yu, FQ</t>
  </si>
  <si>
    <t>Shi, Xiaofei; Liu, Dong; He, Xinhua; Liu, Wei; Yu, Fuqiang</t>
  </si>
  <si>
    <t>Epidemic Identification of Fungal Diseases in Morchella Cultivation across China</t>
  </si>
  <si>
    <t>Clonostachys solani; Diploospora longispora; ITS amplicon sequencing; fungal disease; morels cultivation</t>
  </si>
  <si>
    <t>SPECIES COMPLEX</t>
  </si>
  <si>
    <t>True morels (Morchella, Pezizales) are world-renowned edible mushrooms (ascocarps) that are widely demanded in international markets. Morchella has been successfully artificially cultivated since 2012 in China and is rapidly becoming a new edible mushroom industry occupying up to 16,466 hectares in the 2021-2022 season. However, nearly 25% of the total cultivation area has annually suffered from fungal diseases. While a variety of morel pathogenic fungi have been reported their epidemic characteristics are unknown, particularly in regional or national scales. In this paper, ITS amplicon sequencing and microscopic examination were concurrently performed on the morel ascocarp lesions from 32 sites in 18 provinces across China. Results showed that Diploospora longispora (75.48%), Clonostachys solani (5.04%), Mortierella gamsii (0.83%), Mortierella amoeboidea (0.37%) and Penicillium kongii (0.15%) were the putative pathogenic fungi. The long, oval, septate conidia of D. longispora was observed on all ascocarps. Oval asexual spores and sporogenic structures, such as those of Clonostachys, were also detected in C. solani infected samples with high ITS read abundance. Seven isolates of D. longispora were isolated from seven selected ascocarps lesions. The microscopic characteristics of pure cultures of these isolates were consistent with the morphological characteristics of ascocarps lesions. Diploospora longispora had the highest amplification abundance in 93.75% of the samples, while C. solani had the highest amplification abundance in six biological samples (6.25%) of the remaining two sampling sites. The results demonstrate that D. longispora is a major culprit of morel fungal diseases. Other low-abundance non-host fungi appear to be saprophytic fungi infecting after D. longispora. This study provides data supporting the morphological and molecular identification and prevention of fungal diseases of morel ascocarps.</t>
  </si>
  <si>
    <t>Shi, Xiaofei</t>
  </si>
  <si>
    <t>[Shi, Xiaofei; Liu, Dong; He, Xinhua; Liu, Wei; Yu, Fuqiang] Chinese Acad Sci, Kunming Inst Bot, Yunnan Key Lab Fungal Divers &amp; Green Dev, Germplasm Bank Wild Species, Kunming 650201, Yunnan, Peoples R China; [Shi, Xiaofei] Guizhou Kangqunyuan Biotechnol Co Ltd, Liupanshui 553600, Peoples R China; [He, Xinhua] Univ Western Australia, Sch Biol Sci, Perth, WA 6009, Australia</t>
  </si>
  <si>
    <t>Chinese Academy of Sciences; Kunming Institute of Botany, CAS; University of Western Australia</t>
  </si>
  <si>
    <t>Liu, W; Yu, FQ (通讯作者)，Chinese Acad Sci, Kunming Inst Bot, Yunnan Key Lab Fungal Divers &amp; Green Dev, Germplasm Bank Wild Species, Kunming 650201, Yunnan, Peoples R China.</t>
  </si>
  <si>
    <t>zhenpingliuwei@mail.kib.ac.cn; fqyu@mail.kib.ac.cn</t>
  </si>
  <si>
    <t>He, Xinhua/0000-0002-5570-3454</t>
  </si>
  <si>
    <t>National Key R&amp;D Programof China [2021YFD1600404]; Basic Research Project of Yunnan Provincial Department of Science and Technology [202101AT070541]</t>
  </si>
  <si>
    <t>National Key R&amp;D Programof China; Basic Research Project of Yunnan Provincial Department of Science and Technology</t>
  </si>
  <si>
    <t>Thiswork was funded by the National Key R&amp;D Programof China (2021YFD1600404) and the Basic Research Project of Yunnan Provincial Department of Science and Technology (202101AT070541).</t>
  </si>
  <si>
    <t>10.3390/jof8101107</t>
  </si>
  <si>
    <t>5P2RV</t>
  </si>
  <si>
    <t>WOS:000873005000001</t>
  </si>
  <si>
    <t>Thiyagaraja, V; Ertz, D; Lucking, R; Wanasinghe, DN; Aptroot, A; Caceres, MED; Hyde, KD; Tapingkae, W; Cheewangkoon, R</t>
  </si>
  <si>
    <t>Thiyagaraja, Vinodhini; Ertz, Damien; Luecking, Robert; Wanasinghe, Dhanushka N.; Aptroot, Andre; da Silva Caceres, Marcela Eugenia; Hyde, Kevin D.; Tapingkae, Wanaporn; Cheewangkoon, Ratchadawan</t>
  </si>
  <si>
    <t>Taxonomic and Phylogenetic Reassessment of Pyrgidium (Mycocaliciales) and Investigation of Ascospore Morphology</t>
  </si>
  <si>
    <t>Ascomycota; morphology; Mycocaliciaceae; PCA; saprotrophs; SEM</t>
  </si>
  <si>
    <t>CALICIOID LICHENS; ASCOMYCOTA; FUNGI; CHAENOTHECOPSIS; EVOLUTION; CLASSIFICATION; CALICIALES; SUBCLASS; OUTLINE; AMBER</t>
  </si>
  <si>
    <t>Mycocaliciales comprise non-lichenized either saprotrophic or lichenicolous fungi which occur in temperate and tropical regions. The mazaediate, saprotrophic and monospecific genus, Pyrgidium, is currently assigned to this order, yet the phylogenetic placement of the genus has remained uncertain due to the absence of molecular data. In order to investigate the systematic position of Pyrgidium, two specimens collected in Brazil and Thailand, respectively, were used to generate mtSSU, SSU, LSU and ITS sequences. However, given that most other representatives of this order only have LSU and ITS sequences available, the phylogenetic reconstruction was limited to these two markers. The phylogenetic analyses confirmed placement of the genus within Mycocaliciales, the genus possessing a sister group relationship with the lichenicolous genus Sphinctrina. Detailed morphological descriptions and illustrations are provided, including those for type specimens of the various synonyms subsumed under the hitherto only accepted species, Pyrgidium montellicum (Beltr.) Tibell. The ascospore morphology was investigated using compound and scanning electronic microscopy (SEM). Principal component analysis (PCA) was performed for the ascospore size using PC-ORD 7. The molecular data and re-examination of the type specimens support the monospecific nature of this genus.</t>
  </si>
  <si>
    <t>Thiyagaraja, Vinodhini</t>
  </si>
  <si>
    <t>[Thiyagaraja, Vinodhini; Cheewangkoon, Ratchadawan] Chiang Mai Univ, Fac Agr, Dept Entomol &amp; Plant Pathol, Chiang Mai 50200, Thailand; [Thiyagaraja, Vinodhini; Hyde, Kevin D.] Mae Fah Luang Univ, Ctr Excellence Fungal Res, Chiang Rai 57100, Thailand; [Thiyagaraja, Vinodhini; Wanasinghe, Dhanushka N.; Hyde, Kevin D.] Chinese Acad Sci, Ctr Mt Futures CMF, Kunming Inst Bot, CAS Key Lab Plant Biodivers &amp; Biogeog East Asia K, Kunming 650201, Yunnan, Peoples R China; [Thiyagaraja, Vinodhini; Wanasinghe, Dhanushka N.; Hyde, Kevin D.] World Agroforestry Ctr, CIFOR ICRAF China Program, 132 Lanhei Rd, Kunming 650201, Yunnan, Peoples R China; [Ertz, Damien] Meise Bot Garden, Res Dept, Nieuwelaan 38, B-1860 Meise, Belgium; [Ertz, Damien] Serv Gen Enseignement Super &amp; Rech Sci, Federat Wallonie Bruxelles, Rue A Lavallee 1, BE-1080 Brussels, Belgium; [Luecking, Robert] Free Univ Berlin, Bot Garten &amp; Bot Museum, Konigin Luise Str 68, D-14195 Berlin, Germany; [Aptroot, Andre] Univ Fed Mato Grosso do Sul, Inst Biociencias, Ave Costa &amp; Silva S-N Bairro Univ, BR-79070900 Campo Grande, MS, Brazil; [da Silva Caceres, Marcela Eugenia] Univ Fed Sergipe, Dept Biociencias, BR-49500000 Itabaiana, Brazil; [Tapingkae, Wanaporn] Chiang Mai Univ, Fac Agr, Dept Anim &amp; Aquat Sci, Chiang Mai 50200, Thailand</t>
  </si>
  <si>
    <t>Chiang Mai University; Mae Fah Luang University; Chinese Academy of Sciences; Kunming Institute of Botany, CAS; Free University of Berlin; Universidade Federal de Mato Grosso do Sul; Universidade Federal de Sergipe; Chiang Mai University</t>
  </si>
  <si>
    <t>Cheewangkoon, R (通讯作者)，Chiang Mai Univ, Fac Agr, Dept Entomol &amp; Plant Pathol, Chiang Mai 50200, Thailand.</t>
  </si>
  <si>
    <t>ratchadawan.c@cmu.ac.th</t>
  </si>
  <si>
    <t>Hyde, Kevin D/F-7890-2010; Wanasinghe, Dhanushka Nadeeshan/P-1693-2017</t>
  </si>
  <si>
    <t>Wanasinghe, Dhanushka Nadeeshan/0000-0003-1759-3933; Tapingkae, Wanaporn/0000-0003-4836-0817</t>
  </si>
  <si>
    <t>Chiang Mai University, Thailand (Reinventing University)</t>
  </si>
  <si>
    <t>Vinodhini Thiyagaraja would like to express thanks for the postdoctoral fellowship of 2022 from Chiang Mai University, Thailand (Reinventing University).</t>
  </si>
  <si>
    <t>10.3390/jof8090966</t>
  </si>
  <si>
    <t>4U0WZ</t>
  </si>
  <si>
    <t>WOS:000858526500001</t>
  </si>
  <si>
    <t>Chaiwan, N; Jeewon, R; Pem, D; Jayawardena, RS; Nazurally, N; Mapook, A; Promputtha, I; Hyde, KD</t>
  </si>
  <si>
    <t>Chaiwan, Napalai; Jeewon, Rajesh; Pem, Dhandevi; Jayawardena, Ruvishika Shehali; Nazurally, Nadeem; Mapook, Ausana; Promputtha, Itthayakorn; Hyde, Kevin D.</t>
  </si>
  <si>
    <t>Fungal Species from Rhododendron sp.: Discosia rhododendricola sp.nov, Neopestalotiopsis rhododendricola sp.nov and Diaporthe nobilis as a New Host Record.</t>
  </si>
  <si>
    <t>leaf litter; multi-loci phylogenetic analyses; new taxa; saprobe; Sordariomycetes; taxonomy</t>
  </si>
  <si>
    <t>SP-NOV; PHYLOGENETIC-RELATIONSHIPS; BACKBONE TREE; PESTALOTIOPSIS; DIVERSITY; DISEASE; MORPHOLOGY; SEIMATOSPORIUM; PATHOGENICITY; VIRULENCE</t>
  </si>
  <si>
    <t>In the present study, we report two new asexual fungal species (i.e., Discosia rhododendricola, Neopestalotiopsis rhododendricola (Sporocadaceae) and a new host for a previously described species (i.e., Diaporthe nobilis; Diaporthaceae). All species were isolated from Rhododendron spp. in Kunming, Yunnan Province, China. All taxa are described based on morphology, and phylogenetic relationships were inferred using a multigenic approach (LSU, ITS, RPB2, TEF1 and TUB2). The phylogenetic analyses indicated that D. rhododendronicola sp. nov. is phylogenetically related to D. muscicola, and N. rhododendricola sp. nov is related to N. sonnaratae. Diaporthe nobilis is reported herein as a new host record from Rhododendron sp. for China, and its phylogeny is depicted based on ITS, TEF1 and TUB2 sequence data.</t>
  </si>
  <si>
    <t>Chaiwan, Napalai</t>
  </si>
  <si>
    <t>[Chaiwan, Napalai; Pem, Dhandevi; Jayawardena, Ruvishika Shehali; Mapook, Ausana; Hyde, Kevin D.] Mae Fah Luang Univ, Ctr Excellence Fungal Res, Chiang Rai 57100, Thailand; [Chaiwan, Napalai; Pem, Dhandevi; Hyde, Kevin D.] Chinese Acad Sci, Kunming Inst Bot, CAS Key Lab Plant Divers &amp; Biogeog East Asia, Kunming 650201, Yunnan, Peoples R China; [Jeewon, Rajesh] Univ Mauritius, Fac Med &amp; Hlth Sci, Dept Hlth Sci, Reduit 80837, Mauritius; [Nazurally, Nadeem] Univ Mauritius, Fac Agr, Dept Agr &amp; Food Sci, Reduit 80837, Mauritius; [Promputtha, Itthayakorn] Chiang Mai Univ, Fac Sci, Dept Biol, Chiang Mai 50200, Thailand; [Promputtha, Itthayakorn] Chiang Mai Univ, Fac Sci, Environm Sci Res Ctr, Chiang Mai 50200, Thailand; [Hyde, Kevin D.] Zhongkai Univ Agr &amp; Engn, Innovat Inst Plant Hlth, Guangzhou 510225, Peoples R China</t>
  </si>
  <si>
    <t>Mae Fah Luang University; Chinese Academy of Sciences; Kunming Institute of Botany, CAS; University of Mauritius; University of Mauritius; Chiang Mai University; Chiang Mai University; Zhongkai University of Agriculture &amp; Engineering</t>
  </si>
  <si>
    <t>Hyde, KD (通讯作者)，Mae Fah Luang Univ, Ctr Excellence Fungal Res, Chiang Rai 57100, Thailand.;Hyde, KD (通讯作者)，Chinese Acad Sci, Kunming Inst Bot, CAS Key Lab Plant Divers &amp; Biogeog East Asia, Kunming 650201, Yunnan, Peoples R China.;Hyde, KD (通讯作者)，Zhongkai Univ Agr &amp; Engn, Innovat Inst Plant Hlth, Guangzhou 510225, Peoples R China.</t>
  </si>
  <si>
    <t>Jayawardena, Ruvishika/V-3592-2018; Mapook, Ausana/ABE-6304-2020; Hyde, Kevin D/F-7890-2010</t>
  </si>
  <si>
    <t>Jayawardena, Ruvishika/0000-0001-7702-4885; Mapook, Ausana/0000-0001-7929-2429; Promputtha, Itthayakorn/0000-0003-3376-4376; Jeewon, Rajesh/0000-0002-8563-957X; Chaiwan, Napalai/0000-0003-2188-1890</t>
  </si>
  <si>
    <t>Thailand Research Fund (TRF) [PHD60K0147]; Kunming Institute of Botany; Thailand Research Fund [DBG6080013, RDG6130001]; Chiang Mai University</t>
  </si>
  <si>
    <t>Thailand Research Fund (TRF)(Thailand Research Fund (TRF)); Kunming Institute of Botany; Thailand Research Fund(Thailand Research Fund (TRF)); Chiang Mai University</t>
  </si>
  <si>
    <t>We are grateful to the Thailand Research Fund (TRF) grant no PHD60K0147 and Kunming Institute of Botany for partially supporting this work. Shaun Pennycook is thanked for nomenclatural advice. K.D. Hyde would like to thank the Thailand Research Fund projects entitled `The future of specialist fungi in a changing climate: baseline data for generalist and specialist fungi associated with ants, Rhododendron species and Dracaena species (No. DBG6080013)' and `Impact of climate change on fungal diversity and biogeography in the Greater Mekong Subregion (No. RDG6130001)'. K.D. Hyde thanks Chiang Mai University for the award of Visiting Professor. Adam Kaplan is thanked for the English editing of the manuscript.</t>
  </si>
  <si>
    <t>10.3390/jof8090907</t>
  </si>
  <si>
    <t>4T8AY</t>
  </si>
  <si>
    <t>WOS:000858333900001</t>
  </si>
  <si>
    <t>Li, JF; Phookamsak, R; Jiang, HB; Bhat, DJ; Camporesi, E; Lumyong, S; Kumla, J; Hongsanan, S; Mortimer, PE; Xu, JC; Suwannarach, N</t>
  </si>
  <si>
    <t>Li, Junfu; Phookamsak, Rungtiwa; Jiang, Hongbo; Bhat, Darbhe Jayarama; Camporesi, Erio; Lumyong, Saisamorn; Kumla, Jaturong; Hongsanan, Sinang; Mortimer, Peter E.; Xu, Jianchu; Suwannarach, Nakarin</t>
  </si>
  <si>
    <t>Additions to the Inventory of the Genus Alternaria Section Alternaria (Pleosporaceae, Pleosporales) in Italy</t>
  </si>
  <si>
    <t>Dothideomycetes; Italian dematiaceous hyphomycetes; multi-locus phylogeny; saprobic fungi; taxonomy</t>
  </si>
  <si>
    <t>PHYLOGENETIC-RELATIONSHIPS; SPECIES BOUNDARIES; FUNGI; TAXA; SYSTEMATICS</t>
  </si>
  <si>
    <t>The genus Alternaria is comprised of well-known plant pathogens causing various important diseases in plants, as well as being common allergens in animals and humans. Species of Alternaria can be found as saprobes associated with various dead plant materials. This research aims to enhance the taxonomy of saprobic species in the genus Alternaria found on grasses and herbaceous plants from Italy, based on multi-locus phylogenetic analyses of a concatenated ITS, LSU, SSU, tef1-alpha, rpb2, gapdh and Alt-a1 DNA sequence dataset combined with morphological characteristics. Multi-locus phylogenetic analyses demonstrated six novel species belonging to the genus Alternaria sect. Alternaria as: A. muriformispora sp. nov., A. obpyriconidia sp. nov., A. ovoidea sp. nov., A. pseudoinfectoria sp. nov., A. rostroconidia sp. nov. and A. torilis sp. nov. Detailed morphological descriptions, illustrations and an updated phylogenetic relationship of taxa in the genus Alternaria sect. Alternaria are provided herein.</t>
  </si>
  <si>
    <t>Li, Junfu</t>
  </si>
  <si>
    <t>[Li, Junfu; Phookamsak, Rungtiwa; Jiang, Hongbo; Mortimer, Peter E.; Xu, Jianchu] Chinese Acad Sci, Honghe Ctr Mt Futures, Kunming Inst Bot, Honghe 654400, Peoples R China; [Li, Junfu; Phookamsak, Rungtiwa; Jiang, Hongbo; Xu, Jianchu] Chinese Acad Sci, Kunming Inst Bot, Dept Econ Plants &amp; Biotechnol, Yunnan Key Lab Wild Plant Resources, Kunming 650201, Yunnan, Peoples R China; [Li, Junfu; Phookamsak, Rungtiwa; Jiang, Hongbo; Xu, Jianchu] World Agroforestry Ctr ICRAF, East &amp; Cent Asia Reg Off, Kunming 650201, Yunnan, Peoples R China; [Li, Junfu; Phookamsak, Rungtiwa; Jiang, Hongbo; Xu, Jianchu] Kunming Inst Bot, Ctr Mt Futures CMF, Kunming 650201, Yunnan, Peoples R China; [Phookamsak, Rungtiwa; Lumyong, Saisamorn; Kumla, Jaturong; Hongsanan, Sinang; Suwannarach, Nakarin] Chiang Mai Univ, Fac Sci, Res Ctr Microbial Divers &amp; Sustainable Utilizat, Chiang Mai 50200, Thailand; [Bhat, Darbhe Jayarama] Azad Housing Soc, 128-1-J, Goa Velha 403108, India; [Camporesi, Erio] Soc Nat Romagna, CP 143, I-48012 Bagnacavallo, RA, Italy; [Lumyong, Saisamorn; Kumla, Jaturong; Suwannarach, Nakarin] Chiang Mai Univ, Fac Sci, Dept Biol, Chiang Mai 50200, Thailand; [Lumyong, Saisamorn] Acad Sci, Royal Soc Thailand, Bangkok 10300, Thailand; [Hongsanan, Sinang] Shenzhen Univ, Coll Life Sci &amp; Oceanog, Shenzhen Key Lab Microbial Genet Engn, Shenzhen 518060, Peoples R China; [Hongsanan, Sinang] Chiang Mai Univ, Fac Agr, Dept Entomol &amp; Plant Pathol, Chiang Mai 50200, Thailand</t>
  </si>
  <si>
    <t>Chinese Academy of Sciences; Kunming Institute of Botany, CAS; Chinese Academy of Sciences; Kunming Institute of Botany, CAS; Chinese Academy of Sciences; Kunming Institute of Botany, CAS; Chiang Mai University; Chiang Mai University; Shenzhen University; Chiang Mai University</t>
  </si>
  <si>
    <t>Suwannarach, N (通讯作者)，Chiang Mai Univ, Fac Sci, Res Ctr Microbial Divers &amp; Sustainable Utilizat, Chiang Mai 50200, Thailand.;Suwannarach, N (通讯作者)，Chiang Mai Univ, Fac Sci, Dept Biol, Chiang Mai 50200, Thailand.</t>
  </si>
  <si>
    <t>suwan.462@gmail.com</t>
  </si>
  <si>
    <t>Phookamsak, Rungtiwa/O-9441-2019; JIANG, HONGBO/GQI-2774-2022; Suwannarach, Nakarin/P-6078-2019</t>
  </si>
  <si>
    <t>Phookamsak, Rungtiwa/0000-0002-6321-8416; Suwannarach, Nakarin/0000-0002-2653-1913</t>
  </si>
  <si>
    <t>Yunnan Provincial Science and Technology Department, Key Project [202101AS070045]; NSFC-CGIAR Project Characterization of roots and their associated rhizosphere microbes in agroforestry systems: ecological restoration in highphosphorus environment [31861143002]; Chiang Mai University, Chiang Mai, Thailand</t>
  </si>
  <si>
    <t>Yunnan Provincial Science and Technology Department, Key Project; NSFC-CGIAR Project Characterization of roots and their associated rhizosphere microbes in agroforestry systems: ecological restoration in highphosphorus environment; Chiang Mai University, Chiang Mai, Thailand</t>
  </si>
  <si>
    <t>This research study is supported by Yunnan Provincial Science and Technology Department, Key Project (Grant No. 202101AS070045) and the NSFC-CGIAR Project Characterization of roots and their associated rhizosphere microbes in agroforestry systems: ecological restoration in highphosphorus environment (Grant No. 31861143002). The APC was supported by Chiang Mai University, Chiang Mai, Thailand.</t>
  </si>
  <si>
    <t>10.3390/jof8090898</t>
  </si>
  <si>
    <t>4Q9JU</t>
  </si>
  <si>
    <t>WOS:000856391600001</t>
  </si>
  <si>
    <t>Zhang, YX; Chen, CT; Chen, C; Chen, JW; Xiang, MM; Wanasinghe, DN; Hsiang, T; Hyde, KD; Manawasinghe, IS</t>
  </si>
  <si>
    <t>Zhang, Yunxia; Chen, Cantian; Chen, Chao; Chen, Jingwen; Xiang, Meimei; Wanasinghe, Dhanushka N.; Hsiang, Tom; Hyde, Kevin D.; Manawasinghe, Ishara S.</t>
  </si>
  <si>
    <t>Identification and Characterization of Calonectria Species Associated with Plant Diseases in Southern China</t>
  </si>
  <si>
    <t>new taxa; Nectriaceae; pairwise homoplasy index; polyphasic approaches; species complexes</t>
  </si>
  <si>
    <t>CYLINDROCLADIUM BLACK ROT; EUCALYPTUS PLANTATIONS; DIVERSITY; ANAMORPHS; PEANUT; BLIGHT</t>
  </si>
  <si>
    <t>Calonectria species are important plant pathogens on a wide range of hosts, causing significant losses to plant production worldwide. During our survey on phytopathogenic fungi from 2019 to 2021, diseased samples were collected from various hosts in Guangdong Province, China. In total, 16 Calonectria isolates were obtained from leaf spots, stem blights and root rots of species of Arachis, Cassia, Callistemon, Eucalyptus, Heliconia, Melaleuca and Strelitzia plants. Isolates were identified morphologically, and a multigene phylogenetic analysis of combined partial sequences of calmodulin (cmdA), translation elongation factor 1-alpha (tef1-alpha) and beta-tubulin (beta-tubulin) was performed. These sixteen isolates were further identified as nine Calonectria species, with five new species: Ca. cassiae, Ca. guangdongensis, Ca. melaleucae, Ca. shaoguanensis and Ca. strelitziae, as well as four new records: Ca. aconidialis from Arachis hypogaea, Ca. auriculiformis from Eucalyptus sp., Ca. eucalypti from Callistemon rigidus, and Ca. hongkongensis from Eucalyptus gunnii. Moreover, we provide updated phylogenetic trees for four Calonectria species complexes viz. Ca. colhounii, Ca. cylindrospora, Ca. kyotensis and Ca. reteaudii. Our study is the first comprehensive study on Calonectria species associated with various hosts from subtropical regions in China. Results from the present study will be an addition to the biodiversity of microfungi in South China.</t>
  </si>
  <si>
    <t>Zhang, Yunxia</t>
  </si>
  <si>
    <t>[Zhang, Yunxia; Chen, Cantian; Chen, Chao; Chen, Jingwen; Xiang, Meimei; Hyde, Kevin D.; Manawasinghe, Ishara S.] Zhongkai Univ Agr &amp; Engn, Innovat Inst Plant Hlth, Guangzhou 510225, Peoples R China; [Zhang, Yunxia; Chen, Cantian; Chen, Chao; Chen, Jingwen; Xiang, Meimei; Manawasinghe, Ishara S.] Minist Agr &amp; Rural Affairs, Key Lab Green Prevent &amp; Control Fruits &amp; Vegetabl, Guangzhou 510225, Peoples R China; [Wanasinghe, Dhanushka N.] Chinese Acad Sci, Ctr Mt Futures, Kunming Inst Bot, Honghe 654400, Peoples R China; [Hsiang, Tom] Univ Guelph, Sch Environm Sci, Guelph, ON N1G 2W1, Canada; [Hyde, Kevin D.] Mae Fah Luang Univ, Ctr Excellence Fungal Res, Chiang Rai 57100, Thailand</t>
  </si>
  <si>
    <t>Zhongkai University of Agriculture &amp; Engineering; Ministry of Agriculture &amp; Rural Affairs; Chinese Academy of Sciences; Kunming Institute of Botany, CAS; University of Guelph; Mae Fah Luang University</t>
  </si>
  <si>
    <t>Zhang, YX; Manawasinghe, IS (通讯作者)，Zhongkai Univ Agr &amp; Engn, Innovat Inst Plant Hlth, Guangzhou 510225, Peoples R China.;Zhang, YX; Manawasinghe, IS (通讯作者)，Minist Agr &amp; Rural Affairs, Key Lab Green Prevent &amp; Control Fruits &amp; Vegetabl, Guangzhou 510225, Peoples R China.</t>
  </si>
  <si>
    <t>yx_zhang08@163.com; chenchao_cc98@163.com; 18825187974@163.com; jingwen075@163.com; mm_xiang@163.com; dnadeeshan@gmail.com; thsiang@uoguelph.ca; kdhyde3@gmail.com; ishara9017@gmail.com</t>
  </si>
  <si>
    <t>Manawasinghe, Ishara/AAD-7555-2019; Hyde, Kevin D/F-7890-2010; Wanasinghe, Dhanushka Nadeeshan/P-1693-2017</t>
  </si>
  <si>
    <t>Manawasinghe, Ishara/0000-0001-5730-3596; Wanasinghe, Dhanushka Nadeeshan/0000-0003-1759-3933</t>
  </si>
  <si>
    <t>National Natural Science Foundation of China [31600019]; Modern Agricultural Industry Technology System Flower Innovation Team of Guangdong Province [2021KJ121, 2022KJ121]; Project of Educational Commission of Guangdong Province of China [2021KTSCX045]; Key Realm R&amp;D Program of Guangdong Province [2018B020205003]; Zhongkai University of Agriculture and Engineering, Guangzhou, P.R China [KA210319288]</t>
  </si>
  <si>
    <t>National Natural Science Foundation of China(National Natural Science Foundation of China (NSFC)); Modern Agricultural Industry Technology System Flower Innovation Team of Guangdong Province; Project of Educational Commission of Guangdong Province of China; Key Realm R&amp;D Program of Guangdong Province; Zhongkai University of Agriculture and Engineering, Guangzhou, P.R China</t>
  </si>
  <si>
    <t>This research was funded by the National Natural Science Foundation of China (grant no. 31600019), Modern Agricultural Industry Technology System Flower Innovation Team of Guangdong Province (grant no. 2021KJ121 and 2022KJ121), the Project of Educational Commission of Guangdong Province of China (grant no. 2021KTSCX045) and Key Realm R&amp;D Program of Guangdong Province (grant no. 2018B020205003). Ishara S. Manawasinghe would like to thank Zhongkai University of Agriculture and Engineering, Guangzhou 510225, P.R China for research funding (grant no. KA210319288).</t>
  </si>
  <si>
    <t>10.3390/jof8070719</t>
  </si>
  <si>
    <t>3J4VF</t>
  </si>
  <si>
    <t>WOS:000833393400001</t>
  </si>
  <si>
    <t>Phookamsak, RT; Jiang, HB; Suwannarach, N; Lumyong, S; Xu, JC; Xu, S; Liao, CF; Chomnunti, P</t>
  </si>
  <si>
    <t>Phookamsak, Rungtiwa; Jiang, Hongbo; Suwannarach, Nakarin; Lumyong, Saisamorn; Xu, Jianchu; Xu, Sheng; Liao, Chun-Fang; Chomnunti, Putarak</t>
  </si>
  <si>
    <t>Bambusicolous Fungi in Pleosporales: Introducing Four Novel Taxa and a New Habitat Record for Anastomitrabeculia didymospora</t>
  </si>
  <si>
    <t>Dothideomycetes; morphology; multigene phylogeny; Parabambusicolaceae; Pyrenochaetopsidaceae; taxonomy; Tetraploasphaeriaceae</t>
  </si>
  <si>
    <t>SP.-NOV.; PHYLOGENETIC CONTRIBUTIONS; FRESH-WATER; VAMSAPRIYA XYLARIACEAE; TAXONOMIC REVISION; DECAYING BAMBOO; GEN.-NOV.; LENTITHECIACEAE; ROUSSOELLACEAE; MORPHOLOGY</t>
  </si>
  <si>
    <t>While conducting a survey of bambusicolous fungi in northern Thailand and southwestern China, several saprobic fungi were collected from dead branches, culms and twigs of bamboos, which were preliminarily identified as species belonging to Pleosporales (Dothideomycetes) based on a morphological approach. Multigene phylogenetic analyses based on ITS, LSU, SSU, rpb2, tef1-alpha and tub2 demonstrated four novel taxa belonging to the families Parabambusicolaceae, Pyrenochaetopsidaceae and Tetraploasphaeriaceae. Hence, Paramultiseptospora bambusae sp. et gen. nov., Pyrenochaetopsis yunnanensis sp. nov. and Tetraploa bambusae sp. nov. are introduced. In addition, Anastomitrabeculia didymospora found on bamboo twigs in terrestrial habitats is reported for the first time. Detailed morphological descriptions and updated phylogenetic trees of each family are provided herein.</t>
  </si>
  <si>
    <t>Phookamsak, Rungtiwa</t>
  </si>
  <si>
    <t>[Phookamsak, Rungtiwa; Jiang, Hongbo; Liao, Chun-Fang; Chomnunti, Putarak] Mae Fah Luang Univ, Sch Sci, Chiang Rai 57100, Thailand; [Phookamsak, Rungtiwa; Xu, Jianchu] Chinese Acad Sci, Kunming Inst Bot, Yunnan Key Lab Wild Plant Resources, Dept Econ Plants &amp; Biotechnol, Kunming 650201, Yunnan, Peoples R China; [Phookamsak, Rungtiwa; Jiang, Hongbo; Xu, Jianchu; Xu, Sheng] Chinese Acad Sci, Kunming Inst Bot, Honghe Ctr Mt Futures, Honghe 654400, Peoples R China; [Phookamsak, Rungtiwa; Jiang, Hongbo; Xu, Jianchu; Xu, Sheng] World Agroforestry Ctr ICRAF, East &amp; Cent Asia Reg Off, Kunming 650201, Yunnan, Peoples R China; [Phookamsak, Rungtiwa; Xu, Jianchu; Xu, Sheng] Kunming Inst Bot, Ctr Mt Futures CMF, Kunming 650201, Yunnan, Peoples R China; [Jiang, Hongbo] Mae Fah Luang Univ, Ctr Excellence Fungal Res, Chiang Rai 57100, Thailand; [Suwannarach, Nakarin; Lumyong, Saisamorn] Chiang Mai Univ, Res Ctr Microbial Divers &amp; Sustainable Utilizat, Chiang Mai 50200, Thailand; [Suwannarach, Nakarin; Lumyong, Saisamorn; Xu, Sheng] Chiang Mai Univ, Fac Sci, Dept Biol, Chiang Mai 50200, Thailand; [Lumyong, Saisamorn] Royal Soc Thailand, Acad Sci, Bangkok 10300, Thailand; [Liao, Chun-Fang] Zhongkai Univ Agr &amp; Engn, Innovat Inst Plant Hlth, Guangzhou 510225, Peoples R China</t>
  </si>
  <si>
    <t>Mae Fah Luang University; Chinese Academy of Sciences; Kunming Institute of Botany, CAS; Chinese Academy of Sciences; Kunming Institute of Botany, CAS; Chinese Academy of Sciences; Kunming Institute of Botany, CAS; Mae Fah Luang University; Chiang Mai University; Chiang Mai University; Zhongkai University of Agriculture &amp; Engineering</t>
  </si>
  <si>
    <t>Chomnunti, P (通讯作者)，Mae Fah Luang Univ, Sch Sci, Chiang Rai 57100, Thailand.</t>
  </si>
  <si>
    <t>rphookamsak@outlook.com; hongbo-j@hotmail.com; suwan_461@hotmail.com; scboi009@gmail.com; jxu@mail.kib.ac.cn; hambugerking123@gmail.com; fang04271@hotmail.com; putarak.cho@mfu.ac.th</t>
  </si>
  <si>
    <t>Phookamsak, Rungtiwa/O-9441-2019; Suwannarach, Nakarin/P-6078-2019; JIANG, HONGBO/GQI-2774-2022</t>
  </si>
  <si>
    <t>Phookamsak, Rungtiwa/0000-0002-6321-8416; Suwannarach, Nakarin/0000-0002-2653-1913; Chomnunti, Putarak/0000-0003-2989-1735</t>
  </si>
  <si>
    <t>Yunnan Provincial Science and Technology Department [202101AS070045]; NSFC-CGIAR Project Characterization of roots and their associated rhizosphere microbes in agroforestry systems: ecological restoration in high-phosphorus environment [31861143002]</t>
  </si>
  <si>
    <t>Yunnan Provincial Science and Technology Department; NSFC-CGIAR Project Characterization of roots and their associated rhizosphere microbes in agroforestry systems: ecological restoration in high-phosphorus environment</t>
  </si>
  <si>
    <t>This research study is supported by the Yunnan Provincial Science and Technology Department, Key Project (Grant No. 202101AS070045) and NSFC-CGIAR Project Characterization of roots and their associated rhizosphere microbes in agroforestry systems: ecological restoration in high-phosphorus environment (Grant No. 31861143002).</t>
  </si>
  <si>
    <t>10.3390/jof8060630</t>
  </si>
  <si>
    <t>2O5RH</t>
  </si>
  <si>
    <t>WOS:000819114500001</t>
  </si>
  <si>
    <t>Zhang, YY; Clancy, J; Jensen, J; McMullin, RT; Wang, LS; Leavitt, SD</t>
  </si>
  <si>
    <t>Zhang, Yanyun; Clancy, Jeffrey; Jensen, Jacob; McMullin, Richard Troy; Wang, Lisong; Leavitt, Steven D.</t>
  </si>
  <si>
    <t>Providing Scale to a Known Taxonomic Unknown-At Least a 70-Fold Increase in Species Diversity in a Cosmopolitan Nominal Taxon of Lichen-Forming Fungi</t>
  </si>
  <si>
    <t>alpine; arctic; Antarctic; ASAP; cosmopolitan; cryptic species; genome skimming; species delimitation; symbiotic phenotype</t>
  </si>
  <si>
    <t>USNIC ACID; DELIMITATION; LECANORA; IDENTIFICATION; PARMELIACEAE; ASCOMYCOTA; NOMENCLATURE; PHYLOGENIES; ALGORITHM; MARKER</t>
  </si>
  <si>
    <t>Robust species delimitations provide a foundation for investigating speciation, phylogeography, and conservation. Here we attempted to elucidate species boundaries in the cosmopolitan lichen-forming fungal taxon Lecanora polytropa. This nominal taxon is morphologically variable, with distinct populations occurring on all seven continents. To delimit candidate species, we compiled ITS sequence data from populations worldwide. For a subset of the samples, we also generated alignments for 1209 single-copy nuclear genes and an alignment spanning most of the mitochondrial genome to assess concordance among the ITS, nuclear, and mitochondrial inferences. Species partitions were empirically delimited from the ITS alignment using ASAP and bPTP. We also inferred a phylogeny for the L. polytropa clade using a four-marker dataset. ASAP species delimitations revealed up to 103 species in the L. polytropa clade, with 75 corresponding to the nominal taxon L. polytropa. Inferences from phylogenomic alignments generally supported that these represent evolutionarily independent lineages or species. Less than 10% of the candidate species were comprised of specimens from multiple continents. High levels of candidate species were recovered at local scales but generally with limited overlap across regions. Lecanora polytropa likely ranks as one of the largest species complexes of lichen-forming fungi known to date.</t>
  </si>
  <si>
    <t>Zhang, Yanyun</t>
  </si>
  <si>
    <t>[Zhang, Yanyun; Wang, Lisong] Chinese Acad Sci, Kunming Inst Bot, Key Lab Plant Divers &amp; Biogeog East Asia, Kunming 650201, Yunnan, Peoples R China; [Zhang, Yanyun] Anhui Normal Univ, Coll Life Sci, Wuhu 241000, Peoples R China; [Clancy, Jeffrey; Jensen, Jacob] Brigham Young Univ, Dept Biol, 4102 Life Sci Bldg, Provo, UT 84602 USA; [McMullin, Richard Troy] Canadian Museum Nat Res &amp; Collect, Ottawa, ON K1P 6P4, Canada; [Leavitt, Steven D.] Brigham Young Univ, Dept Biol, ML Bean Life Sci Museum, 4102 Life Sci Bldg, Provo, UT 84602 USA</t>
  </si>
  <si>
    <t>Chinese Academy of Sciences; Kunming Institute of Botany, CAS; Anhui Normal University; Brigham Young University; Brigham Young University</t>
  </si>
  <si>
    <t>Wang, LS (通讯作者)，Chinese Acad Sci, Kunming Inst Bot, Key Lab Plant Divers &amp; Biogeog East Asia, Kunming 650201, Yunnan, Peoples R China.;Leavitt, SD (通讯作者)，Brigham Young Univ, Dept Biol, ML Bean Life Sci Museum, 4102 Life Sci Bldg, Provo, UT 84602 USA.</t>
  </si>
  <si>
    <t>2021209@ahnu.edu.cn; jclancy1330@gmail.com; jnjensen88@gmail.com; tmcmullin@nature.ca; wanglisong@mail.kib.ac.cn; leavitt@byu.edu</t>
  </si>
  <si>
    <t>zhang, yan yun/0000-0002-0902-5066; Clancy, Jeffrey/0000-0001-5523-5403; Leavitt, Steven/0000-0002-5034-9724</t>
  </si>
  <si>
    <t>National Natural Science Foundation of China [31970022, 31750001]; Second Tibetan Plateau Scientific Expedition and Research (STEP) program [2019QZKK0503]; M.L. Bean Museum of Life Sciences at Brigham Young University (Provo, UT, USA); Canyonlands Natural History Association (Moab, UT, USA)</t>
  </si>
  <si>
    <t>National Natural Science Foundation of China(National Natural Science Foundation of China (NSFC)); Second Tibetan Plateau Scientific Expedition and Research (STEP) program; M.L. Bean Museum of Life Sciences at Brigham Young University (Provo, UT, USA); Canyonlands Natural History Association (Moab, UT, USA)</t>
  </si>
  <si>
    <t>This research was funded by the National Natural Science Foundation of China (Nos 31970022, 31750001), Canyonlands Natural History Association (Moab, UT, USA), Second Tibetan Plateau Scientific Expedition and Research (STEP) program [No. 2019QZKK0503], and the M.L. Bean Museum of Life Sciences at Brigham Young University (Provo, UT, USA).</t>
  </si>
  <si>
    <t>10.3390/jof8050490</t>
  </si>
  <si>
    <t>1T7IB</t>
  </si>
  <si>
    <t>WOS:000804900800001</t>
  </si>
  <si>
    <t>Yan, BC; Wang, WG; Kong, LM; Tang, JW; Du, X; Li, Y; Puno, PT</t>
  </si>
  <si>
    <t>Yan, Bing-Chao; Wang, Wei-Guang; Kong, Ling-Mei; Tang, Jian-Wei; Du, Xue; Li, Yan; Puno, Pema-Tenzin</t>
  </si>
  <si>
    <t>Cytochalasans from the Endophytic Fungus Phomopsis sp. shj2 and Their Antimigratory Activities</t>
  </si>
  <si>
    <t>endophytic fungus; Phomopsis; cytochalasan; antimigratory activity</t>
  </si>
  <si>
    <t>Cytochalasans from the endophytic fungi featured structure diversity. Our previous study has disclosed that cytochalasans from the endophytic fungus Phomopsis sp. shj2 exhibited an antimigratory effect. Further chemical investigation on Phomopsis sp. shj2 has led to the discovery of seven new cytochalasans (1-7), together with four known ones. Their structures were elucidated through extensive spectroscopic data interpretation and single-crystal X-ray diffraction analysis. Compounds 1-3 and 8-11 exhibited antimigratory effects against MDA-MB-231 in vitro with IC50 values in the range of 1.01-10.42 mu M.</t>
  </si>
  <si>
    <t>Yan, Bing-Chao</t>
  </si>
  <si>
    <t>[Yan, Bing-Chao; Wang, Wei-Guang; Kong, Ling-Mei; Tang, Jian-Wei; Du, Xue; Li, Yan; Puno, Pema-Tenzin] Chinese Acad Sci, Kunming Inst Bot, State Key Lab Phytochem &amp; Plant Resources West Ch, Kunming 650201, Yunnan, Peoples R China; [Yan, Bing-Chao; Wang, Wei-Guang; Kong, Ling-Mei; Tang, Jian-Wei; Du, Xue; Li, Yan; Puno, Pema-Tenzin] Yunnan Key Lab Nat Med Chem, Kunming 650201, Yunnan, Peoples R China; [Yan, Bing-Chao; Tang, Jian-Wei; Du, Xue; Puno, Pema-Tenzin] Univ Chinese Acad Sci, Beijing 100049, Peoples R China</t>
  </si>
  <si>
    <t>Puno, PT (通讯作者)，Chinese Acad Sci, Kunming Inst Bot, State Key Lab Phytochem &amp; Plant Resources West Ch, Kunming 650201, Yunnan, Peoples R China.;Puno, PT (通讯作者)，Yunnan Key Lab Nat Med Chem, Kunming 650201, Yunnan, Peoples R China.;Puno, PT (通讯作者)，Univ Chinese Acad Sci, Beijing 100049, Peoples R China.</t>
  </si>
  <si>
    <t>yanbingchao@mail.kib.ac.cn; wwg@live.cn; konglingmei@mail.kib.ac.cn; tangjianwei@mail.kib.ac.cn; duxue@mail.kib.ac.cn; liyan@mail.kib.ac.cn; punopematenzin@mail.kib.ac.cn</t>
  </si>
  <si>
    <t>Yan, Bing-Chao/0000-0002-9739-5234</t>
  </si>
  <si>
    <t>National Natural Science Foundation of China [81874298]; NSFC-Joint Foundation of Yunnan Province [U2002221]; Yunnan Science Fund for Distinguished Young Scholars [2019FJ002]; Postdoctoral Directional Training Foundation of Yunnan Province</t>
  </si>
  <si>
    <t>National Natural Science Foundation of China(National Natural Science Foundation of China (NSFC)); NSFC-Joint Foundation of Yunnan Province; Yunnan Science Fund for Distinguished Young Scholars; Postdoctoral Directional Training Foundation of Yunnan Province</t>
  </si>
  <si>
    <t>This research was funded by the National Natural Science Foundation of China (No. 81874298), the NSFC-Joint Foundation of Yunnan Province (U2002221), and the Yunnan Science Fund for Distinguished Young Scholars (2019FJ002), and the Postdoctoral Directional Training Foundation of Yunnan Province (B.-C.Y.).</t>
  </si>
  <si>
    <t>10.3390/jof8050543</t>
  </si>
  <si>
    <t>1P3FH</t>
  </si>
  <si>
    <t>WOS:000801898400001</t>
  </si>
  <si>
    <t>Luo, KY; Chen, ZY; Zhao, CL</t>
  </si>
  <si>
    <t>Luo, Kai-Yue; Chen, Zhuo-Yue; Zhao, Chang-Lin</t>
  </si>
  <si>
    <t>Phylogenetic and Taxonomic Analyses of Three New Wood-Inhabiting Fungi of Xylodon (Basidiomycota) in a Forest Ecological System</t>
  </si>
  <si>
    <t>biodiversity; ecology; environment; molecular phylogeny; white rot fungi; Yunnan-Guizhou Plateau</t>
  </si>
  <si>
    <t>SP-NOV SCHIZOPORACEAE; HYPHODONTIA HYMENOCHAETALES; GENUS HYPHODONTIA; SOUTHERN CHINA; S.L.; CORTICIACEAE; DIVERSITY; ALIGNMENT</t>
  </si>
  <si>
    <t>Wood-inhabiting fungi are a cosmopolitan group and show a rich diversity, growing in the vegetation of boreal, temperate, subtropical, and tropical regions. Xylodon grandineus, X. punctus, and X. wenshanensis spp. nov. were found in the Yunnan-Guizhou Plateau, China, suggested here to be new fungal species in light of their morphology and phylogeny. Xylodon grandineus is characterized by a grandinioid hymenophore and ellipsoid basidiospores; X. punctus has a membranous hymenophore, a smooth hymenial surface with a speckled distribution, and absent cystidia; X. wenshanensis has a grandinioid hymenophore with a cream to slightly buff hymenial surface and cystidia of two types. Sequences of the ITS and nLSU rRNA markers of the studied samples were generated, and phylogenetic analyses were performed using the maximum likelihood, maximum parsimony, and Bayesian inference methods. After a series of phylogenetic studies, the ITS+nLSU analysis of the order Hymenochaetales indicated that, at the generic level, six genera (i.e., Fasciodontia, Hastodontia, Hyphodontia, Lyomyces, Kneiffiella, and Xylodon) should be accepted to accommodate the members of Hyphodontia sensu lato. According to a further analysis of the ITS dataset, X. grandineus was retrieved as a sister to X. nesporii; X. punctus formed a monophyletic lineage and then grouped with X. filicinus, X. hastifer, X. hyphodontinus, and X. tropicus; and X. wenshanensis was a sister to X. xinpingensis.</t>
  </si>
  <si>
    <t>[Luo, Kai-Yue; Zhao, Chang-Lin] Southwest Forestry Univ, Key Lab Forest Resources Conservat &amp; Utilizat Sou, Minist Educ, Kunming 650224, Yunnan, Peoples R China; [Luo, Kai-Yue; Zhao, Chang-Lin] Southwest Forestry Univ, Restorat &amp; Ecol Serv, Yunnan Key Lab Plateau Wetland Conservat, Kunming 650224, Yunnan, Peoples R China; [Luo, Kai-Yue; Chen, Zhuo-Yue; Zhao, Chang-Lin] Southwest Forestry Univ, Coll Biodivers Conservat, Kunming 650224, Yunnan, Peoples R China; [Zhao, Chang-Lin] Chinese Acad Sci, Kunming Inst Bot, Yunnan Key Lab Fungal Divers &amp; Green Dev, Kunming 650201, Yunnan, Peoples R China; [Zhao, Chang-Lin] Tsinghua Univ, Sch Life Sci, Beijing 100084, Peoples R China</t>
  </si>
  <si>
    <t>Southwest Forestry University - China; Southwest Forestry University - China; Southwest Forestry University - China; Chinese Academy of Sciences; Kunming Institute of Botany, CAS; Tsinghua University</t>
  </si>
  <si>
    <t>Zhao, CL (通讯作者)，Southwest Forestry Univ, Key Lab Forest Resources Conservat &amp; Utilizat Sou, Minist Educ, Kunming 650224, Yunnan, Peoples R China.;Zhao, CL (通讯作者)，Southwest Forestry Univ, Restorat &amp; Ecol Serv, Yunnan Key Lab Plateau Wetland Conservat, Kunming 650224, Yunnan, Peoples R China.;Zhao, CL (通讯作者)，Southwest Forestry Univ, Coll Biodivers Conservat, Kunming 650224, Yunnan, Peoples R China.;Zhao, CL (通讯作者)，Chinese Acad Sci, Kunming Inst Bot, Yunnan Key Lab Fungal Divers &amp; Green Dev, Kunming 650201, Yunnan, Peoples R China.;Zhao, CL (通讯作者)，Tsinghua Univ, Sch Life Sci, Beijing 100084, Peoples R China.</t>
  </si>
  <si>
    <t>fungikaiyuel@163.com; fungizhuoyuechen@163.com; fungi@swfu.edu.cn</t>
  </si>
  <si>
    <t>National Natural Science Foundation of China [32170004, U2102220]; Yunnan Fundamental Research Project [202001AS070043]; High-level Talents Program of Yunnan Province [YNQRQNRC-2018-111]; Yunnan Key Laboratory of Plateau Wetland Conservation, Restoration and Ecological Services [202105AG070002]</t>
  </si>
  <si>
    <t>National Natural Science Foundation of China(National Natural Science Foundation of China (NSFC)); Yunnan Fundamental Research Project; High-level Talents Program of Yunnan Province; Yunnan Key Laboratory of Plateau Wetland Conservation, Restoration and Ecological Services</t>
  </si>
  <si>
    <t>The research was supported by the National Natural Science Foundation of China (Project No. 32170004, U2102220) to Chang-Lin Zhao, Yunnan Fundamental Research Project (Grant No. 202001AS070043) to Chang-Lin Zhao, the High-level Talents Program of Yunnan Province (YNQRQNRC-2018-111) to Chang-Lin Zhao, and Yunnan Key Laboratory of Plateau Wetland Conservation, Restoration and Ecological Services (202105AG070002) to Kai-Yue Luo.</t>
  </si>
  <si>
    <t>10.3390/jof8040405</t>
  </si>
  <si>
    <t>0T2EB</t>
  </si>
  <si>
    <t>WOS:000786784300001</t>
  </si>
  <si>
    <t>Peng, XR; Wang, Q; Su, HG; Zhou, L; Xiong, WY; Qiu, MH</t>
  </si>
  <si>
    <t>Peng, Xing-Rong; Wang, Qian; Su, Hai-Guo; Zhou, Lin; Xiong, Wen-Yong; Qiu, Ming-Hua</t>
  </si>
  <si>
    <t>Anti-Adipogenic Lanostane-Type Triterpenoids from the Edible and Medicinal Mushroom Ganoderma applanatum</t>
  </si>
  <si>
    <t>Ganoderma applanatum; lanostane triterpenoid; Mosher's method; anti-adipogenesis activity; structure-activity relationship</t>
  </si>
  <si>
    <t>APOPTOSIS; LUCIDUM; INFLAMMATION; METABOLISM; EXTRACTS; PROVIDE; BODY</t>
  </si>
  <si>
    <t>Our previous research has shown that lanostane triterpenoids from Ganoderma applanatum exhibit significant anti-adipogenesis effects. In order to obtain more structurally diverse lanostane triterpenoids to establish a structure-activity relationship, we continued the study of lanostane triterpenoids from the fruiting bodies of G. applanatum, and forty highly oxygenated lanostane-type triterpenoinds (1-40), including sixteen new compounds (1-16), were isolated. Their structures were elucidated using NMR spectra, X-ray crystallographic analysis, and Mosher's method. In addition, some of their parts were evaluated to determine their anti-adipogenesis activities in the 3T3-L1 cell model. The results showed that compounds 16, 22, 28, and 32 exhibited stronger anti-adipogenesis effects than the positive control (LiCl, 20 mM) at the concentration of 20 mu M. Compounds 15 and 20 could significantly reduce the lipid accumulation during the differentiation process of 3T3-L1 cells, comparable to the untreated group. Their IC50 values were 6.42 and 5.39 mu M, respectively. The combined results of our previous and present studies allow us to establish a structure-activity relationship of lanostane triterpenoids, indicating that the A-seco-23 -&gt; 26 lactone skeleton could play a key role in anti-adipogenesis activity.</t>
  </si>
  <si>
    <t>Peng, Xing-Rong</t>
  </si>
  <si>
    <t>[Peng, Xing-Rong; Su, Hai-Guo; Zhou, Lin; Xiong, Wen-Yong; Qiu, Ming-Hua] Chinese Acad Sci, Kunming Inst Bot, State Key Lab Phytochem &amp; Plant Resources West Ch, Kunming 650201, Yunnan, Peoples R China; [Peng, Xing-Rong; Su, Hai-Guo; Zhou, Lin; Qiu, Ming-Hua] Univ Chinese Acad Sci, Beijing 100049, Peoples R China; [Wang, Qian; Xiong, Wen-Yong] Yunnan Univ, Yunnan Prov Ctr Res &amp; Dev Nat Prod, Sch Chem Sci &amp; Technol, Key Lab Med Chem Nat Resource,Minist Educ, Kunming 650091, Yunnan, Peoples R China</t>
  </si>
  <si>
    <t>Xiong, WY; Qiu, MH (通讯作者)，Chinese Acad Sci, Kunming Inst Bot, State Key Lab Phytochem &amp; Plant Resources West Ch, Kunming 650201, Yunnan, Peoples R China.;Qiu, MH (通讯作者)，Univ Chinese Acad Sci, Beijing 100049, Peoples R China.;Xiong, WY (通讯作者)，Yunnan Univ, Yunnan Prov Ctr Res &amp; Dev Nat Prod, Sch Chem Sci &amp; Technol, Key Lab Med Chem Nat Resource,Minist Educ, Kunming 650091, Yunnan, Peoples R China.</t>
  </si>
  <si>
    <t>pengxingrong@mail.kib.ac.cn; 20210209@ynu.edu.cn; suhg@mail.sysu.edu.cn; zhoulin@mail.kib.ac.cn; xwy@ynu.edu.cn; mhchiu@mail.kib.ac.cn</t>
  </si>
  <si>
    <t>xiong, wenyong/C-3835-2013</t>
  </si>
  <si>
    <t>xiong, wenyong/0000-0001-9174-3667</t>
  </si>
  <si>
    <t>Basic Research Program of Yunnan Province [202001AT070070]; Youth Innovation Promotion Association of CAS [2019383]; Basic Research Project of Yunnan Province [201901T070239]</t>
  </si>
  <si>
    <t>Basic Research Program of Yunnan Province; Youth Innovation Promotion Association of CAS; Basic Research Project of Yunnan Province</t>
  </si>
  <si>
    <t>This work was supported by grants from the Basic Research Program of Yunnan Province (202001AT070070), and the Youth Innovation Promotion Association of CAS (2019383). The authors are grateful to the Analytical and Testing Center at Kunming Institute of Botany for the NMR and ECD data collection.; This research was funded by the Basic Research Project of Yunnan Province (201901T070239) and the Youth Innovation Promotion Association of CAS (2019383).</t>
  </si>
  <si>
    <t>10.3390/jof8040331</t>
  </si>
  <si>
    <t>0S2BV</t>
  </si>
  <si>
    <t>WOS:000786086000001</t>
  </si>
  <si>
    <t>Wanasinghe, DN; Ren, GC; Xu, JC; Cheewangkoon, R; Mortimer, PE</t>
  </si>
  <si>
    <t>Wanasinghe, Dhanushka N.; Ren, Guang-Cong; Xu, Jian-Chu; Cheewangkoon, Ratchadawan; Mortimer, Peter E.</t>
  </si>
  <si>
    <t>Insight into the Taxonomic Resolution of the Pleosporalean Species Associated with Dead Woody Litter in Natural Forests from Yunnan, China</t>
  </si>
  <si>
    <t>Ascomycota; anamorph; Dothideomycetes; Greater Mekong Subregion; teleomorph</t>
  </si>
  <si>
    <t>FRESH-WATER HABITATS; SP.-NOV.; PHYLOGENY; FUNGI; PHAEOSEPTUM; SULCATISPORACEAE; MELANOMMATACEAE; ASCOMYCOTA; DIVERSITY; PROVINCE</t>
  </si>
  <si>
    <t>In the course of investigating the systematics of woody litter micromycete associates in Yunnan Province, China, we found one new species in Phaeoseptaceae, one new genus and three new species in Sulcatisporaceae from 16 specimens collected (ten collections of ascomycetous teleomorphs, four collections of hyphomycetous and two collections of coelomycetes anamorphs) from Ailaoshan, Chuxiong, Diqing, Honghe, Kunming, Lancang, Mengla and Yuxi in Yunnan Province. These taxonomic novelties were recognized with the aid of morphological comparisons and phylogenetic analyses of multiple gene sequences (non-translated loci and protein-coding regions). Pleopunctum menglaense sp. nov. is accommodated in Phaeoseptaceae (Pleosporales) based on its hyphomycetous anamorph, which is characterized by superficial sporodochia on the host surface, macronematous, mononematous, cylindrical, unbranched, aseptate, hyaline and smooth-walled conidiophores, monoblastic, terminal, hyaline conidiogenous cells, hyaline, muriform alpha conidia, and brown, muriform beta conidia with tri-lobed wing like basal cells. Kazuakitanaka gen. nov. (type: K. yuxiensis) is introduced in Sulcatisporaceae (Massarineae, Pleosporales) for a saprobic ascomycete with teleomorphic and anamorphic (coelomycetous) features. The teleomorph possesses globose to subglobose ascomata with acentric ostiole, a peridial wall of textura angularis to textura prismatica, cylindric-clavate, pedicellate asci with an ocular chamber, and 1-2-septate, hyaline, fusiform, guttulate ascospores with a distinct mucilaginous sheath. The anamorph features pycnidial conidiomata, phialidic, ampulliform to cylindrical, hyaline conidiogenous cells and ampulliform to cylindrical, one-to-three-septate, hyaline, guttulate conidia. Loculosulcatispora was known only from its anamorph of L. thailandica. We observed the teleomorph of Loculosulcatispora hongheensis sp. nov. and amended the generic description of Loculosulcatispora accordingly. Loculosulcatispora hongheensis is characterized by globose to subglobose ascomata with a central ostiole, a peridial wall of textura angularis to globosa, branched, septate, pseudoparaphyses, clavate asci with a short pedicel and a minute ocular chamber and hyaline, fusiform, 1-septate ascospores with a thick irregular mucilaginous sheath. This study provides some insights into the diversity of fungi on dead woody litter in terrestrial habitats.</t>
  </si>
  <si>
    <t>[Wanasinghe, Dhanushka N.; Xu, Jian-Chu; Mortimer, Peter E.] Chinese Acad Sci, Ctr Mt Futures, Kunming Inst Bot, Honghe 654400, Peoples R China; [Wanasinghe, Dhanushka N.; Cheewangkoon, Ratchadawan] Chiang Mai Univ, Fac Agr, Dept Entomol &amp; Plant Pathol, Chiang Mai 50200, Thailand; [Ren, Guang-Cong] Mae Fah Luang Univ, Ctr Excellence Fungal Res, Chiang Rai 57100, Thailand; [Xu, Jian-Chu; Mortimer, Peter E.] Chinese Acad Sci, Kunming Inst Bot, Dept Econ Plants &amp; Biotechnol, Yunnan Key Lab Wild Plant Resources, Kunming 650201, Yunnan, Peoples R China; [Xu, Jian-Chu] World Agroforestry ICRAF, CIFOR ICRAF China Program, Kunming 650201, Yunnan, Peoples R China</t>
  </si>
  <si>
    <t>Chinese Academy of Sciences; Kunming Institute of Botany, CAS; Chiang Mai University; Mae Fah Luang University; Chinese Academy of Sciences; Kunming Institute of Botany, CAS</t>
  </si>
  <si>
    <t>Mortimer, PE (通讯作者)，Chinese Acad Sci, Ctr Mt Futures, Kunming Inst Bot, Honghe 654400, Peoples R China.;Cheewangkoon, R (通讯作者)，Chiang Mai Univ, Fac Agr, Dept Entomol &amp; Plant Pathol, Chiang Mai 50200, Thailand.;Mortimer, PE (通讯作者)，Chinese Acad Sci, Kunming Inst Bot, Dept Econ Plants &amp; Biotechnol, Yunnan Key Lab Wild Plant Resources, Kunming 650201, Yunnan, Peoples R China.</t>
  </si>
  <si>
    <t>wanasinghe@mail.kib.ac.cn; guangcong.ren@gmail.com; J.C.Xu@cgiar.org; ratchadawan.c@cmu.ac.th; peter@mail.kib.ac.cn</t>
  </si>
  <si>
    <t>High-End Foreign Experts in the High-Level Talent 318 Recruitment Plan of Yunnan Province, 2021; CAS President's International Fellowship Initiative [2021FYB0005]; National Science Foundation of China (NSFC) [31861143002, 32150410362]; Yunnan Provincial Science and Technology Department [202003AD150004, 202101AS070045]; Human Resources and Social Security Bureau of Yunnan Province; Chiang Mai University</t>
  </si>
  <si>
    <t>High-End Foreign Experts in the High-Level Talent 318 Recruitment Plan of Yunnan Province, 2021; CAS President's International Fellowship Initiative; National Science Foundation of China (NSFC)(National Natural Science Foundation of China (NSFC)); Yunnan Provincial Science and Technology Department; Human Resources and Social Security Bureau of Yunnan Province; Chiang Mai University</t>
  </si>
  <si>
    <t>High-End Foreign Experts in the High-Level Talent 318 Recruitment Plan of Yunnan Province, 2021, CAS President's International Fellowship Initiative (grant number 2021FYB0005), the National Science Foundation of China (NSFC) under the project codes 31861143002, 32150410362, Yunnan Provincial Science and Technology Department (grant numbers 202003AD150004 and 202101AS070045), the Postdoctoral Fund from Human Resources and Social Security Bureau of Yunnan Province and Chiang Mai University.</t>
  </si>
  <si>
    <t>10.3390/jof8040375</t>
  </si>
  <si>
    <t>0R1OT</t>
  </si>
  <si>
    <t>WOS:000785374300001</t>
  </si>
  <si>
    <t>Yang, EF; Phookamsak, R; Jiang, HB; Tibpromma, S; Bhat, DJ; Karunarathna, SC; Dai, DQ; Xu, JC; Promputtha, I</t>
  </si>
  <si>
    <t>Yang, Er-Fu; Phookamsak, Rungtiwa; Jiang, Hong-Bo; Tibpromma, Saowaluck; Bhat, Darbhe J.; Karunarathna, Samantha C.; Dai, Dong-Qin; Xu, Jian-Chu; Promputtha, Itthayakorn</t>
  </si>
  <si>
    <t>Taxonomic Reappraisal of Periconiaceae with the Description of Three New Periconia Species from China</t>
  </si>
  <si>
    <t>Ascomycota; Bambusistroma; Chinese mycobiota; Dothideomycetes; Noosia</t>
  </si>
  <si>
    <t>MOLECULAR CHARACTERIZATION; SP-NOV; GENERA; FUNGUS; SPORIDESMIUM; TAXA</t>
  </si>
  <si>
    <t>As a result of an ongoing research survey of microfungi in Yunnan, China, several saprobic ascomycetes were collected from various host substrates. Preliminary morphological analyses identified a few of these taxa as Periconia species. We obtained DNA sequence data of the Periconia species from pure cultures and investigated their phylogenetic affinities. Phylogenetic analyses of a combined LSU, ITS, SSU and tef1-alpha sequence dataset demonstrated that five isolates of Periconia formed well-resolved subclades within Periconiaceae. Accordingly, three new Periconia species are introduced viz. P. artemisiae, P. chimonanthi and P. thysanolaenae, and new host and geographical records of P. byssoides and P. pseudobyssoides, are also reported from dead branches of Prunus armeniaca and Scrophularia ningpoensis. Periconia celtidis formed a monophyletic clade with P. byssoides in the present phylogenetic analyses. Results of the pairwise homoplasy index (PHI) test indicated significant recombination between P. byssoides and P. celtidis. Therefore, P. celtidis has been synonymized under P. byssoides. In addition, we re-illustrated and studied the type specimen of the sexual genus Bambusistroma. As a type species of Bambusistroma, B. didymosporum features similar morphology to the sexual morph of Periconia homothallica and P. pseudodigitata. We therefore synonymize Bambusistroma under Periconia based on morphological and phylogenetic evidence. Furthermore, our new isolates produced brown conidia of asexual morph in agar media typical of the genus Noosia. Based on morphological comparison with Periconia in vitro and phylogenetic status of Noosia, we also treat Noosia as a synonym of Periconia. Detailed descriptions and illustrations of three novel taxa and two new records of Periconia byssoides and P. pseudobyssoides as well as the illustration of P. didymosporum comb. nov. are provided. An updated phylogenetic tree of Periconiaceae using maximum likelihood and Bayesian inference analyses is constructed. Generic circumscription of Periconia is amended.</t>
  </si>
  <si>
    <t>Yang, Er-Fu</t>
  </si>
  <si>
    <t>[Yang, Er-Fu; Tibpromma, Saowaluck; Karunarathna, Samantha C.; Dai, Dong-Qin] Qujing Normal Univ, Coll Biol Resource &amp; Food Engn, Ctr Yunnan Plateau Biol Resources Protect &amp; Utili, Qujing 655011, Peoples R China; [Yang, Er-Fu; Promputtha, Itthayakorn] Chiang Mai Univ, Fac Sci, Dept Biol, Chiang Mai 50200, Thailand; [Yang, Er-Fu; Promputtha, Itthayakorn] Chiang Mai Univ, Res Ctr Bioresources Agr Ind &amp; Med, Chiang Mai 50200, Thailand; [Yang, Er-Fu; Phookamsak, Rungtiwa; Jiang, Hong-Bo; Tibpromma, Saowaluck; Karunarathna, Samantha C.; Xu, Jian-Chu] Chinese Acad Sci, Honghe Ctr Mt Futures, Kunming Inst Bot, Honghe 654400, Peoples R China; [Yang, Er-Fu] Chiang Mai Univ, Fac Sci, Int Program, Master Sci Program Appl Microbiol, Chiang Mai 50200, Thailand; [Phookamsak, Rungtiwa; Tibpromma, Saowaluck; Karunarathna, Samantha C.; Xu, Jian-Chu] World Agroforestry ICRAF, CIFOR ICRAF China Program, Kunming 650201, Yunnan, Peoples R China; [Phookamsak, Rungtiwa; Tibpromma, Saowaluck; Karunarathna, Samantha C.; Xu, Jian-Chu] Kunming Inst Bot, Ctr Mt Futures CMF, Kunming 650201, Yunnan, Peoples R China; [Jiang, Hong-Bo] Mae Fah Luang Univ, Ctr Excellence Fungal Res, Chiang Rai 57100, Thailand; [Jiang, Hong-Bo] Mae Fah Luang Univ, Sch Sci, Chiang Rai 57100, Thailand; [Bhat, Darbhe J.] 128-1-J Azad Housing Soc, Velha 403108, Goa, India</t>
  </si>
  <si>
    <t>Chiang Mai University; Chiang Mai University; Chinese Academy of Sciences; Kunming Institute of Botany, CAS; Chiang Mai University; Chinese Academy of Sciences; Kunming Institute of Botany, CAS; Mae Fah Luang University; Mae Fah Luang University</t>
  </si>
  <si>
    <t>Dai, DQ (通讯作者)，Qujing Normal Univ, Coll Biol Resource &amp; Food Engn, Ctr Yunnan Plateau Biol Resources Protect &amp; Utili, Qujing 655011, Peoples R China.;Promputtha, I (通讯作者)，Chiang Mai Univ, Fac Sci, Dept Biol, Chiang Mai 50200, Thailand.;Promputtha, I (通讯作者)，Chiang Mai Univ, Res Ctr Bioresources Agr Ind &amp; Med, Chiang Mai 50200, Thailand.</t>
  </si>
  <si>
    <t>erfu20170431@gmail.com; rphookamsak@outlook.com; hongbo-J@hotmail.com; saowaluckfai@gmail.com; bhatdj@gmail.com; samanthakarunarathna@gmail.com; cicidaidongqin@gmail.com; jxu@mail.kib.ac.cn; itthayakorn.p@cmu.ac.th</t>
  </si>
  <si>
    <t>Phookamsak, Rungtiwa/O-9441-2019; JIANG, HONGBO/GQI-2774-2022; Dai, Dong-Qin/C-4303-2015</t>
  </si>
  <si>
    <t>Phookamsak, Rungtiwa/0000-0002-6321-8416; Dai, Dong-Qin/0000-0001-8935-8807; Promputtha, Itthayakorn/0000-0003-3376-4376; Karunarathna, Samantha Chandranath/0000-0001-7080-0781</t>
  </si>
  <si>
    <t>National Science Foundation of China (NSFC) [31760013, 31851110759, 31750110478, 31850410489, Y81I982211]; High-Level Talent Recruitment Plan of Yunnan Provinces (Young Talent Program), CAS [2020FYC0002, 2019FY0003, 2020PC0009, 2018PC0006]; Key Research Project Agroforestry Systems for Restoration and Bio-industry Technology Development [2017YFC0505101]; Ministry of Sciences and Technology of China [2017YFC0505100]; Chiang Mai University, Thailand, Postdoctoral Exchange Fellowship Program [Y9180822S1]; China Postdoctoral Science Foundation; Yunnan Human Resources, and Social Security Department Foundation</t>
  </si>
  <si>
    <t>National Science Foundation of China (NSFC)(National Natural Science Foundation of China (NSFC)); High-Level Talent Recruitment Plan of Yunnan Provinces (Young Talent Program), CAS; Key Research Project Agroforestry Systems for Restoration and Bio-industry Technology Development; Ministry of Sciences and Technology of China(Ministry of Science and Technology, China); Chiang Mai University, Thailand, Postdoctoral Exchange Fellowship Program; China Postdoctoral Science Foundation(China Postdoctoral Science Foundation); Yunnan Human Resources, and Social Security Department Foundation</t>
  </si>
  <si>
    <t>The research was supported by the National Science Foundation of China (NSFC) under projects 31760013, 31851110759, 31750110478 and 31850410489 (grant no. Y81I982211), High-Level Talent Recruitment Plan of Yunnan Provinces (Young Talent Program), CAS President's International Fellowship Initiative (PIFI) young staff (project no. 2020FYC0002, 2019FY0003, 2020PC0009 and 2018PC0006), YYYKey Research Project Agroforestry Systems for Restoration and Bio-industry Technology Development (grant no. 2017YFC0505101), Ministry of Sciences and Technology of China (grant no. 2017YFC0505100), Chiang Mai University, Thailand, Postdoctoral Exchange Fellowship Program (number Y9180822S1), China Postdoctoral Science Foundation and the Yunnan Human Resources, and Social Security Department Foundation.</t>
  </si>
  <si>
    <t>10.3390/jof8030243</t>
  </si>
  <si>
    <t>0C0ES</t>
  </si>
  <si>
    <t>WOS:000774997400001</t>
  </si>
  <si>
    <t>Yu, FM; Jayawardena, RS; Thongklang, N; Lv, ML; Zhu, XT; Zhao, Q</t>
  </si>
  <si>
    <t>Yu, Feng-Ming; Jayawardena, Ruvishika Shehali; Thongklang, Naritsada; Lv, Meng-Lan; Zhu, Xue-Tai; Zhao, Qi</t>
  </si>
  <si>
    <t>Morel Production Associated with Soil Nitrogen-Fixing and Nitrifying Microorganisms</t>
  </si>
  <si>
    <t>soil microbes; network analysis; nitrogen fixation; nitrification</t>
  </si>
  <si>
    <t>RNA GENE DATABASE; BACTERIAL COMMUNITIES; MORCHELLA; DIVERSITY; GROWTH; MUSHROOMS; FIXATION; SEQUENCE; ISSUES</t>
  </si>
  <si>
    <t>True morels (Morchella, Pezizales) cultivated in soil are subject to complex influences from soil microbial communities. To explore the characteristics of soil microbial communities on morel cultivation, and evaluate whether these microbes are related to morel production, we collected 23 soil samples from four counties in Sichuan and Yunnan Provinces, China. Based on ITS and 16S rDNA amplicon sequencing, the alpha diversity analysis indicated that the biodiversity of morel cultivation soil showed a downward trend compared with the bare soil. The results also showed that there were no significant differences in soil microbial communities between OC (bare soil) and OO (after one-year suspension of sowing). This means that, after about one year of stopping sowing, the component and structure of soil that once cultivated morel would be restored. In co-occurrence networks, some noteworthy bacterial microbes involved in nitrogen fixation and nitrification have been identified in soils with high morel yields, such as Arthrobacter, Bradyhizobium, Devosia, Pseudarthrobacter, Pseudolabrys, and Nitrospira. In contrast, in soils with low or no morel yield, some pathogenic fungi accounted for a high proportion, including Gibberella, Microidium, Penicillium, Sarocladium, Streptomyces, and Trichoderma. This study provided valuable information for the isolation and culturing of some beneficial microbes for morel cultivation in further study and, potentially, to harness the power of the microbiome to improve morel production and health.</t>
  </si>
  <si>
    <t>Yu, Feng-Ming</t>
  </si>
  <si>
    <t>[Yu, Feng-Ming; Zhao, Qi] Chinese Acad Sci, Kunming Inst Bot, Key Lab Plant Divers &amp; Biotechnol East Asia, Yunnan Key Lab Fungal Divers &amp; Green Dev, Kunming 650201, Yunnan, Peoples R China; [Yu, Feng-Ming; Jayawardena, Ruvishika Shehali; Thongklang, Naritsada] Mae Fah Luang Univ, Ctr Excellence Fungal Res, Chiang Rai 57100, Thailand; [Yu, Feng-Ming; Jayawardena, Ruvishika Shehali; Thongklang, Naritsada] Mae Fah Luang Univ, Sch Sci, Chiang Rai 57100, Thailand; [Lv, Meng-Lan; Zhao, Qi] Guizhou Inst Technol, Sch Chem Engn, Guiyang 550003, Peoples R China; [Zhu, Xue-Tai] Northwest Normal Univ, Coll Life Sci, Lanzhou 730070, Peoples R China</t>
  </si>
  <si>
    <t>Chinese Academy of Sciences; Kunming Institute of Botany, CAS; Mae Fah Luang University; Mae Fah Luang University; Guizhou Institute of Technology; Northwest Normal University - China</t>
  </si>
  <si>
    <t>Zhao, Q (通讯作者)，Chinese Acad Sci, Kunming Inst Bot, Key Lab Plant Divers &amp; Biotechnol East Asia, Yunnan Key Lab Fungal Divers &amp; Green Dev, Kunming 650201, Yunnan, Peoples R China.;Zhao, Q (通讯作者)，Guizhou Inst Technol, Sch Chem Engn, Guiyang 550003, Peoples R China.</t>
  </si>
  <si>
    <t>fm_yu2018@163.com; ruvi.jaya@yahoo.com; naritsada.t@gmail.com; lvmenglan@git.edu.cn; zhuxuetai@nwnu.edu.cn; zhaoqi@mail.kib.ac.cn</t>
  </si>
  <si>
    <t>Jayawardena, Ruvishika/V-3592-2018</t>
  </si>
  <si>
    <t>Jayawardena, Ruvishika/0000-0001-7702-4885; Thongklang, Naritsada/0000-0001-9337-5001; Yu, Feng-Ming/0000-0001-9133-8645</t>
  </si>
  <si>
    <t>Second Tibetan Plateau Scientific Expedition and Research (STEP) Program [2019QZKK0503]; open research project of Cross-Cooperative Team of the Germplasm Bank of Wild Species, Kunming Institute of Botany, Chinese Academy of Sciences [292019312511043]; Natural Science Foundation of Guizhou Province [Qian Ke Zhong Yin Di (2021)4031, Qian Ke He Zhi Cheng (2021) Generally 200]; Science and Technology Service Network Initiative of the Chinese Academy of Sciences [KFJ-STS-QYZD-171]; Biodiversity Survey and Assessment Project of the Ministry of Ecology and Environment, China [2019HJ2096001006]; Thailand Science Research and Innovation (TSRI) grant Macrofungi diversity research from the Lancang-Mekong Watershed and Surrounding areas [DBG6280009]</t>
  </si>
  <si>
    <t>Second Tibetan Plateau Scientific Expedition and Research (STEP) Program; open research project of Cross-Cooperative Team of the Germplasm Bank of Wild Species, Kunming Institute of Botany, Chinese Academy of Sciences; Natural Science Foundation of Guizhou Province; Science and Technology Service Network Initiative of the Chinese Academy of Sciences; Biodiversity Survey and Assessment Project of the Ministry of Ecology and Environment, China; Thailand Science Research and Innovation (TSRI) grant Macrofungi diversity research from the Lancang-Mekong Watershed and Surrounding areas</t>
  </si>
  <si>
    <t>This study is supported by the Second Tibetan Plateau Scientific Expedition and Research (STEP) Program (Grant No. 2019QZKK0503), the open research project of Cross-Cooperative Team of the Germplasm Bank of Wild Species, Kunming Institute of Botany, Chinese Academy of Sciences (Grant No. 292019312511043), Natural Science Foundation of Guizhou Province (grant No. Qian Ke Zhong Yin Di (2021)4031, Qian Ke He Zhi Cheng (2021) Generally 200); Science and Technology Service Network Initiative of the Chinese Academy of Sciences (KFJ-STS-QYZD-171); the Biodiversity Survey and Assessment Project of the Ministry of Ecology and Environment, China (2019HJ2096001006). Thailand Science Research and Innovation (TSRI) grant Macrofungi diversity research from the Lancang-Mekong Watershed and Surrounding areas (grant no. DBG6280009). MS Calabon is grateful to the Department of Science and Technology-Science Education Institute (Philippines) and Mushroom Research Foundation.</t>
  </si>
  <si>
    <t>10.3390/jof8030299</t>
  </si>
  <si>
    <t>0C0TQ</t>
  </si>
  <si>
    <t>WOS:000775036200001</t>
  </si>
  <si>
    <t>Yang, EF; Tibpromma, S; Karunarathna, SC; Phookamsak, R; Xu, JC; Zhao, ZX; Karunanayake, C; Promputtha, I</t>
  </si>
  <si>
    <t>Yang, Er-Fu; Tibpromma, Saowaluck; Karunarathna, Samantha C.; Phookamsak, Rungtiwa; Xu, Jian-Chu; Zhao, Zhen-Xiong; Karunanayake, Chathurika; Promputtha, Itthayakorn</t>
  </si>
  <si>
    <t>Taxonomy and Phylogeny of Novel and Extant Taxa in Pleosporales Associated with Mangifera indica from Yunnan, China (Series I)</t>
  </si>
  <si>
    <t>1 new genus; 4 new species; 6 new records; Baoshan; Honghe; mango; plant-associated microfungi; saprobic fungi</t>
  </si>
  <si>
    <t>SP. NOV.; FUNGI; MANGO; DIVERSITY; GENUS; LOPHIOSTOMATACEAE; PHAEOSEPTUM; PARADICTYOARTHRINIUM; CLASSIFICATION; REAPPRAISAL</t>
  </si>
  <si>
    <t>Pleosporales is the largest fungal order with a worldwide distribution in terrestrial and aquatic environments. During investigations of saprobic fungi associated with mango (Mangifera indica) in Baoshan and Honghe, Yunnan, China, fungal taxa belonging to pleosporales were collected. Morphological examinations and phylogenetic analyses of ITS, LSU, SSU, rpb2 and tef1-alpha loci were used to identify the fungal taxa. A new genus, Mangifericomes; four new species, namely Mangifericomes hongheensis, Neomassaria hongheensis, Paramonodictys hongheensis, and Paramonodictys yunnanensis; and six new host and country records, namely Byssosphaeria siamensis, Crassiparies quadrisporus, Paradictyoarthrinium aquatica, Phaeoseptum mali, Torula fici, and Vaginatispora amygdali, are introduced. Photoplates, full descriptions, and phylogenetic trees to show the placement of new and known taxa are provided.</t>
  </si>
  <si>
    <t>[Yang, Er-Fu; Promputtha, Itthayakorn] Chiang Mai Univ, Fac Sci, Dept Biol, Chiang Mai 50200, Thailand; [Yang, Er-Fu; Tibpromma, Saowaluck; Karunarathna, Samantha C.] Qujing Normal Univ, Coll Biol Resource &amp; Food Engn, Ctr Yunnan Plateau Biol Resources Protect &amp; Utili, Qujing 655011, Peoples R China; [Yang, Er-Fu] Chiang Mai Univ, Fac Sci, Master Sci Program Appl Microbiol Int Program, Chiang Mai 50200, Thailand; [Tibpromma, Saowaluck; Karunarathna, Samantha C.; Phookamsak, Rungtiwa; Xu, Jian-Chu] World Agroforestry Ctr, Cifor Icraf China Program, Kunming 650201, Yunnan, Peoples R China; [Tibpromma, Saowaluck; Karunarathna, Samantha C.; Phookamsak, Rungtiwa; Xu, Jian-Chu] Kunming Inst Bot, Ctr Mt Futures CMF, Kunming 650201, Yunnan, Peoples R China; [Zhao, Zhen-Xiong] Yunnan Agr Univ, Fac Resource &amp; Environm, Dept Environm Sci, Kunming 650201, Yunnan, Peoples R China; [Karunanayake, Chathurika] Open Univ Sri Lanka, Dept Bot, Nawala 10250, Sri Lanka; [Promputtha, Itthayakorn] Chiang Mai Univ, Res Ctr Bioresources Agr Ind &amp; Med, Chiang Mai 50200, Thailand; [Promputtha, Itthayakorn] Chiang Mai Univ, Fac Sci, Environm Sci Res Ctr, Chiang Mai 50200, Thailand</t>
  </si>
  <si>
    <t>Chiang Mai University; Chiang Mai University; Chinese Academy of Sciences; Kunming Institute of Botany, CAS; Yunnan Agricultural University; Open University Sri Lanka; Chiang Mai University; Chiang Mai University</t>
  </si>
  <si>
    <t>Promputtha, I (通讯作者)，Chiang Mai Univ, Fac Sci, Dept Biol, Chiang Mai 50200, Thailand.;Tibpromma, S (通讯作者)，Qujing Normal Univ, Coll Biol Resource &amp; Food Engn, Ctr Yunnan Plateau Biol Resources Protect &amp; Utili, Qujing 655011, Peoples R China.;Tibpromma, S (通讯作者)，World Agroforestry Ctr, Cifor Icraf China Program, Kunming 650201, Yunnan, Peoples R China.;Tibpromma, S (通讯作者)，Kunming Inst Bot, Ctr Mt Futures CMF, Kunming 650201, Yunnan, Peoples R China.;Promputtha, I (通讯作者)，Chiang Mai Univ, Res Ctr Bioresources Agr Ind &amp; Med, Chiang Mai 50200, Thailand.;Promputtha, I (通讯作者)，Chiang Mai Univ, Fac Sci, Environm Sci Res Ctr, Chiang Mai 50200, Thailand.</t>
  </si>
  <si>
    <t>erfuyang@163.com; saowaluckfai@gmail.com; samanthakarunarathna@gmail.com; jomjam.rp2@gmail.com; jxu@mail.kib.ac.cn; zzx2677133117@Gmail.com; kokar@ou.ac.lk; itthayakorn.p@cmu.ac.th</t>
  </si>
  <si>
    <t>Phookamsak, Rungtiwa/O-9441-2019</t>
  </si>
  <si>
    <t>Phookamsak, Rungtiwa/0000-0002-6321-8416; Karunarathna, Samantha Chandranath/0000-0001-7080-0781; Promputtha, Itthayakorn/0000-0003-3376-4376</t>
  </si>
  <si>
    <t>Faculty of Science and Graduate School, Chiang Mai University; International Postdoctoral Exchange Fellowship Program [Y9180822S1]; CAS Presidents International Fellowship Initiative (PIFI) [2020PC0009, 2020FYC0002]; China Postdoctoral Science Foundation; Yunnan Human Resources and Social Security Department Foundation; National Science Foundation of China (NSFC) [31851110759]; Chiang Mai University</t>
  </si>
  <si>
    <t>Faculty of Science and Graduate School, Chiang Mai University; International Postdoctoral Exchange Fellowship Program; CAS Presidents International Fellowship Initiative (PIFI); China Postdoctoral Science Foundation(China Postdoctoral Science Foundation); Yunnan Human Resources and Social Security Department Foundation; National Science Foundation of China (NSFC)(National Natural Science Foundation of China (NSFC)); Chiang Mai University</t>
  </si>
  <si>
    <t>We are grateful to Kunming Institute of Botany, Chinese Academy of Science for providing the facilities for morphological and molecular experiments. E.-F.Y. and I.P. are grateful to Faculty of Science and Graduate School, Chiang Mai University for supporting of M.Sc. scholarship. Thanks also to Guangcong Ren and Hongbo Jiang for their help in phylogenetic analyses; Shaun Pennycook is thanked for nomenclatural advice. S.T. thanks the International Postdoctoral Exchange Fellowship Program (number Y9180822S1), CAS Presidents International Fellowship Initiative (PIFI)(number 2020PC0009), China Postdoctoral Science Foundation, and the Yunnan Human Resources and Social Security Department Foundation for funding her postdoctoral research. S.C.K. wishes to thank CAS Presidents International Fellowship Initiative (PIFI) young staff under the grant number:2020FYC0002 and National Science Foundation of China (NSFC) project code 31851110759 for funding his postdoctoral research. I.P. is grateful to Chiang Mai University for partial support this research.</t>
  </si>
  <si>
    <t>10.3390/jof8020152</t>
  </si>
  <si>
    <t>0B1IR</t>
  </si>
  <si>
    <t>WOS:000774396400001</t>
  </si>
  <si>
    <t>Xie, N; Phookamsak, RTW; Jiang, HB; Zeng, YJ; Zhang, HX; Xu, FF; Lumyong, S; Xu, JC; Hongsanan, SA</t>
  </si>
  <si>
    <t>Xie, Ning; Phookamsak, Rungtiwa; Jiang, Hongbo; Zeng, Yu-Jia; Zhang, Haoxing; Xu, Fangfang; Lumyong, Saisamorn; Xu, Jianchu; Hongsanan, Sinang</t>
  </si>
  <si>
    <t>Morpho-Molecular Characterization of Five Novel Taxa in Parabambusicolaceae (Massarineae, Pleosporales) from Yunnan, China</t>
  </si>
  <si>
    <t>bambusicolous fungi; freshwater fungi; Neomultiseptospora; Parabambusicola; Scolecohyalosporium; taxonomy</t>
  </si>
  <si>
    <t>PHYLOGENETIC CONTRIBUTIONS; NOV. PARABAMBUSICOLACEAE; NEOAQUASTROMA; GENUS; FUNGI</t>
  </si>
  <si>
    <t>Parabambusicolaceae is a well-studied family in Massarineae, Pleosporales, comprising nine genera and approximately 16 species. The family was introduced to accommodate saprobic bambusicola-like species in both freshwater and terrestrial environments that mostly occur on bamboos and grasses but are also found on different host substrates. In the present study, we surveyed and collected ascomycetes from bamboo and submerged grass across Yunnan Province, China. A biphasic approach based on morphological characteristics and multigene phylogeny demonstrated five new taxa in Parabambusicolaceae. A novel genus Scolecohyalosporium is introduced as a monotypic genus to accommodate S. submersum sp. nov., collected from dead culms of grass submerged in a freshwater stream. The genus is unique in forming filiform ascospores, which differ from other known genera in Parabambusicolaceae. Multigene phylogeny showed that the genus has a close relationship with Multiseptospora. Moreover, the novel monotypic genus Neomultiseptospora, isolated from bamboo, was introduced to accommodate N. yunnanensis sp. nov. Neomultiseptospora yunnanensis formed a separated branch basal to Scolecohyalosporium submersum and Multiseptospora thailandica with high support (100% ML, 1.00 PP). Furthermore, the newly introduced species, Parabambusicola hongheensis sp. nov. was also isolated from bamboo in terrestrial habitats. Parabambusicola hongheensis clustered with the other three described Parabambusicola species and has a close relationship with P. bambusina with significant support (88% ML, 1.00 PP). Parabambusicola hongheensis was reported as the fourth species in this genus. Detailed description, illustration, and updated phylogeny of Parabambusicolaceae were provided.</t>
  </si>
  <si>
    <t>Xie, Ning</t>
  </si>
  <si>
    <t>[Xie, Ning; Hongsanan, Sinang] Shenzhen Univ, Coll Life Sci &amp; Oceanog, Shenzhen Key Lab Microbial Genet Engn, Shenzhen 518060, Peoples R China; [Phookamsak, Rungtiwa; Jiang, Hongbo; Xu, Jianchu] Chinese Acad Sci, Kunming Inst Bot, Honghe Ctr Mt Futures, Honghe 654400, Peoples R China; [Phookamsak, Rungtiwa; Xu, Jianchu] World Agroforestry Ctr ICRAF, East &amp; Cent Asia Reg Off, Kunming 650201, Yunnan, Peoples R China; [Phookamsak, Rungtiwa; Xu, Jianchu] Kunming Inst Bot, Ctr Mt Futures CMF, Kunming 650201, Yunnan, Peoples R China; [Jiang, Hongbo] Mae Fah Luang Univ, Ctr Excellence Fungal Res, Chiang Rai 57100, Thailand; [Jiang, Hongbo] Mae Fah Luang Univ, Sch Sci, Chiang Rai 57100, Thailand; [Zeng, Yu-Jia; Zhang, Haoxing; Xu, Fangfang] Shenzhen Univ, Coll Phys &amp; Optoelect Engn, Minist Educ &amp; Guangdong Prov, Key Lab Optoelect Devices &amp; Syst, Shenzhen 518060, Peoples R China; [Lumyong, Saisamorn] Chiang Mai Univ, Fac Sci, Res Ctr Microbial Divers &amp; Sustainable Utilizat, Chiang Mai 50200, Thailand; [Lumyong, Saisamorn] Royal Soc Thailand, Acad Sci, Bangkok 10300, Thailand; [Lumyong, Saisamorn] Chiang Mai Univ, Fac Sci, Dept Biol, Chiang Mai 50200, Thailand</t>
  </si>
  <si>
    <t>Shenzhen University; Chinese Academy of Sciences; Kunming Institute of Botany, CAS; Chinese Academy of Sciences; Kunming Institute of Botany, CAS; Mae Fah Luang University; Mae Fah Luang University; Shenzhen University; Chiang Mai University; Chiang Mai University</t>
  </si>
  <si>
    <t>Hongsanan, SA (通讯作者)，Shenzhen Univ, Coll Life Sci &amp; Oceanog, Shenzhen Key Lab Microbial Genet Engn, Shenzhen 518060, Peoples R China.</t>
  </si>
  <si>
    <t>ning.xie@szu.edu.cn; ning.xie@szu.edu.cn; ning.xie@szu.edu.cn; ning.xie@szu.edu.cn; zhang.haoxing@szu.edu.cn; ning.xie@szu.edu.cn; scboi009@gmail.com; ning.xie@szu.edu.cn; sinang333@gmail.com</t>
  </si>
  <si>
    <t>Phookamsak, Rungtiwa/O-9441-2019; JIANG, HONGBO/GQI-2774-2022; Zeng, Yujia/F-5221-2016</t>
  </si>
  <si>
    <t>Phookamsak, Rungtiwa/0000-0002-6321-8416; Xu, Jianchu/0000-0002-2485-2254; Zhang, Haoxing/0000-0002-0551-2916; Zeng, Yujia/0000-0001-5673-3447</t>
  </si>
  <si>
    <t>National Key R&amp;D Program of China [2021YFA0910800]; Basic and Applied Basic Research Fund of Guangdong Province [2121A1515012166]; Stability Support project for Universities in Shenzhen [20200812173625001]; Project of DEGP [2019KTSCX150]; National Natural Foundation of China [31861143002]; Department of Science and Technology of Yunnan, China [202101AS070045]</t>
  </si>
  <si>
    <t>National Key R&amp;D Program of China; Basic and Applied Basic Research Fund of Guangdong Province; Stability Support project for Universities in Shenzhen; Project of DEGP; National Natural Foundation of China(National Natural Science Foundation of China (NSFC)); Department of Science and Technology of Yunnan, China</t>
  </si>
  <si>
    <t>This research was funded by National Key R &amp; D Program of China (2021YFA0910800), Basic and Applied Basic Research Fund of Guangdong Province (2121A1515012166), Stability Support project for Universities in Shenzhen (20200812173625001), and Project of DEGP (2019KTSCX150), the National Natural Foundation of China (grant no. 31861143002), the Department of Science and Technology of Yunnan, China (grant no. 202101AS070045).</t>
  </si>
  <si>
    <t>10.3390/jof8020108</t>
  </si>
  <si>
    <t>ZV6ZD</t>
  </si>
  <si>
    <t>WOS:000770674900001</t>
  </si>
  <si>
    <t>Tian, XG; Karunarathna, SC; Xu, RJ; Lu, YZ; Suwannarach, N; Mapook, A; Bao, DF; Xu, JC; Tibpromma, S</t>
  </si>
  <si>
    <t>Tian, Xingguo; Karunarathna, Samantha C.; Xu, Rongju; Lu, Yongzhong; Suwannarach, Nakarin; Mapook, Ausana; Bao, Danfeng; Xu, Jianchu; Tibpromma, Saowaluck</t>
  </si>
  <si>
    <t>Three New Species, Two New Records and Four New Collections of Tubeufiaceae from Thailand and China</t>
  </si>
  <si>
    <t>three new species; two new records; asexual morph; phylogeny; taxonomy; Tubeufia laxispora</t>
  </si>
  <si>
    <t>PHYLOGENETIC-RELATIONSHIPS; FAMILY TUBEUFIACEAE; REVISION; FUNGI; HELICOSPORIUM; MORPHOLOGY; ALIGNMENT; NOV.</t>
  </si>
  <si>
    <t>Tubeufiaceae, a cosmopolitan family with a worldwide distribution, is mostly reported as saprobic on decaying woody materials from both aquatic and terrestrial habitats. The family is commonly found as helicosporous hyphomycetes, while some are chlamydosporous and phragmosporous. In this study, thirteen helicosporous hyphomycetes were collected from Thailand and China. The phylogenetic analyses of combined ITS, LSU, TEF1-alpha, and RPB2 sequence data placed them in Dematiohelicomyces, Helicoma, Helicotruncatum, Neohelicosporium, Parahelicomyces, and Tubeufia within Tubeufiaceae. Three new species, Tubeufia cocois, Parahelicomyces chiangmaiensis, and Neohelicosporium bambusicola, one new host record, Tubeufia laxispora, and one new geographic record, T. longihelicospora, are introduced based on both morphological characteristics and phylogenetic analyses. In addition, Dematiohelicomyces helicosporus, Helicoma guttulatum, Helicotruncatum palmigenum, and Tubeufia cylindrothecia are described with detailed descriptions and color photo plates.</t>
  </si>
  <si>
    <t>Tian, Xingguo</t>
  </si>
  <si>
    <t>[Tian, Xingguo; Karunarathna, Samantha C.; Tibpromma, Saowaluck] Qujing Normal Univ, Coll Biol Resource &amp; Food Engn, Ctr Yunnan Plateau Biol Resources Protect &amp; Utili, Qujing 655011, Peoples R China; [Tian, Xingguo; Karunarathna, Samantha C.; Xu, Jianchu; Tibpromma, Saowaluck] Kunming Inst Bot, Ctr Mt Futures, Kunming 650201, Yunnan, Peoples R China; [Tian, Xingguo; Lu, Yongzhong] Guizhou Inst Technol, Sch Food &amp; Pharmaceut Engn, Guiyang 550003, Peoples R China; [Tian, Xingguo; Xu, Rongju; Mapook, Ausana; Bao, Danfeng] Mae Fah Luang Univ, Ctr Excellence Fungal Res, Chiang Rai 57100, Thailand; [Tian, Xingguo; Xu, Rongju] Mae Fah Luang Univ, Sch Sci, Chiang Rai 57100, Thailand; [Karunarathna, Samantha C.; Xu, Jianchu; Tibpromma, Saowaluck] World Agroforestry ICRAF, CIFOR ICRAF China Program, Kunming 650201, Yunnan, Peoples R China; [Xu, Rongju] Kunming Inst Bot, Yunnan Key Lab Fungal Divers &amp; Green Dev, Kunming 650201, Yunnan, Peoples R China; [Suwannarach, Nakarin] Chiang Mai Univ, Fac Sci, Res Ctr Microbial Divers &amp; Sustainable Utilizat, Chiang Mai 50200, Thailand; [Bao, Danfeng] Dali Univ, Coll Agr &amp; Biol Sci, Dali 671003, Peoples R China</t>
  </si>
  <si>
    <t>Chinese Academy of Sciences; Kunming Institute of Botany, CAS; Guizhou Institute of Technology; Mae Fah Luang University; Mae Fah Luang University; Chinese Academy of Sciences; Kunming Institute of Botany, CAS; Chiang Mai University; Dali University</t>
  </si>
  <si>
    <t>Tibpromma, S (通讯作者)，Qujing Normal Univ, Coll Biol Resource &amp; Food Engn, Ctr Yunnan Plateau Biol Resources Protect &amp; Utili, Qujing 655011, Peoples R China.;Xu, JC; Tibpromma, S (通讯作者)，Kunming Inst Bot, Ctr Mt Futures, Kunming 650201, Yunnan, Peoples R China.;Xu, JC; Tibpromma, S (通讯作者)，World Agroforestry ICRAF, CIFOR ICRAF China Program, Kunming 650201, Yunnan, Peoples R China.</t>
  </si>
  <si>
    <t>6271105511@lamduan.mfu.ac.th; samantha@mail.kib.ac.cn; xurongju1005@outlook.com; yzlu@git.edu.cn; suwan_461@hotmail.com; phung.ausana@gmail.com; baodan_feng@cmu.ac.th; jxu@mail.kib.ac.cn; saowaluckfai@gmail.com</t>
  </si>
  <si>
    <t>Mapook, Ausana/ABE-6304-2020; Suwannarach, Nakarin/P-6078-2019</t>
  </si>
  <si>
    <t>Mapook, Ausana/0000-0001-7929-2429; Suwannarach, Nakarin/0000-0002-2653-1913; Xu, Jianchu/0000-0002-2485-2254; Karunarathna, Samantha Chandranath/0000-0001-7080-0781; Tian, Xingguo/0000-0002-8124-1281; Xu, Rong-Ju/0000-0002-3968-8442; Lu, Yong-Zhong/0000-0002-1033-5782</t>
  </si>
  <si>
    <t>International Postdoctoral Exchange Fellowship Program [Y9180822S1]; CAS President's International Fellowship Initiative (PIFI) [2020FYC0002, 2020PC0009]; China Postdoctoral Science Foundation; Yunnan Human Resources and Social Security Department Foundation; National Science Foundation of China (NSFC) [31851110759]; National Natural Science Foundation of China [NSFC 31900020]; Science and Technology Foundation of Guizhou Province [[2020]1Y058]; MFU foundation; Mae Fah Luang University Fund [651A16029]; Chiang Mai University</t>
  </si>
  <si>
    <t>International Postdoctoral Exchange Fellowship Program; CAS President's International Fellowship Initiative (PIFI); China Postdoctoral Science Foundation(China Postdoctoral Science Foundation); Yunnan Human Resources and Social Security Department Foundation; National Science Foundation of China (NSFC)(National Natural Science Foundation of China (NSFC)); National Natural Science Foundation of China(National Natural Science Foundation of China (NSFC)); Science and Technology Foundation of Guizhou Province; MFU foundation; Mae Fah Luang University Fund; Chiang Mai University</t>
  </si>
  <si>
    <t>The APC was funded by editorial board member Samantha C. Karunarathna's free APC facility in 2021. Xingguo Tian thanks Kevin D. Hyde for reviewing and editing the manuscript. Saowaluck Tibpromma thanks the International Postdoctoral Exchange Fellowship Program (number Y9180822S1), the CAS President's International Fellowship Initiative (PIFI) (number 2020PC0009), the China Postdoctoral Science Foundation, and the Yunnan Human Resources and Social Security Department Foundation for funding her postdoctoral research. Samantha C. Karunarathna thanks the CAS President's International Fellowship Initiative (PIFI) young staff under the grant number: 2020FYC0002, and the National Science Foundation of China (NSFC) project code31851110759 for funding. Yong-Zhong Lu would like to thank the National Natural Science Foundation of China (NSFC 31900020) and the Science and Technology Foundation of Guizhou Province ([2020]1Y058). Ausana Mapook would like to thank the MFU foundation grant and Mae Fah Luang University Fund (Grant No. 651A16029), entitled Taxonomy, phylogeny, risk assessment, and potential impact of fungi on Siam weed in northern Thailand. Austin Smith atWorld Agroforestry (ICRAF), Kunming Institute of Botany, China, is thanked for English editing. This work was partially supported by Chiang Mai University.</t>
  </si>
  <si>
    <t>10.3390/jof8020206</t>
  </si>
  <si>
    <t>ZL5PG</t>
  </si>
  <si>
    <t>WOS:000763728400001</t>
  </si>
  <si>
    <t>Qu, MH; Wang, DQ; Zhao, CL</t>
  </si>
  <si>
    <t>Qu, Meng-Han; Wang, Dong-Qiong; Zhao, Chang-Lin</t>
  </si>
  <si>
    <t>A Phylogenetic and Taxonomic Study on Xylodon (Hymenochaetales): Focusing on Three New Xylodon Species from Southern China</t>
  </si>
  <si>
    <t>biodiversity; Hyphodontia s; l; molecular systematics; white-rot fungi; macro-fungi; Yunnan-Guizhou Plateau</t>
  </si>
  <si>
    <t>SP-NOV SCHIZOPORACEAE; HYPHODONTIA HYMENOCHAETALES; GENUS HYPHODONTIA; BASIDIOMYCOTA; S.L.</t>
  </si>
  <si>
    <t>Three wood-inhabiting fungal species, Xylodon laceratus, X. montanus, and X. tropicus spp. nov., were collected from southern China, here proposed as new taxa based on a combination of morphological features and molecular evidence. Xylodon laceratus is characterized by the resupinate basidiomata with grandinioid hymenophore having cracked hymenial surface, and ellipsoid basidiospores; X. montanus is characterized by the annual basidiomata having the hard, brittle hymenophore with cream hymenial surface, and ellipsoid to broadly ellipsoid basidiospores (3.9-5.3 x 3.2-4.3 mu m); and X. tropicus is characterized by its grandinioid hymenophore with buff to a pale brown hymenial surface and subglobose basidiospores measuring 2-4.8 x 1.6-4 mu m. Sequences of ITS and nLSU rRNA markers of the studied samples were generated, and phylogenetic analyses were performed with maximum likelihood, maximum parsimony, and Bayesian inference methods. The ITS+nLSU analysis of the order Hymenochaetales indicated that the three new species clustered into the family Schizoporaceae, located in genus Xylodon; based on further analysis of ITS dataset, X. laceratus was a sister to X. heterocystidiatus; X. montanus closely grouped with X. subclavatus and X. xinpingensis with high support; while X. tropicus was retrieved as a sister to X. hastifer.</t>
  </si>
  <si>
    <t>Qu, Meng-Han</t>
  </si>
  <si>
    <t>[Qu, Meng-Han; Wang, Dong-Qiong; Zhao, Chang-Lin] Southwest Forestry Univ, Key Lab Forest Resources Conservat &amp; Utilizat Sou, Minist Educ, Kunming 650224, Peoples R China; [Qu, Meng-Han] Southwest Forestry Univ, Coll Forestry, Kunming 650224, Peoples R China; [Wang, Dong-Qiong; Zhao, Chang-Lin] Southwest Forestry Univ, Coll Biodivers Conservat, Kunming 650224, Peoples R China; [Zhao, Chang-Lin] Yunnan Key Lab Fungal Divers &amp; Green Dev, Kunming 650201, Peoples R China; [Zhao, Chang-Lin] Tsinghua Univ, Sch Life Sci, Beijing 100084, Peoples R China</t>
  </si>
  <si>
    <t>Southwest Forestry University - China; Southwest Forestry University - China; Southwest Forestry University - China; Tsinghua University</t>
  </si>
  <si>
    <t>Zhao, CL (通讯作者)，Southwest Forestry Univ, Key Lab Forest Resources Conservat &amp; Utilizat Sou, Minist Educ, Kunming 650224, Peoples R China.;Zhao, CL (通讯作者)，Southwest Forestry Univ, Coll Biodivers Conservat, Kunming 650224, Peoples R China.;Zhao, CL (通讯作者)，Yunnan Key Lab Fungal Divers &amp; Green Dev, Kunming 650201, Peoples R China.;Zhao, CL (通讯作者)，Tsinghua Univ, Sch Life Sci, Beijing 100084, Peoples R China.</t>
  </si>
  <si>
    <t>fungimenghanq@163.com; fungidongqiong@163.com; fungi@swfu.edu.cn</t>
  </si>
  <si>
    <t>National Natural Science Foundation of China [32170004, U2102220]; Yunnan Fundamental Research Project [202001AS070043]; High-level Talents Program of Yunnan Province [YNQR-QNRC-2018-111]</t>
  </si>
  <si>
    <t>National Natural Science Foundation of China(National Natural Science Foundation of China (NSFC)); Yunnan Fundamental Research Project; High-level Talents Program of Yunnan Province</t>
  </si>
  <si>
    <t>FundingThe research was supported by the National Natural Science Foundation of China (Project No. 32170004, U2102220), Yunnan Fundamental Research Project (Grant No. 202001AS070043), and the High-level Talents Program of Yunnan Province (YNQR-QNRC-2018-111).</t>
  </si>
  <si>
    <t>10.3390/jof8010035</t>
  </si>
  <si>
    <t>ZC3BJ</t>
  </si>
  <si>
    <t>WOS:000757399300001</t>
  </si>
  <si>
    <t>Li, YM; Xia, MY; He, PB; Yang, QM; Wu, YX; He, PF; Ahmed, A; Li, XS; Wang, YH; Munir, S; He, YQ</t>
  </si>
  <si>
    <t>Li, Yongmei; Xia, Mengyuan; He, Pengbo; Yang, Qiaoming; Wu, Yixin; He, Pengfei; Ahmed, Ayesha; Li, Xiangsong; Wang, Yuehu; Munir, Shahzad; He, Yueqiu</t>
  </si>
  <si>
    <t>Developing Penicillium digitatum Management Strategies on Post-Harvest Citrus Fruits with Metabolic Components and Colonization of Bacillus subtilis L1-21</t>
  </si>
  <si>
    <t>fungi; pathogen; Penicillium digitatum; Bacillus subtilis L1-21; LC-MS</t>
  </si>
  <si>
    <t>GREEN MOLD; VOLATILE COMPOUNDS; STRAINS; GROWTH; SACC.; DECAY</t>
  </si>
  <si>
    <t>Citrus is among the most important plants in the fruit industry severely infected with pathogens. Citrus green mold caused by Penicillium digitatum is one of the most devastating diseases during post-harvest stages of citrus fruit. In this study, a potential endophyte Bacillus subtilis L1-21, isolated from healthy citrus plants, was assessed for its biocontrol activity against the pathogen P. digitatum. Based on an in vitro crosstalk assay, we suggested that B. subtilis L1-21 inhibits the pathogen with an inhibition zone of 3.51 +/- 0.08 cm. Biocontrol efficacy was highest for the fermented culture filtrate of B. subtilis L1-21. Additionally, using GC-MS analysis, 13 compounds were detected in the extract of this endophyte. The culture filtrate in Landy medium could enlarge and deform pathogen spores and prevent them from developing into normal mycelium. Accordingly, the Landy culture filtrate of B. subtilis L1-21 was stable in the temperature range of 4-90 degrees C and pH of 3-11. Further, MALDI-TOF-MS for B. subtilis L1-21 detected surfactin, fengycin, bacillaene and bacilysin as potential antifungal compounds. GFP-tagged B. subtilis L1-21 easily colonized in citrus fruit peel and pulp, suggesting its role in eliminating the fungal pathogen. Altogether, it is highly expected that the production of antifungal compounds, and the colonization potential of B. subtilis L1-21 are required against the post-harvest P. digitatum pathogen on citrus fruit.</t>
  </si>
  <si>
    <t>Li, Yongmei</t>
  </si>
  <si>
    <t>[Li, Yongmei; Xia, Mengyuan; He, Pengbo; Yang, Qiaoming; Wu, Yixin; He, Pengfei; Ahmed, Ayesha; Li, Xiangsong; Munir, Shahzad; He, Yueqiu] Yunnan Agr Univ, State Key Lab Conservat &amp; Utilizat Bioresources Y, Kunming 650201, Yunnan, Peoples R China; [Xia, Mengyuan; Wang, Yuehu] Chinese Acad Sci, Kunming Inst Bot, Yunnan Key Lab Fungal Divers &amp; Green Dev, Kunming 650201, Yunnan, Peoples R China; [Wu, Yixin; Li, Xiangsong] Yunnan Agr Univ, Fac Agron &amp; Biotechnol, Kunming 650201, Yunnan, Peoples R China</t>
  </si>
  <si>
    <t>Yunnan Agricultural University; Chinese Academy of Sciences; Kunming Institute of Botany, CAS; Yunnan Agricultural University</t>
  </si>
  <si>
    <t>Munir, S; He, YQ (通讯作者)，Yunnan Agr Univ, State Key Lab Conservat &amp; Utilizat Bioresources Y, Kunming 650201, Yunnan, Peoples R China.</t>
  </si>
  <si>
    <t>kala.111@163.com; xiamengyuan@mail.kib.cn; pengbohe@126.com; Yang2021090930@163.com; WY68579@126.com; nanhudaozhu@163.com; aisha_ahmed01@hotmail.com; lixiangsongyn@163.com; wangyuehu@mail.kib.ac.cn; shahzad_munir@ynau.edu.cn; ynfh2007@163.com</t>
  </si>
  <si>
    <t>He, Yueqiu/0000-0002-6497-1178; Wang, Yue-Hu/0000-0002-5327-457X</t>
  </si>
  <si>
    <t>National Natural Science Foundation of China [32050410307]; Central Government Fund for Local Science and Technology Development [202107AA110007]; China Postdoctoral Science Foundation [2020M683664XB]; Yunnan First Level Research Fund for Post-doctorate Researchers [202103]; Yunnan Oriental Training Program Funding for Post-doctorate researchers [YN2020409, YN2020410]</t>
  </si>
  <si>
    <t>National Natural Science Foundation of China(National Natural Science Foundation of China (NSFC)); Central Government Fund for Local Science and Technology Development; China Postdoctoral Science Foundation(China Postdoctoral Science Foundation); Yunnan First Level Research Fund for Post-doctorate Researchers; Yunnan Oriental Training Program Funding for Post-doctorate researchers</t>
  </si>
  <si>
    <t>This research was financially supported by National Natural Science Foundation of China (32050410307), Central Government Fund for Local Science and Technology Development (202107AA110007), China Postdoctoral Science Foundation (No. 2020M683664XB), Yunnan First Level Research Fund for Post-doctorate Researchers (202103). and Yunnan Oriental Training Program Funding for Post-doctorate researchers (No. YN2020409; YN2020410).</t>
  </si>
  <si>
    <t>10.3390/jof8010080</t>
  </si>
  <si>
    <t>ZE3IX</t>
  </si>
  <si>
    <t>WOS:000758781500001</t>
  </si>
  <si>
    <t>Liu, D; Cai, J; He, HJ; Yang, SM; Chater, CCC; Yu, FQ</t>
  </si>
  <si>
    <t>Liu, Dong; Cai, Jie; He, Huajie; Yang, Shimei; Chater, Caspar C. C.; Yu, Fuqiang</t>
  </si>
  <si>
    <t>Anemochore Seeds Harbor Distinct Fungal and Bacterial Abundance, Composition, and Functional Profiles</t>
  </si>
  <si>
    <t>anemochore; light seed; endophytic microbiome; quantitative real-time PCR; MetaCyc genome database</t>
  </si>
  <si>
    <t>VERTICAL TRANSMISSION; COMMUNITIES; ALTERNARIA; ENDOPHYTES; COLONIZATION; DIVERSITY; GENERA</t>
  </si>
  <si>
    <t>Many plants adapted to harsh environments have evolved low seed mass ('light seeds') with specific dispersal strategies, primarily either by wind (anemochory) or water (hydrochory). However, the role of their seed microbiota in their survival, and their seed microbial abundance and structure, remain insufficiently studied. Herein, we studied the light seed microbiome of eight anemochores and two hydrochores (as controls) collected from four provinces in China, using qPCR and metagenomic sequencing targeting both bacteria and fungi. Substantial variations were found for seed endophytic fungi (9.9 x 10(10)~7.3 x 10(2) gene copy numbers per seed) and bacteria (1.7 x 10(10)~8.0 x 10(6)). Seed microbial diversity and structure were mainly driven by the plant genotype (species), with weak influences from their host plant classification level or dispersal mode. Seed microbial composition differences were clear at the microbial phylum level, with dominant proportions (~75%) for Proteobacteria and Ascomycota. The light seeds studied harbored unique microbial signatures, sharing only two Halomonas amplicon sequence variants (ASVs) and two fungal ASVs affiliated to Alternaria and Cladosporium. A genome-level functional profile analysis revealed that seed bacterial microbiota were enriched in amino acid, nucleoside, and nucleotide biosynthesis, while in fungal communities the generation of precursor metabolites and respiration were more highly represented. Together, these novel insights provide a deeper understanding of highly diversified plant-specific light seed microbiota and ecological strategies for plants in harsh environments.</t>
  </si>
  <si>
    <t>Liu, Dong</t>
  </si>
  <si>
    <t>[Liu, Dong; Cai, Jie; He, Huajie; Yang, Shimei; Yu, Fuqiang] Chinese Acad Sci, Kunming Inst Bot, Yunnan Key Lab Fungal Div &amp; Green Dev, Germplasm Bank Wild Species, Kunming 650201, Yunnan, Peoples R China; [Chater, Caspar C. C.] Royal Bot Gardens, Richmond TW9 3AE, Surrey, England</t>
  </si>
  <si>
    <t>Chinese Academy of Sciences; Kunming Institute of Botany, CAS; Royal Botanic Gardens, Kew</t>
  </si>
  <si>
    <t>Liu, D (通讯作者)，Chinese Acad Sci, Kunming Inst Bot, Yunnan Key Lab Fungal Div &amp; Green Dev, Germplasm Bank Wild Species, Kunming 650201, Yunnan, Peoples R China.</t>
  </si>
  <si>
    <t>liudongc@mail.kib.ac.cn; j.cai@mail.kib.ac.cn; hehuajie@mail.kib.ac.cn; sunshineyhj@126.com; caspar.chater@gmail.com; fqyu@mail.kib.ac.cn</t>
  </si>
  <si>
    <t>Liu, Dong/0000-0002-4271-0591; yu, fuqiang/0000-0001-7931-080X; Chater, Caspar/0000-0003-2058-2020</t>
  </si>
  <si>
    <t>10.3390/jof8010089</t>
  </si>
  <si>
    <t>YL6TL</t>
  </si>
  <si>
    <t>WOS:000746021600001</t>
  </si>
  <si>
    <t>Ge, DY; Qu, YH; Deng, T; Thuiller, W; Fiser, C; Ericson, PGP; Guo, BC; de la Sancha, NU; von der Heyden, S; Hou, ZE; Li, JT; Abramov, A; Vogler, AP; Jonsson, KA; Mittermeier, R</t>
  </si>
  <si>
    <t>Ge, Deyan; Qu, Yanhua; Deng, Tao; Thuiller, Wilfried; Fiser, Cene; Ericson, Per G. P.; Guo, Baocheng; de la Sancha, Noe U.; von Der Heyden, Sophie; Hou, Zhonge; Li, Jiatang; Abramov, Alexei; Vogler, Alfried P.; Jonsson, Knud A.; Mittermeier, Russell</t>
  </si>
  <si>
    <t>New progress in exploring the mechanisms underlying extraordinarily high biodiversity in global hotspots and their implications for conservation</t>
  </si>
  <si>
    <t>DIVERSITY AND DISTRIBUTIONS</t>
  </si>
  <si>
    <t>Ge, Deyan</t>
  </si>
  <si>
    <t>[Ge, Deyan; Qu, Yanhua; Hou, Zhonge] Chinese Acad Sci, Inst Zool, Key Lab Zool Systemat &amp; Evolut, Beichen West Rd, Beijing 100101, Peoples R China; [Deng, Tao] Chinese Acad Sci, Kunming Inst Bot, CAS Key Lab Plant Divers &amp; Biogeog East Asia, Kunming, Peoples R China; [Thuiller, Wilfried] Univ Grenoble Alpes, Univ Savoie Mt Blanc, CNRS, LECA,Lab Ecol Alpine, Grenoble, France; [Fiser, Cene] Univ Ljubljana, Biotech Fac, Ljubljana, Slovenia; [Ericson, Per G. P.] Swedish Museum Nat Hist, Dept Bioinformat &amp; Genet, Stockholm, Sweden; [de la Sancha, Noe U.] Chicago State Univ, Dept Biol Sci, Chicago, IL USA; [von Der Heyden, Sophie] Stellenbosch Univ, Dept Bot &amp; Zool, Evolutionary Genom Grp, Matieland, South Africa; [Li, Jiatang] Chinese Acad Sci, Chengdu Inst Biol, CAS Key Lab Mt Ecol Restorat &amp; Bioresource Utiliz, Key Lab Sichuan Prov, Chengdu, Sichuan, Peoples R China; [Abramov, Alexei] Russian Acad Sci, Zool Inst, St Petersburg, Russia; [Vogler, Alfried P.] Imperial Coll London, Dept Life Sci, Ascot, Berks, England; [Jonsson, Knud A.] Univ Copenhagen, Nat Hist Museum Denmark, Copenhagen East, Denmark; [Mittermeier, Russell] Re Wild, Austin, TX USA</t>
  </si>
  <si>
    <t>Chinese Academy of Sciences; Institute of Zoology, CAS; Chinese Academy of Sciences; Kunming Institute of Botany, CAS; UDICE-French Research Universities; Communaute Universite Grenoble Alpes; Universite Grenoble Alpes (UGA); Centre National de la Recherche Scientifique (CNRS); Universite de Savoie; University of Ljubljana; Swedish Museum of Natural History; Chicago State University; Stellenbosch University; Chinese Academy of Sciences; Chengdu Institute of Biology, CAS; Russian Academy of Sciences; Zoological Institute of the Russian Academy of Sciences; Imperial College London; University of Copenhagen</t>
  </si>
  <si>
    <t>Ge, DY; Qu, YH (通讯作者)，Chinese Acad Sci, Inst Zool, Key Lab Zool Systemat &amp; Evolut, Beichen West Rd, Beijing 100101, Peoples R China.</t>
  </si>
  <si>
    <t>gedy@ioz.ac.cn; quyh@ioz.ac.cn</t>
  </si>
  <si>
    <t>Fišer, Cene/HKV-3110-2023; Thuiller, Wilfried/G-3283-2010</t>
  </si>
  <si>
    <t>Thuiller, Wilfried/0000-0002-5388-5274; de la Sancha, Noe/0000-0002-1342-5556; Ericson, Per/0000-0002-4143-9998; Hou, Zhonge/0000-0001-5929-1154; Jonsson, Knud/0000-0002-1875-9504; von der Heyden, Sophie/0000-0001-9166-976X; Qu, Yanhua/0000-0002-4590-7787</t>
  </si>
  <si>
    <t>Second Tibetan Plateau Scientific Expedition and Research Program; National Nature Science Fund of China; Strategic Priority Research Program of the CAS;  [2019QZKK0402];  [2019QZKK0501];  [2019QZKK0502];  [31872958];  [32170426];  [31590820];  [U180223];  [32020103005];  [XDA19050202];  [XDA2005200]</t>
  </si>
  <si>
    <t xml:space="preserve">Second Tibetan Plateau Scientific Expedition and Research Program; National Nature Science Fund of China(National Natural Science Foundation of China (NSFC)); Strategic Priority Research Program of the CAS; ; ; ; ; ; ; ; ; ; </t>
  </si>
  <si>
    <t>ACKNOWLEDGEMENTS This work was sponsored by the Second Tibetan Plateau Scientific Expedition and Research Program (No. 2019QZKK0402, 2019QZKK0501, 2019QZKK0502), the National Nature Science Fund of China (31872958, 32170426, 31590820, U180223, 32020103005), and Strategic Priority Research Program of the CAS (XDA19050202, XDA2005200). We would like to thank Aibin Zhan and all member of the editorial team for discussions and assistance during preparing manuscripts for this special issue.</t>
  </si>
  <si>
    <t>1366-9516</t>
  </si>
  <si>
    <t>1472-4642</t>
  </si>
  <si>
    <t>DIVERS DISTRIB</t>
  </si>
  <si>
    <t>Divers. Distrib.</t>
  </si>
  <si>
    <t>10.1111/ddi.13657</t>
  </si>
  <si>
    <t>6R5PG</t>
  </si>
  <si>
    <t>WOS:000892354300002</t>
  </si>
  <si>
    <t>Qian, H; Qian, SH</t>
  </si>
  <si>
    <t>Qian, Hong; Qian, Shenhua</t>
  </si>
  <si>
    <t>Floristic homogenization as a result of the introduction of exotic species in China</t>
  </si>
  <si>
    <t>alien species; biotic differentiation; biotic homogenization; climatic factors; floristic similarity; species diversity; vascular plants</t>
  </si>
  <si>
    <t>PLANT INVASIONS; BETA-DIVERSITY; EASTERN ASIA; TAXONOMIC HOMOGENIZATION; BIOTIC HOMOGENIZATION; NONNATIVE PLANTS; FISH DIVERSITY; RICHNESS; PATTERNS; BIOGEOGRAPHY</t>
  </si>
  <si>
    <t>Aim The introduction of exotic plants can both increase (homogenize) and decrease (differentiate) floristic similarity between areas. We have a poor understanding of the degree to which plant species introductions tend to homogenize or differentiate floras, and relevant studies covering large spatial extent are scarce. China has been heavily invaded by exotic plants. Here, we analyse a comprehensive dataset of vascular plants to determine whether the introduction of exotic plant species has homogenized or differentiated species composition in regions across China. Location China. Methods We calculated the Jaccard index and Simpson index of similarity for each pair of province-level regions for native and exotic species separately and jointly, and calculated a homogenization index for each pair of regional floras. We correlated species richness of native and exotic plants to climatic factors, and correlated the Jaccard index and Simpson index to geographic and climatic distances. We used variation partitioning analysis to determine the relative importance of geographic and climatic distances on species turnover. We also examined the effect of human population density on florisitic similarity of exotic species. Results We found that the geographic range of each species was, on average, larger for exotics than for natives; floristic similarity between regions was greater for exotics than for natives; the vast majority of pairwise regional floras have been homogenized; the introduction of exotic species has caused stronger biotic homogenization for pairwise floras with greater dissimilarity in their species composition; geographic distributions of exotic and native species were determined by different sets of climatic factors; and distributions of exotic species were determined by climatic factors more strongly, compared to those of native species. Human population density had a moderate effect on florisitic similarity of exotic species. Main conclusions The introduction of exotic plant species has homogenized regional floras across China. Because strong international trades between China and other countries and dramatic development of transportation systems are continuing in China, which help spread of exotic species, we predict that exotic species will continue to spread and will strengthen biotic homogenization in China.</t>
  </si>
  <si>
    <t>[Qian, Hong] Chinese Acad Sci, Kunming Inst Bot, CAS Key Lab Plant Divers &amp; Biogeog East Asia, Kunming, Yunnan, Peoples R China; [Qian, Hong] Illinois State Museum, Res &amp; Collect Ctr, 1011 East Ash St, Springfield, IL 62703 USA; [Qian, Shenhua] Chongqing Univ, Key Lab Three Gorges Reservoir Reg Ecoenvironm, Minist Educ, Chongqing 400045, Peoples R China</t>
  </si>
  <si>
    <t>Chinese Academy of Sciences; Kunming Institute of Botany, CAS; Chongqing University</t>
  </si>
  <si>
    <t>Qian, H (通讯作者)，Illinois State Museum, Res &amp; Collect Ctr, 1011 East Ash St, Springfield, IL 62703 USA.;Qian, SH (通讯作者)，Chongqing Univ, Key Lab Three Gorges Reservoir Reg Ecoenvironm, Minist Educ, Chongqing 400045, Peoples R China.</t>
  </si>
  <si>
    <t>qian@cqu.edu.cn; hqian@museum.state.il.us</t>
  </si>
  <si>
    <t>10.1111/ddi.13612</t>
  </si>
  <si>
    <t>4V0WW</t>
  </si>
  <si>
    <t>WOS:000830215700001</t>
  </si>
  <si>
    <t>Qian, H; Rejmanek, M; Qian, SH</t>
  </si>
  <si>
    <t>Qian, Hong; Rejmanek, Marcel; Qian, Shenhua</t>
  </si>
  <si>
    <t>Are invasive species a phylogenetically clustered subset of naturalized species in regional floras? A case study for flowering plants in China</t>
  </si>
  <si>
    <t>angiosperms; community assembly; exotic species; introduced species; invasive species; niche conservatism; phylogenetic dispersion; phylogenetic relatedness</t>
  </si>
  <si>
    <t>PATTERNS; ALIEN; ECOLOGY; TRAITS; ASSEMBLAGES; PHYLOGENIES; DIVERSITY; DRIVERS; IMPACTS</t>
  </si>
  <si>
    <t>Aim We test (1) whether invasive angiosperm (flowering plant) species are a phylogenetically clustered subset of all naturalized angiosperm species within an angiosperm assemblage, (2) whether more harmful invasive species are more strongly, or less strongly, related to each other, (3) whether the result of the first test is consistent with those for geographic regions distributed in substantially different climatic conditions, and (4) whether patterns of phylogenetic relatedness for invasive species in regions across climatic gradients are consistent with those for overall naturalized species. Location China. Time period Current. Taxon Angiosperms (flowering plants). Methods We recognized 28 province-level regions in China and collated naturalized and invasive species lists of angiosperms for each region. Two phylogenetic metrics (i.e., net relatedness index and nearest taxon index), which represent different depths of evolutionary history, were used to quantify phylogenetic relatedness of angiosperms in China and in each region. Values of the metrics of phylogenetic relatedness were related to temperature and precipitation. Results At the national scale, invasive assemblage is a phylogenetically clustered subset of the naturalized species pool. More harmful invasive species are more strongly clustered. At the regional scale, both naturalized and invasive species are phylogenetically clustered subsets of the national naturalized species pool. Furthermore, invasive species in regional floras are also phylogenetically clustered subsets of their respective regional naturalized species pools. Main conclusions Invasive angiosperm species are a phylogenetically clustered subset of naturalized angiosperm species. More harmful invasive species are more strongly clustered with respect to their naturalized species pools, compared to less harmful invasive species. Our findings have significant implications to predicting and controlling invasive species based on phylogenetic relatedness among naturalized species.</t>
  </si>
  <si>
    <t>[Qian, Hong] Chinese Acad Sci, Kunming Inst Bot, CAS Key Lab Plant Divers &amp; Biogeog East Asia, Kunming, Yunnan, Peoples R China; [Qian, Hong] Illinois State Museum, Res &amp; Collect Ctr, Springfield, IL USA; [Rejmanek, Marcel] Univ Calif Davis, Dept Evolut &amp; Ecol, Davis, CA 95616 USA; [Qian, Shenhua] Chongqing Univ, Key Lab Three Gorges Reservoir Reg Ecoenvironm, Minist Educ, Chongqing 400045, Peoples R China</t>
  </si>
  <si>
    <t>Chinese Academy of Sciences; Kunming Institute of Botany, CAS; University of California System; University of California Davis; Chongqing University</t>
  </si>
  <si>
    <t>Qian, SH (通讯作者)，Chongqing Univ, Key Lab Three Gorges Reservoir Reg Ecoenvironm, Minist Educ, Chongqing 400045, Peoples R China.</t>
  </si>
  <si>
    <t>10.1111/ddi.13608</t>
  </si>
  <si>
    <t>WOS:000826111800001</t>
  </si>
  <si>
    <t>Fu, QS; Huang, XH; Li, LJ; Jin, Y; Qian, H; Kuai, XY; Ye, YJ; Wang, HC; Deng, T; Sun, H</t>
  </si>
  <si>
    <t>Fu, Quansheng; Huang, Xianhan; Li, Lijuan; Jin, Yi; Qian, Hong; Kuai, Xinyuan; Ye, Yaojun; Wang, Hengchang; Deng, Tao; Sun, Hang</t>
  </si>
  <si>
    <t>Linking evolutionary dynamics to species extinction for flowering plants in global biodiversity hotspots</t>
  </si>
  <si>
    <t>angiosperm; biodiversity hotspots; diversification rate; extinction risk; red list; species richness</t>
  </si>
  <si>
    <t>LIFE-HISTORY; DIVERSIFICATION RATES; LATITUDINAL GRADIENT; NONRANDOM EXTINCTION; GEOGRAPHICAL RANGE; CLIMATE-CHANGE; RARITY; RISK; RARE; SIZE</t>
  </si>
  <si>
    <t>Aim Biodiversity hotspots are regions with the highest species richness, and the most threatened species. Previous studies have shown that the extinction risk may be more related to evolutionary history than to species' traits. However, there is a knowledge gap on the relationship between evolutionary history and species extinction risk in biodiversity hotspots. Here, we link evolutionary history to species extinction risk for flowering plants (angiosperms) in global biodiversity hotspots. Location Global biodiversity hotspots. Methods We calculated historical evolutionary measures (family species richness, family age, family diversification rate and the ratio of crown age to stem age) of angiosperms from 36 global biodiversity hotspots, which were grouped into 27 regions. Bayesian binomial-logit univariate and multivariable regression models in conjunction with phylogenetic control and null models were used to identify the evolutionary history predictors of extinction risk for the 27 regions as a whole and for each of the regions. Results Family species richness, family age and family diversification rate are all good indicators for predicting extinction risk. Specifically, when all the 27 regions were considered as a whole, families with higher species richness, older age and/or faster diversification rates have a higher risk of species extinction. However, high extinction risk in some regions, especially in temperate regions, tends to occur in families with low species richness and low diversification rates. Main conclusions Geographic origin and evolutionary history of species should be jointly taken into account in conservation planning. In general, protection priority should be given to families with high species richness, ancient origins and fast diversification rate because these families seem to be prone to higher extinction risk. Additionally, different strategies should be applied to protect biodiversity in temperate versus tropical regions given that factors affecting extinction risk are different between these regions.</t>
  </si>
  <si>
    <t>Fu, Quansheng</t>
  </si>
  <si>
    <t>[Fu, Quansheng; Huang, Xianhan; Kuai, Xinyuan; Deng, Tao; Sun, Hang] Chinese Acad Sci, Kunming Inst Bot, CAS Key Lab Plant Divers &amp; Biogeog East Asia, Kunming 650201, Yunnan, Peoples R China; [Fu, Quansheng; Huang, Xianhan; Kuai, Xinyuan; Deng, Tao; Sun, Hang] Chinese Acad Sci, Kunming Inst Bot, Yunnan Int Joint Lab Biodivers Cent Asia, Kunming, Yunnan, Peoples R China; [Fu, Quansheng; Li, Lijuan] Univ Chinese Acad Sci, Beijing, Peoples R China; [Li, Lijuan; Wang, Hengchang] Chinese Acad Sci, CAS Key Lab Plant Germplasm Enhancement &amp; Special, Wuhan Bot Garden, Wuhan, Peoples R China; [Jin, Yi] Guizhou Normal Univ, State Forestry Adm Biodivers Conservat Karst Mt A, Key Lab, Guiyang, Peoples R China; [Qian, Hong] Illinois State Museum, Res &amp; Collect Ctr, Springfield, IL USA; [Kuai, Xinyuan] Yunnan Univ, Sch Life Sci, Kunming, Yunnan, Peoples R China; [Ye, Yaojun] Yunnan Normal Univ, Sch Life Sci, Kunming, Yunnan, Peoples R China</t>
  </si>
  <si>
    <t>Chinese Academy of Sciences; Kunming Institute of Botany, CAS; Chinese Academy of Sciences; Kunming Institute of Botany, CAS; Chinese Academy of Sciences; University of Chinese Academy of Sciences, CAS; Chinese Academy of Sciences; Wuhan Botanical Garden, CAS; Guizhou Normal University; Yunnan University; Yunnan Normal University</t>
  </si>
  <si>
    <t>Deng, T; Sun, H (通讯作者)，Chinese Acad Sci, Kunming Inst Bot, CAS Key Lab Plant Divers &amp; Biogeog East Asia, Kunming 650201, Yunnan, Peoples R China.</t>
  </si>
  <si>
    <t>dengtao@mail.kib.ac.cn; sunhang@mail.kib.ac.cn</t>
  </si>
  <si>
    <t>Fu, Quansheng/GRY-3646-2022</t>
  </si>
  <si>
    <t>Chinese Academy of Sciences Light of West China Program; International Partnership Program of Chinese Academy of Sciences [151853KYSB20180009]; Key Projects of the Joint Fund of the National Natural Science Foundation of China [U1802232]; Second Tibetan Plateau Scientific Expedition and Research (STEP) program [2019QZKK0502]; Strategic Priority Research Program of Chinese Academy of Sciences [XDA20050203]; Young Academic and Technical Leader Raising Foundation of Yunnan Province [2019HB039]; Youth Innovation Promotion Association of Chinese Academy of Sciences [2019382]; Yunnan Young &amp; Elite Talents Project [YNWR--QNBJ--2019--033]; Major Program for Basic Research Project of Yunnan Province [202101BC070002]</t>
  </si>
  <si>
    <t>Chinese Academy of Sciences Light of West China Program; International Partnership Program of Chinese Academy of Sciences; Key Projects of the Joint Fund of the National Natural Science Foundation of China(National Natural Science Foundation of China (NSFC)); Second Tibetan Plateau Scientific Expedition and Research (STEP) program; Strategic Priority Research Program of Chinese Academy of Sciences(Chinese Academy of Sciences); Young Academic and Technical Leader Raising Foundation of Yunnan Province; Youth Innovation Promotion Association of Chinese Academy of Sciences; Yunnan Young &amp; Elite Talents Project; Major Program for Basic Research Project of Yunnan Province</t>
  </si>
  <si>
    <t>Chinese Academy of Sciences Light of West China Program; International Partnership Program of Chinese Academy of Sciences, Grant/Award Number: 151853KYSB20180009; Key Projects of the Joint Fund of the National Natural Science Foundation of China, Grant/Award Number: U1802232; Second Tibetan Plateau Scientific Expedition and Research (STEP) program, Grant/Award Number: 2019QZKK0502; Strategic Priority Research Program of Chinese Academy of Sciences, Grant/Award Number: XDA20050203; Young Academic and Technical Leader Raising Foundation of Yunnan Province, Grant/Award Number: 2019HB039; Youth Innovation Promotion Association of Chinese Academy of Sciences, Grant/Award Number: 2019382; Yunnan Young &amp; Elite Talents Project, Grant/Award Number: YNWR--QNBJ--2019--033; Major Program for Basic Research Project of Yunnan Province, Grant/Award Number: 202101BC070002</t>
  </si>
  <si>
    <t>10.1111/ddi.13603</t>
  </si>
  <si>
    <t>WOS:000824810900001</t>
  </si>
  <si>
    <t>Li, LJ; Xu, XT; Qian, H; Huang, XH; Liu, PJ; Landis, JB; Fu, QS; Sun, L; Wang, HC; Sun, H; Deng, T</t>
  </si>
  <si>
    <t>Li, Lijuan; Xu, Xiaoting; Qian, Hong; Huang, Xianhan; Liu, Pengju; Landis, Jacob B.; Fu, Quansheng; Sun, Lu; Wang, Hengchang; Sun, Hang; Deng, Tao</t>
  </si>
  <si>
    <t>Elevational patterns of phylogenetic structure of angiosperms in a biodiversity hotspot in eastern Himalaya</t>
  </si>
  <si>
    <t>clade age; conservation; elevational patterns; environmental filtering; Mt; Namjagbarwa; niche conservatism; niche convergence</t>
  </si>
  <si>
    <t>TREE SPECIES RICHNESS; MEAN FAMILY AGE; LATITUDINAL DIVERSITY; NICHE CONSERVATISM; GLOBAL PATTERNS; HENGDUAN MOUNTAINS; BETA DIVERSITY; R PACKAGE; CLADE AGE; EVOLUTIONARY</t>
  </si>
  <si>
    <t>Aims The tropical niche conservatism (TNC) hypothesis and the out of the tropics (OTT) hypothesis propose mechanisms generating patterns of species diversity across warm-to-cold thermal gradients at large spatial scales. These two hypotheses both integrate ecological and biogeography-related evolutionary factors, but they predict opposite patterns for phylogenetic structure. Mount Namjagbarwa possesses one of the longest elevational gradients for flowering plant diversity in the world. We aim to analyse the elevational patterns of the phylogenetic structure of flowering plants in this mountain, and investigate underlying causes for the emergence of the patterns. Location Mt. Namjagbarwa located at the eastern edge of the Himalaya. Methods Species distribution data of Mt. Namjagbarwa were extracted from specimen records in online sources, literature, herbarium and our fieldwork. Bioclimatic data were extracted from the CHELSA database. Mt. Namjagbarwa was divided into 100-m elevational belts, which were grouped into three elevation segments (100-2000 m, 2000-4000 m and 4000-5200 m) for data analysis. We calculated phylogenetic metrics for each belt. The relationships of phylogenetic metrics with elevation and climatic factors were analysed using generalized additive models and structural equation models. Results A typical hump-shaped pattern of species richness was observed along the elevational gradient of Mt. Namjagbarwa. However, the phylogenetic structure showed a zig-zag pattern with the three elevation segments, each of which has different formation mechanisms. Temperature tolerance played important roles throughout the entire elevational gradient in species richness and phylogenetic structure. Main conclusions Neither TNC nor OTT alone can fully explain the patterns of floristic assembly of the entire elevational gradient of Mt. Namjagbarwa. OTT and TNC are better explanation for the patterns of low and middle elevations respectively. Potential mechanisms for species assembly of different elevation segments in Mt. Namjagbarwa region alternate between niche convergence and niche conservatism. The patterns observed in this study are likely to be common across the entire Himalaya. This is important for preserving the evolutionary potential of mountain biodiversity. However, more studies are needed to determine the underlying mechanisms generating the zig-zag pattern of the phylogenetic structure in the Himalaya.</t>
  </si>
  <si>
    <t>Li, Lijuan</t>
  </si>
  <si>
    <t>[Li, Lijuan; Wang, Hengchang] Chinese Acad Sci, Wuhan Bot Garden, CAS Key Lab Plant Germplasm Enhancement &amp; Special, Wuhan 430074, Hubei, Peoples R China; [Li, Lijuan; Huang, Xianhan; Liu, Pengju; Fu, Quansheng; Sun, Lu; Sun, Hang; Deng, Tao] Chinese Acad Sci, Kunming Inst Bot, CAS Key Lab Plant Divers &amp; Biogeog East Asia, Kunming 650201, Yunnan, Peoples R China; [Li, Lijuan] Univ Chinese Acad Sci, Beijing, Peoples R China; [Xu, Xiaoting] Sichuan Univ, Coll Life Sci, Minist Educ, Key Lab Bioresource &amp; Ecoenvironm, Chengdu, Peoples R China; [Qian, Hong] Illinois State Museum, Res &amp; Collect Ctr, Springfield, IL USA; [Landis, Jacob B.] Cornell Univ, Sch Integrat Plant Sci, Sect Plant Biol &amp; LH Bailey Hortorium, Ithaca, NY USA; [Landis, Jacob B.] Boyce Thompson Inst Plant Res, BTI Computat Biol Ctr, Ithaca, NY USA</t>
  </si>
  <si>
    <t>Chinese Academy of Sciences; Wuhan Botanical Garden, CAS; Chinese Academy of Sciences; Kunming Institute of Botany, CAS; Chinese Academy of Sciences; University of Chinese Academy of Sciences, CAS; Sichuan University; Cornell University; Cornell University; Boyce Thompson Institute for Plant Research</t>
  </si>
  <si>
    <t>Wang, HC (通讯作者)，Chinese Acad Sci, Wuhan Bot Garden, CAS Key Lab Plant Germplasm Enhancement &amp; Special, Wuhan 430074, Hubei, Peoples R China.;Sun, H; Deng, T (通讯作者)，Chinese Acad Sci, Kunming Inst Bot, CAS Key Lab Plant Divers &amp; Biogeog East Asia, Kunming 650201, Yunnan, Peoples R China.</t>
  </si>
  <si>
    <t>hcwang@wbgcas.cn; sunhang@mail.kib.ac.cn; dengtao@mail.kib.ac.cn</t>
  </si>
  <si>
    <t>Huang, Xianhan/0000-0003-2009-7025; Sun, Hang/0000-0001-5127-4579; li, lijuan/0000-0003-0996-6787; Xu, Xiaoting/0000-0001-8126-614X; Landis, Jacob/0000-0002-5631-5365</t>
  </si>
  <si>
    <t>Second Tibetan Plateau Scientific Expedition and Research (STEP) program [2019QZKK0502]; Strategic Priority Research Program of Chinese Academy of Sciences [XDA20050203]; National Natural Science Foundation of China [U1802232]; Youth Innovation Promotion Association of Chinese Academy of Sciences [2019382]; Young Academic and Technical Leader Raising Foundation of Yunnan Province [2019HB039]; Ten Thousand Talents Program of Yunnan Province [202005AB160005, YNWR-QNBJ-2019-033]; Chinese Academy of Sciences Light of West China Program</t>
  </si>
  <si>
    <t>Second Tibetan Plateau Scientific Expedition and Research (STEP) program; Strategic Priority Research Program of Chinese Academy of Sciences(Chinese Academy of Sciences); National Natural Science Foundation of China(National Natural Science Foundation of China (NSFC)); Youth Innovation Promotion Association of Chinese Academy of Sciences; Young Academic and Technical Leader Raising Foundation of Yunnan Province; Ten Thousand Talents Program of Yunnan Province; Chinese Academy of Sciences Light of West China Program</t>
  </si>
  <si>
    <t>Second Tibetan Plateau Scientific Expedition and Research (STEP) program, Grant/Award Number: 2019QZKK0502; Strategic Priority Research Program of Chinese Academy of Sciences, Grant/Award Number: XDA20050203; Key Projects of the Joint Fund of the National Natural Science Foundation of China, Grant/Award Number: U1802232; Youth Innovation Promotion Association of Chinese Academy of Sciences, Grant/Award Number: 2019382; Young Academic and Technical Leader Raising Foundation of Yunnan Province, Grant/Award Number: 2019HB039; Ten Thousand Talents Program of Yunnan Province, Grant/Award Number: 202005AB160005 and YNWR--QNBJ-2019--033; Chinese Academy of Sciences Light of West China Program</t>
  </si>
  <si>
    <t>10.1111/ddi.13513</t>
  </si>
  <si>
    <t>WOS:000767892500001</t>
  </si>
  <si>
    <t>Yang, J; Tao, LD; Yang, JR; Wu, CF; Sun, WB</t>
  </si>
  <si>
    <t>Yang, Jing; Tao, Lidan; Yang, Jianrong; Wu, Cuifen; Sun, Weibang</t>
  </si>
  <si>
    <t>Integrated conservation of Acer yangbiense: A case study for conservation methods of plant species with extremely small populations</t>
  </si>
  <si>
    <t>PLANTS PEOPLE PLANET</t>
  </si>
  <si>
    <t>conservation action; conservation base; maple; Plant Species with Extremely Small Populations (PSESP); rescue pipeline; threatened plant</t>
  </si>
  <si>
    <t>MAPLE; DIVERSITY</t>
  </si>
  <si>
    <t>Societal Impact Statement A practical and efficient model is crucial for applying conservation actions to threatened species. Plant Species with Extremely Small Populations (PSESP) is a new concept raised jointly by government and scientists from China, targeted toward funding the urgent rescue of threatened plants. With the cooperation of decision-making departments, scientists, local departments, nongovernment organizations, and local people, we present a case of how the tree species Acer yangbiense was studied and finally rescued. The pipeline and experience in this case will promote the development of the PSESP conservation methods. With only five individuals known for years, the Critically Endangered species Acer yangbiense was listed under the conservation category Plant Species with Extremely Small Populations (PSESP), a concept developed 10 years ago in China, aimed at channeling limited resources to conserve the most threatened plant species. Integrated conservation methods and research were applied to A. yangbiense and introduced in two-time phases upon the discovery of new populations. Being considered one of the most successfully rescued species, A. yangbiense was removed from the second PSESP list issued in 2021 by Yunnan Province, China. The conservation case has become a model, with replicable pipelines, standards, cooperation, and studies to future PSESP conservation actions. Herein, we discuss the significance of work on A. yangbiense for future conservation actions regarding PSESP and other endangered species.</t>
  </si>
  <si>
    <t>Yang, Jing</t>
  </si>
  <si>
    <t>[Yang, Jing; Tao, Lidan; Sun, Weibang] Chinese Acad Sci, Kunming Inst Bot, Yunnan Key Lab Integrat Conservat Plant Species E, Kunming, Yunnan, Peoples R China; [Yang, Jianrong; Wu, Cuifen] Yunlong Caojian Forest Farm, Dali, Peoples R China; [Sun, Weibang] Chinese Acad Sci, Kunming Bot Garden, Kunming Inst Bot, Kunming 650201, Yunnan, Peoples R China</t>
  </si>
  <si>
    <t>Sun, WB (通讯作者)，Chinese Acad Sci, Kunming Bot Garden, Kunming Inst Bot, Kunming 650201, Yunnan, Peoples R China.</t>
  </si>
  <si>
    <t>Tao, Lidan/0000-0002-1396-0524</t>
  </si>
  <si>
    <t>National Natural Science Foundation of China-Yunnan Joint Fund [U1302262]; National Key R&amp;D Program of China [2017YFC0505200]; Science and Technology Basic Resources Investigation Program of China [2017FY100100]; Second Tibetan Plateau Scientific Expedition and Research Program [2019QZKK0502]; National Natural Science Foundation of China [32001230]; Yunnan Ten Thousand Talents Plan Young &amp; Elite Talent Project [YNWR-QNBJ-2019-127]; Global Tree Conservation Program of Botanic Gardens Conservation International (BGCI)</t>
  </si>
  <si>
    <t>National Natural Science Foundation of China-Yunnan Joint Fund(National Natural Science Foundation of China (NSFC)); National Key R&amp;D Program of China; Science and Technology Basic Resources Investigation Program of China; Second Tibetan Plateau Scientific Expedition and Research Program; National Natural Science Foundation of China(National Natural Science Foundation of China (NSFC)); Yunnan Ten Thousand Talents Plan Young &amp; Elite Talent Project; Global Tree Conservation Program of Botanic Gardens Conservation International (BGCI)</t>
  </si>
  <si>
    <t>This work was supported by a National Natural Science Foundation of China-Yunnan Joint Fund (Grant No. U1302262), National Key R&amp;D Program of China (Grant No. 2017YFC0505200), Science and Technology Basic Resources Investigation Program of China (Grant No. 2017FY100100), The Second Tibetan Plateau Scientific Expedition and Research Program (Grant No. 2019QZKK0502), National Natural Science Foundation of China (Grant No. 32001230), Yunnan Ten Thousand Talents Plan Young &amp; Elite Talent Project (Grant No. YNWR-QNBJ-2019-127), and Global Tree Conservation Program of Botanic Gardens Conservation International (BGCI).</t>
  </si>
  <si>
    <t>2572-2611</t>
  </si>
  <si>
    <t>Plants People Planet</t>
  </si>
  <si>
    <t>10.1002/ppp3.10276</t>
  </si>
  <si>
    <t>Biodiversity Conservation; Plant Sciences; Ecology</t>
  </si>
  <si>
    <t>Biodiversity &amp; Conservation; Plant Sciences; Environmental Sciences &amp; Ecology</t>
  </si>
  <si>
    <t>1Y2EO</t>
  </si>
  <si>
    <t>WOS:000807956200001</t>
  </si>
  <si>
    <t>Zhao, YH; Lazaro, A; Li, HD; Tao, ZB; Liang, H; Zhou, W; Ren, ZX; Xu, K; Li, DZ; Wang, H</t>
  </si>
  <si>
    <t>Zhao, Yan-Hui; Lazaro, Amparo; Li, Hai-Dong; Tao, Zhi-Bin; Liang, Huan; Zhou, Wei; Ren, Zong-Xin; Xu, Kun; Li, De-Zhu; Wang, Hong</t>
  </si>
  <si>
    <t>Morphological trait-matching in plant-Hymenoptera and plant-Diptera mutualisms across an elevational gradient</t>
  </si>
  <si>
    <t>JOURNAL OF ANIMAL ECOLOGY</t>
  </si>
  <si>
    <t>elevation; nectar tube depth; plant-pollinator interactions; proboscis length; specialisation; trait-matching; Yulong Snow Mountain</t>
  </si>
  <si>
    <t>ENVIRONMENT RELATIONSHIPS; SPECIES COMPOSITION; BUMBLE BEES; NETWORKS; SPECIALIZATION; FLOWER; ABUNDANCE; POLLINATORS; COMPETITION; PATTERNS</t>
  </si>
  <si>
    <t>Morphological trait-matching and species abundance are thought to be the main factors affecting the frequency and strength of mutualistic interactions. However, the relative importance of trait-matching and species abundance in shaping species interactions across environmental gradients remains poorly understood, especially for plant-insect mutualisms involving generalist species. Here, we characterised variation in species and trait composition and the relative importance of trait-matching and species abundance in shaping plant-Hymenoptera and plant-Diptera mutualisms in four meadows across an elevational gradient (2,725-3,910 m) in Yulong Snow Mountain, Southwest China. We also evaluated the effects of morphological traits of flower visitors and plant composition on their foraging specialisation (d' and normalised degree). There was a high degree of dissimilarity in the composition of Hymenoptera and Diptera visitors and their visited plants between communities. This variation was mainly driven by the spatial replacement of species. Both for plant-Hymenoptera and plant-Diptera networks, trait-matching between nectar tube depth and proboscis length was a stronger predictor of the interactions between temporally co-occurring plants and flower visitors than species abundance. Fourth-corner analyses revealed statistically significant trait-matching between nectar tube depth and proboscis length in plant-Hymenoptera networks at all sites, suggesting that Hymenoptera consistently foraged on plant species with nectar tube depths matching their proboscis lengths. By contrast, significant trait-matching in plant-Diptera networks was only observed at the two lower elevation sites. The species-level specialisation d' of flower visitors increased significantly as the proboscis length and the difference in nectar tube depth between the plant community and the plants visited by flower visitors increased. Our results highlight that the importance of trait-matching in shaping pairwise interactions and niche partitioning depends on the specific features (e.g. species composition and trait availability) of the plant-pollinator system. For specialised plant-Hymenoptera systems, trait-matching is an important determinant of species interactions, whereas for generalist plant-Diptera systems, trait-matching is relatively unimportant.</t>
  </si>
  <si>
    <t>Zhao, Yan-Hui</t>
  </si>
  <si>
    <t>[Zhao, Yan-Hui; Ren, Zong-Xin; Wang, Hong] Chinese Acad Sci, Kunming Inst Bot, Key Lab Plant Divers &amp; Biogeog East Asia, Kunming, Yunnan, Peoples R China; [Lazaro, Amparo] Mediterranean Inst Adv Studies UIB CSIC, Global Change Res Grp, Esporles, Spain; [Li, Hai-Dong] Chinese Acad Sci, Inst Zool, State Key Lab Integrated Management Pest Insects, Beijing, Peoples R China; [Tao, Zhi-Bin; Liang, Huan] Chinese Acad Sci, CAS Key Lab Aquat Bot &amp; Watershed Ecol, Wuhan Bot Garden, Wuhan, Peoples R China; [Zhou, Wei; Li, De-Zhu] Chinese Acad Sci, Plant Germplasm &amp; Genom Ctr, Kunming Inst Bot, Germplasm Bank Wild Species, Kunming, Yunnan, Peoples R China; [Xu, Kun] Chinese Acad Sci, Kunming Inst Bot, Lijiang Forest Ecosyst Res Stn, Kunming, Yunnan, Peoples R China</t>
  </si>
  <si>
    <t>Chinese Academy of Sciences; Kunming Institute of Botany, CAS; Consejo Superior de Investigaciones Cientificas (CSIC); CSIC - Instituto Mediterraneo de Estudios Avanzados (IMEDEA); Chinese Academy of Sciences; Institute of Zoology, CAS; Chinese Academy of Sciences; Wuhan Botanical Garden, CAS; Chinese Academy of Sciences; Kunming Institute of Botany, CAS; Chinese Academy of Sciences; Kunming Institute of Botany, CAS</t>
  </si>
  <si>
    <t>Wang, H (通讯作者)，Chinese Acad Sci, Kunming Inst Bot, Key Lab Plant Divers &amp; Biogeog East Asia, Kunming, Yunnan, Peoples R China.</t>
  </si>
  <si>
    <t>wanghong@mail.kib.ac.cn</t>
  </si>
  <si>
    <t>Li, De-Zhu/G-8203-2011; , Wei/E-5631-2015</t>
  </si>
  <si>
    <t>Li, De-Zhu/0000-0002-4990-724X; Lazaro, Amparo/0000-0001-5626-4134; Ren, Zong-Xin/0000-0001-7265-065X; Li, Hai-Dong/0000-0002-0789-7346; , Wei/0000-0001-5527-3776; Zhao, Yan-hui/0000-0002-7569-4591; Tao, Zhibin/0000-0002-3821-1554; Liang, Huan/0000-0003-3782-3724</t>
  </si>
  <si>
    <t>Joint Fund of the National Natural Science Foundation of China-Yunnan Province [U1502261]; Yunling Scholarship of Yunnan Provincial Government [YLXL20170001]; National Natural Science Foundation of China [31700361, 32071670]; Strategic Priority Research Program of the Chinese Academy of Sciences [XDB31000000]; Chinese Academy of Sciences 'Light of West China' Program; Ramony Cajal [RYC-2015-19034]; Spanish State Research Agency, European Social Funds; University of the Balearic Islands; Spanish Ministry of Economy and Competitiveness [CGL2017-89254-R]; Feder Funds</t>
  </si>
  <si>
    <t>Joint Fund of the National Natural Science Foundation of China-Yunnan Province; Yunling Scholarship of Yunnan Provincial Government; National Natural Science Foundation of China(National Natural Science Foundation of China (NSFC)); Strategic Priority Research Program of the Chinese Academy of Sciences(Chinese Academy of Sciences); Chinese Academy of Sciences 'Light of West China' Program; Ramony Cajal(Spanish Government); Spanish State Research Agency, European Social Funds; University of the Balearic Islands; Spanish Ministry of Economy and Competitiveness(Spanish Government); Feder Funds(European Commission)</t>
  </si>
  <si>
    <t>Joint Fund of the National Natural Science Foundation of China-Yunnan Province, Grant/Award Number: U1502261; Yunling Scholarship of Yunnan Provincial Government, Grant/Award Number: YLXL20170001; National Natural Science Foundation of China, Grant/Award Number: 31700361 and 32071670; Strategic Priority Research Program of the Chinese Academy of Sciences, Grant/Award Number: XDB31000000; Chinese Academy of Sciences 'Light of West China' Program; Ramony Cajal, Grant/Award Number: RYC-2015-19034; Spanish State Research Agency, European Social Funds; University of the Balearic Islands; Spanish Ministry of Economy and Competitiveness, Grant/Award Number: CGL2017-89254-R; Feder Funds</t>
  </si>
  <si>
    <t>0021-8790</t>
  </si>
  <si>
    <t>1365-2656</t>
  </si>
  <si>
    <t>J ANIM ECOL</t>
  </si>
  <si>
    <t>J. Anim. Ecol.</t>
  </si>
  <si>
    <t>10.1111/1365-2656.13614</t>
  </si>
  <si>
    <t>Ecology; Zoology</t>
  </si>
  <si>
    <t>Environmental Sciences &amp; Ecology; Zoology</t>
  </si>
  <si>
    <t>YE1QL</t>
  </si>
  <si>
    <t>WOS:000712657200001</t>
  </si>
  <si>
    <t>Su, HG; Liang, HF; Hu, GL; Zhou, L; Peng, XR; Bi, HC; Qiu, MH</t>
  </si>
  <si>
    <t>Su, Hai-Guo; Liang, Hang-Fei; Hu, Gui-Lin; Zhou, Lin; Peng, Xing-Rong; Bi, Hui-Chang; Qiu, Ming-Hua</t>
  </si>
  <si>
    <t>Applanoids A-E as the First Examples of C-15/C-20 Michael Adducts in Ganoderma Triterpenoids and Their PXR Agonistic Activity</t>
  </si>
  <si>
    <t>CHINESE JOURNAL OF CHEMISTRY</t>
  </si>
  <si>
    <t>Ganoderma applanatum; Lanostane triterpenoids; Michael adducts; Structure elucidation; Pregnane X receptor</t>
  </si>
  <si>
    <t>LANOSTANE-TYPE TRITERPENOIDS; BODY</t>
  </si>
  <si>
    <t>Comprehensive Summary Ganoderma triterpenoids (GTs), a class of major active constituents of Ganoderma fungi, possess diverse structures and remarkable activities. In the present study, nine new GTs, namely applanoids A-I (1-9), were isolated from the medicinal fungus of Ganoderma applanatum. Their structures including absolute configurations were established by comprehensive spectroscopic analyses and ECD calculation. Applanoids A-E (1-5) represent the first example of GTs with 6/6/5/6/5 pentacyclic system and the formation of the ether ring between C-15 and C-20 involves Michael addition reaction. Furthermore, compounds 1-8 were evaluated for their human pregnane X receptor (hPXR) agonistic activity using dual-luciferase reporter gene assay, and the results showed that compounds 1, 2 and 4 can dose-dependently activate hPXR. This investigation further illustrated the structural diversity of GTs and provided new insights for searching PXR agonists from GTs.</t>
  </si>
  <si>
    <t>Su, Hai-Guo</t>
  </si>
  <si>
    <t>[Su, Hai-Guo; Liang, Hang-Fei; Bi, Hui-Chang] Sun Yat Sen Univ, Sch Pharmaceut Sci, Guangdong Prov Key Lab New Drug Design &amp; Evaluat, Guangzhou 510006, Guangdong, Peoples R China; [Su, Hai-Guo; Hu, Gui-Lin; Zhou, Lin; Peng, Xing-Rong; Qiu, Ming-Hua] Chinese Acad Sci, Kunming Inst Bot, State Key Lab Phytochem &amp; Plant Resources West Ch, Kunming 650201, Yunnan, Peoples R China; [Bi, Hui-Chang] Southern Med Univ, Sch Pharmaceut Sci, NMPA Key Lab Res &amp; Evaluat Drug Metab, Guangzhou 510515, Guangdong, Peoples R China; [Bi, Hui-Chang] Southern Med Univ, Sch Pharmaceut Sci, Prov Key Lab New Drug Screening, Guangzhou 510515, Guangdong, Peoples R China</t>
  </si>
  <si>
    <t>Sun Yat Sen University; Chinese Academy of Sciences; Kunming Institute of Botany, CAS; Southern Medical University - China; Southern Medical University - China</t>
  </si>
  <si>
    <t>Bi, HC (通讯作者)，Sun Yat Sen Univ, Sch Pharmaceut Sci, Guangdong Prov Key Lab New Drug Design &amp; Evaluat, Guangzhou 510006, Guangdong, Peoples R China.;Peng, XR; Qiu, MH (通讯作者)，Chinese Acad Sci, Kunming Inst Bot, State Key Lab Phytochem &amp; Plant Resources West Ch, Kunming 650201, Yunnan, Peoples R China.;Bi, HC (通讯作者)，Southern Med Univ, Sch Pharmaceut Sci, NMPA Key Lab Res &amp; Evaluat Drug Metab, Guangzhou 510515, Guangdong, Peoples R China.;Bi, HC (通讯作者)，Southern Med Univ, Sch Pharmaceut Sci, Prov Key Lab New Drug Screening, Guangzhou 510515, Guangdong, Peoples R China.</t>
  </si>
  <si>
    <t>pengxingrong@mail.kib.ac.cn; bihchang@smu.edu.cn; mhchiu@mail.kib.ac.cn</t>
  </si>
  <si>
    <t>Basic Research Project of Yunnan Province [202001AT070070]; Youth Innovation Promotion Association of CAS [2019383]; Natural Science Foundation of China [82025034, 81973392, 81973195, 82104020]; Shenzhen Science and Technology Program [KQTD20190929174023858]</t>
  </si>
  <si>
    <t>Basic Research Project of Yunnan Province; Youth Innovation Promotion Association of CAS; Natural Science Foundation of China(National Natural Science Foundation of China (NSFC)); Shenzhen Science and Technology Program</t>
  </si>
  <si>
    <t>This work was financially supported by the Basic Research Project of Yunnan Province (202001AT070070), the Youth Innovation Promotion Association of CAS (2019383), the Natural Science Foundation of China (Nos. 82025034, 81973392, 81973195 and 82104020), and the Shenzhen Science and Technology Program (No. KQTD20190929174023858).</t>
  </si>
  <si>
    <t>1001-604X</t>
  </si>
  <si>
    <t>1614-7065</t>
  </si>
  <si>
    <t>CHINESE J CHEM</t>
  </si>
  <si>
    <t>Chin. J. Chem.</t>
  </si>
  <si>
    <t>NOV 15</t>
  </si>
  <si>
    <t>10.1002/cjoc.202200318</t>
  </si>
  <si>
    <t>5I9UI</t>
  </si>
  <si>
    <t>WOS:000842964700001</t>
  </si>
  <si>
    <t>Huang, L; Zheng, GJ; Feng, YY; Jin, PF; Gao, B; Zhang, HQ; Ma, XM; Zhou, JF; Yao, GM</t>
  </si>
  <si>
    <t>Huang, Lang; Zheng, Guijuan; Feng, Yuanyuan; Jin, Pengfei; Gao, Biao; Zhang, Hanqi; Ma, Xiaomin; Zhou, Junfei; Yao, Guangmin</t>
  </si>
  <si>
    <t>Highly Oxygenated Dimeric Grayanane Diterpenoids as Analgesics: TRPV1 and TRPA1 Dual Antagonists from Rhododendron molle</t>
  </si>
  <si>
    <t>Biological activity; Dimeric grayanane diterpenoids; Natural products; Rhododendron molle (Ericaceae); Structure elucidation</t>
  </si>
  <si>
    <t>LINKAGE; FRUITS</t>
  </si>
  <si>
    <t>Comprehensive Summary Six highly oxygenated dimeric grayanane diterpenoids (1-6) including three new ones, bismollethers A-C (1-3), were isolated from the flowers of Rhododendron molle collected at Qichun, Hubei, China. The structures and relative configurations of 1-6 were determined by comprehensive spectroscopic data analysis and C-13 NMR calculation with DP4+ analysis. The absolute configurations of bismollethers A-C (1-3) and birhodomollein B (5) were indubitably assigned by single-crystal X-ray diffraction analysis, revealing the head-to-tail linking manner of diterpenoid monomers. Bismollether A (1) is a caged dimeric grayanane diterpenoid linked through two oxygen-bridges of C-2 - O - C-14 ' and C-14 - O - C-2 ', featuring a unique 1,8-dioxacyclotetradecane motif. The plausible biosynthesis pathways of 1-6 are proposed. All the isolates displayed significant analgesic activities and their structure-activity relationships were discussed. Grayanane diterpenoid dimers were found to be TRPV1 and TRPA1 dual antagonists, and docking studies provide a structural basis to design potent analgesics.</t>
  </si>
  <si>
    <t>Huang, Lang</t>
  </si>
  <si>
    <t>[Huang, Lang; Zheng, Guijuan; Feng, Yuanyuan; Jin, Pengfei; Gao, Biao; Zhang, Hanqi; Ma, Xiaomin; Zhou, Junfei; Yao, Guangmin] Huazhong Univ Sci &amp; Technol, Tongji Med Coll, Sch Pharm, Hubei Key Lab Nat Med Chem &amp; Resource Evaluat, Wuhan 430030, Hubei, Peoples R China; [Yao, Guangmin] Chinese Acad Sci, Kunming Inst Bot, State Key Lab Phytochem &amp; Plant Resources West Ch, Kunming 650201, Yunnan, Peoples R China; [Yao, Guangmin] Kashi Univ, Coll Chem &amp; Environm Sci, Lab Xinjiang Nat Med &amp; Edible Plant Resource Chem, Kashgar 844007, Xinjiang, Peoples R China</t>
  </si>
  <si>
    <t>Yao, GM (通讯作者)，Huazhong Univ Sci &amp; Technol, Tongji Med Coll, Sch Pharm, Hubei Key Lab Nat Med Chem &amp; Resource Evaluat, Wuhan 430030, Hubei, Peoples R China.;Yao, GM (通讯作者)，Chinese Acad Sci, Kunming Inst Bot, State Key Lab Phytochem &amp; Plant Resources West Ch, Kunming 650201, Yunnan, Peoples R China.;Yao, GM (通讯作者)，Kashi Univ, Coll Chem &amp; Environm Sci, Lab Xinjiang Nat Med &amp; Edible Plant Resource Chem, Kashgar 844007, Xinjiang, Peoples R China.</t>
  </si>
  <si>
    <t>gyap@mail.hust.edu.cn</t>
  </si>
  <si>
    <t>Fund of State Key Laboratory of Phytochemistry and Plant Resources in West China [P2022-KF08]; Fund of Laboratory of Xinjiang Native Medicinal and Edible Plant Resource Chemistry [KSUZDSYS202101]; National Natural Science Foundation of China [22107033, U1703109]; Traditional Chinese Medicine of Hubei Provincial Health Commission [ZY2021M056]; China Postdoctoral Science Foundation [2021M691152]</t>
  </si>
  <si>
    <t>Fund of State Key Laboratory of Phytochemistry and Plant Resources in West China; Fund of Laboratory of Xinjiang Native Medicinal and Edible Plant Resource Chemistry; National Natural Science Foundation of China(National Natural Science Foundation of China (NSFC)); Traditional Chinese Medicine of Hubei Provincial Health Commission; China Postdoctoral Science Foundation(China Postdoctoral Science Foundation)</t>
  </si>
  <si>
    <t>This work was supported by the Fund of State Key Laboratory of Phytochemistry and Plant Resources in West China (P2022- KF08), the Fund of Laboratory of Xinjiang Native Medicinal and Edible Plant Resource Chemistry (KSUZDSYS202101), the National Natural Science Foundation of China (22107033 and U1703109), the Traditional Chinese Medicine of Hubei Provincial Health Commission (ZY2021M056), and the China Postdoctoral Science Foundation (2021M691152). We are grateful to the Analytical and Testing Center at HUST for single-crystal X-ray diffraction data collection and Medical Subcenter at HUST for NMR data acquisition.</t>
  </si>
  <si>
    <t>10.1002/cjoc.202200348</t>
  </si>
  <si>
    <t>4F0ZQ</t>
  </si>
  <si>
    <t>WOS:000830869200001</t>
  </si>
  <si>
    <t>Hu, LZ; Wang, ZZ; Tong, Z; Hu, P; Kong, LQ; Luo, MY; Li, XN; Zhang, YX; Huang, ZY; Zhang, YH</t>
  </si>
  <si>
    <t>Hu, Linzhen; Wang, Zhenzhen; Tong, Zhou; Hu, Ping; Kong, Luqi; Luo, Mengying; Li, Xiao-Nian; Zhang, Yuexing; Huang, Zhiyong; Zhang, Yonghui</t>
  </si>
  <si>
    <t>Undescribed Meroterpenoids from Hypericum japonicum with Neuroprotective Effects on H2O2 Insult SH-SY5Y Cells Targeting Keap1-Nrf2</t>
  </si>
  <si>
    <t>Hypericum japonicum; Natural products; Tautomerism; Neuroprotective activity; Keap1-Nrf2-ARE pathway</t>
  </si>
  <si>
    <t>ACYLPHLOROGLUCINOL MEROTERPENOIDS; ANTIINFLAMMATORY ACTIVITIES; OXIDATIVE STRESS; A-D; ANTIOXIDANT; ENANTIOMERS; INHIBITION</t>
  </si>
  <si>
    <t>Comprehensive Summary Unreported tautomeric/enantiomeric meroterpenoids, (+/-)-hyperjaponols I-K (1-3), were discovered from Hypericum japonicum. Comprehensive chemical investigations established the absolute characteristics of these stereoisomers. The TS calculation demonstrated that 1a and 2a easily occur enol-keto tautomerism with steady configurations individually. Amongst isolates, 1b showed the strongest neuroprotective activity with the concentration at 25 mu mol/L on H2O2 insult SH-SY5Y cells. In vitro molecular biological experiments manifested that 1b activated the Keap1-Nrf2-ARE pathway, leading to the promotion of Nrf2 nuclear translocation, downregulation of the expression level of Keap1, and upregulation of the levels of Nrf2, NQO-1, and HO-1. The results of in silico simulation showed that 1b possessed good binding features with Keap1 (5FNQ) via forming multiple typical hydrogen and hydrophobic bonds as well as less fluctuation of RMSD and RMSF during a natural physiological condition.</t>
  </si>
  <si>
    <t>Hu, Linzhen</t>
  </si>
  <si>
    <t>[Hu, Linzhen; Tong, Zhou; Hu, Ping; Kong, Luqi; Luo, Mengying; Huang, Zhiyong] Hubei Univ, Sch Life Sci, Hubei Key Lab Biotechnol Tradit Chinese Med, State Key Lab Biocatalysis &amp; Enzyme Engn,Natl &amp; L, Wuhan 430062, Hubei, Peoples R China; [Wang, Zhenzhen; Zhang, Yonghui] Huazhong Univ Sci &amp; Technol, Tongji Med Coll, Sch Pharm, Wuhan 430030, Hubei, Peoples R China; [Huang, Zhiyong] Chinese Acad Sci, Tianjin Inst Ind Biotechnol, Tianjin 300308, Peoples R China; [Zhang, Yuexing] Hubei Univ, Coll Chem &amp; Chem Engn, Wuhan 430062, Hubei, Peoples R China; [Li, Xiao-Nian] Chinese Acad Sci, Kunming Inst Bot, Kunming 650204, Yunnan, Peoples R China</t>
  </si>
  <si>
    <t>Hubei University; Huazhong University of Science &amp; Technology; Chinese Academy of Sciences; Tianjin Institute of Industrial Biotechnology, CAS; Hubei University; Chinese Academy of Sciences; Kunming Institute of Botany, CAS</t>
  </si>
  <si>
    <t>Huang, ZY (通讯作者)，Hubei Univ, Sch Life Sci, Hubei Key Lab Biotechnol Tradit Chinese Med, State Key Lab Biocatalysis &amp; Enzyme Engn,Natl &amp; L, Wuhan 430062, Hubei, Peoples R China.;Zhang, YH (通讯作者)，Huazhong Univ Sci &amp; Technol, Tongji Med Coll, Sch Pharm, Wuhan 430030, Hubei, Peoples R China.;Huang, ZY (通讯作者)，Chinese Acad Sci, Tianjin Inst Ind Biotechnol, Tianjin 300308, Peoples R China.;Zhang, YX (通讯作者)，Hubei Univ, Coll Chem &amp; Chem Engn, Wuhan 430062, Hubei, Peoples R China.</t>
  </si>
  <si>
    <t>zhangyh@mails.tjmu.edu.cn; huang_zy@tib.cas.cn; zhangyuexing@sdu.edu.cn</t>
  </si>
  <si>
    <t>Zhang, Yonghui/AGY-5688-2022; Zhang, Yonghui/AGY-9072-2022; 童, 周/GQY-4748-2022</t>
  </si>
  <si>
    <t>Tong, Zhou/0000-0003-4039-107X</t>
  </si>
  <si>
    <t>National Natural Science Foundation of China [31700298]; Inn Science Foundation of China [31700298]; Innovationovation and Entrepreneurship Training Program for Undergraduates (Hand Entrepreneurship Training Program for Undergraduates (Huubei Province,China) [S202010512054]</t>
  </si>
  <si>
    <t>National Natural Science Foundation of China(National Natural Science Foundation of China (NSFC)); Inn Science Foundation of China; Innovationovation and Entrepreneurship Training Program for Undergraduates (Hand Entrepreneurship Training Program for Undergraduates (Huubei Province,China)</t>
  </si>
  <si>
    <t>This work was financially supported by the National Natural Science Foundation of China(No.31700298) and the Inn Science Foundation of China (No. 31700298) and the Innovationovation and Entrepreneurship Training Program for Undergraduates (Hand Entrepreneurship Training Program for Undergraduates (Hu-ubeiProvince,China)(No.S202010512054).bei Province, China) (No. S202010512054).</t>
  </si>
  <si>
    <t>JUN 1</t>
  </si>
  <si>
    <t>10.1002/cjoc.202200008</t>
  </si>
  <si>
    <t>0X1KS</t>
  </si>
  <si>
    <t>WOS:000768769600001</t>
  </si>
  <si>
    <t>Yi, WF; Adelakun, TA; Bai, X; Zhang, Y; Hao, XJ</t>
  </si>
  <si>
    <t>Yi, Wen-Fang; Adelakun, Tiwalade A.; Bai, Xue; Zhang, Yu; Hao, Xiao-Jiang</t>
  </si>
  <si>
    <t>Tabernaesine J, a Novel Vincamine-Type Indole Alkaloid with 6/5/6/6/6/5/5 Heptacyclic-Ring System Scaffold from Tabernaemontana pachysiphon</t>
  </si>
  <si>
    <t>Natural products; Alkaloids; Structure elucidation; Tabernaemontana pachysiphon; Tabernaesine J</t>
  </si>
  <si>
    <t>BISINDOLE ALKALOIDS; A-I; ALGORITHM</t>
  </si>
  <si>
    <t>Comprehensive Summary Tabernaesine J (1), an unprecedented vincamine-type indole alkaloid with 6/5/6/6/6/5/5 heptacyclic-ring system, as well as one new biogenetically related vincamine-type indole alkaloid (2), were isolated from leaves of Tabernaemontana pachysiphon. Their structures were established by a combination of HRESIMS, NMR, single crystal X-ray diffraction, and ECD calculation. The unprecedented penta-lactone ring in tabernaesine J (1) was postulated to be derived from acetyl-CoA enolate anion. Alkaloid 2 combined with fluconazole has the potential to overcome fluconazole resistance in Candida albicans.</t>
  </si>
  <si>
    <t>Yi, Wen-Fang</t>
  </si>
  <si>
    <t>[Yi, Wen-Fang; Adelakun, Tiwalade A.; Bai, Xue; Zhang, Yu; Hao, Xiao-Jiang] Chinese Acad Sci, Kunming Inst Bot, State Key Lab Phytochem &amp; Plant Resources West Ch, Kunming 650201, Yunnan, Peoples R China</t>
  </si>
  <si>
    <t>Zhang, Y; Hao, XJ (通讯作者)，Chinese Acad Sci, Kunming Inst Bot, State Key Lab Phytochem &amp; Plant Resources West Ch, Kunming 650201, Yunnan, Peoples R China.</t>
  </si>
  <si>
    <t>zhangyu@mail.kib.ac.cn; haoxj@mail.kib.ac.cn</t>
  </si>
  <si>
    <t>NSFC [81874295]; Top Young Talent of the Ten Thousand Talents Program of Yunnan</t>
  </si>
  <si>
    <t>NSFC(National Natural Science Foundation of China (NSFC)); Top Young Talent of the Ten Thousand Talents Program of Yunnan</t>
  </si>
  <si>
    <t>This research was supported financially by grants from NSFC (81874295) and Top Young Talent of the Ten Thousand Talents Program of Yunnan (to Y. Zhang).</t>
  </si>
  <si>
    <t>10.1002/cjoc.202100634</t>
  </si>
  <si>
    <t>YF9FB</t>
  </si>
  <si>
    <t>WOS:000733237000001</t>
  </si>
  <si>
    <t>Su, LH; Li, TZ; Ma, YB; Geng, CA; Huang, XY; Zhang, X; Gao, Z; Chen, JJ</t>
  </si>
  <si>
    <t>Su, Li-Hua; Li, Tian-Ze; Ma, Yun-Bao; Geng, Chang-An; Huang, Xiao-Yan; Zhang, Xin; Gao, Zhen; Chen, Ji-Jun</t>
  </si>
  <si>
    <t>Artematrovirenolides A-D and Artematrolides S-Z, Sesquiterpenoid Dimers with Cytotoxicity against Three Hepatoma Cell Lines from Artemisia atrovirens</t>
  </si>
  <si>
    <t>Artemisia atrovirens; Sesquiterpenoid dimers; Structure elucidation; X-ray diffraction; Antihepatoma activity</t>
  </si>
  <si>
    <t>GUAIANOLIDE; ARGYI</t>
  </si>
  <si>
    <t>Comprehensive Summary Inspired by the intriguing structures and remarkable activities of sesquiterpenoid dimers, 12 new sesquiterpenoid dimers, artematrovirenolides A-D (1-4) and artematrolides S-Z (8-12), were isolated from the EtOAc fraction of Artemisia atrovirens through a bioactivity-guided approach. Their structures were elucidated by comprehensive spectroscopic data and absolute configuration was assigned based on single crystal X-ray diffraction data and ECD calculations. Structurally, all compounds are presumably formed via [4+2] cycloaddition involving three connecting model. Compounds 1-4 are four novel hetero-dimeric [4+2] Diels-Alder adducts dimerized from a rotundane-type unit and a guaiane-type monomer, and compounds 5-12 are eight new homo-dimeric [4+2] adducts derived from two guaianolide moieties. A putative biosynthetic pathway for compounds 1-4 was also proposed. Compounds 4, 6, 7, and 10 demonstrated moderate cytotoxicity against HepG2, SMMC-7721, and Huh7 cell lines with IC50 values ranging from 9.3 to 62.3 mu mol/L. Interestingly, compounds 5 and 11 manifested cytotoxicity with IC50 values of 13.6 and 12.8 (HepG2), 18.5 and 13.1 (SMMC-7721), and 16.5 and 19.4 mu mol/L (Huh7), respectively, which were equivalent to the positive control, sorafenib. This investigation suggests that compounds 5 and 11 might be considered as potent antihepatoma candidates and deserve further structural modification and mechanism study.</t>
  </si>
  <si>
    <t>Su, Li-Hua</t>
  </si>
  <si>
    <t>[Su, Li-Hua; Li, Tian-Ze; Ma, Yun-Bao; Geng, Chang-An; Huang, Xiao-Yan; Zhang, Xin; Gao, Zhen; Chen, Ji-Jun] Chinese Acad Sci, Kunming Inst Bot, State Key Lab Phytochem &amp; Plant Resources West Ch, Yunnan Key Lab Nat Med Chem, Kunming 650201, Yunnan, Peoples R China; [Su, Li-Hua; Zhang, Xin; Gao, Zhen; Chen, Ji-Jun] Univ Chinese Acad Sci, Beijing 100049, Peoples R China</t>
  </si>
  <si>
    <t>Chen, JJ (通讯作者)，Chinese Acad Sci, Kunming Inst Bot, State Key Lab Phytochem &amp; Plant Resources West Ch, Yunnan Key Lab Nat Med Chem, Kunming 650201, Yunnan, Peoples R China.;Chen, JJ (通讯作者)，Univ Chinese Acad Sci, Beijing 100049, Peoples R China.</t>
  </si>
  <si>
    <t>chenjj@mail.kib.ac.cn</t>
  </si>
  <si>
    <t>Key Program of National Natural Science Foundation of China [22137008]; Yunnan Wanren Project [YNWR-KJLJ-2019-002]</t>
  </si>
  <si>
    <t>Key Program of National Natural Science Foundation of China(National Natural Science Foundation of China (NSFC)); Yunnan Wanren Project</t>
  </si>
  <si>
    <t>This work was supported by the Key Program of National Natural Science Foundation of China (22137008) and Yunnan Wanren Project (YNWR-KJLJ-2019-002).</t>
  </si>
  <si>
    <t>10.1002/cjoc.202100528</t>
  </si>
  <si>
    <t>XF6PH</t>
  </si>
  <si>
    <t>WOS:000722182400001</t>
  </si>
  <si>
    <t>Wang, Z; Pan, F; Zhao, Q; Lv, ML; Zhang, B</t>
  </si>
  <si>
    <t>Wang, Zhuo; Pan, Fei; Zhao, Qi; Lv, Menglan; Zhang, Bin</t>
  </si>
  <si>
    <t>The application of covalent organic frameworks in Lithium-Sulfur batteries: A mini review for current research progress</t>
  </si>
  <si>
    <t>FRONTIERS IN CHEMISTRY</t>
  </si>
  <si>
    <t>covalent organic frameworks; lithium-sulfur batteries; cathode; anode; separator</t>
  </si>
  <si>
    <t>HIGH-PERFORMANCE</t>
  </si>
  <si>
    <t>Recently, how to enhance the energy density of rechargeable batteries dramatically is becoming a driving force in the field of energy storage research. Among the current energy storage technologies, the lithium-sulfur (Li-S) batteries are one of the most promising candidates for achieving high-capacity and commercial batteries. The theoretical energy density of Li-S batteries reaches to 2,600 Wh kg(-1) with the theoretical capacity of 1,675 mA h g(-1). Therefore, Li-S batteries are considered as the great potential for developing future energy storage technology. However, some of problems such as Li dendrites growth, the shuttle effect of sulfides and the electronic insulation feature of sulfur, have brought obstacles to the development of Li-S batteries. The covalent organic frameworks (COFs) are a series of porous materials with different topological structures, which show the versatile characteristics of high specific surface area, permanent pores, ordered porous channels and tunable internal structure. Potentially, their ordered channels and extended conjugated frameworks could facilitate rapid Li-ion diffusion and electron transport for the remarkable rate capability. On the basis of these merits, the COFs become the potential electrode materials to solve the above serious problems of Li-S batteries. In this mini review, we summarize the research progress of COFs utilized as electrode materials in the Li-S batteries, including the cathode, separator and anode materials. Accordingly, the outlook of COFs as electrodes for future development in Li-S batteries is also given.</t>
  </si>
  <si>
    <t>Wang, Zhuo</t>
  </si>
  <si>
    <t>[Wang, Zhuo; Lv, Menglan; Zhang, Bin] Guizhou Univ, Sch Chem &amp; Chem Engn, Guiyang, Peoples R China; [Wang, Zhuo; Pan, Fei] Guizhou Inst Technol, Sch Chem Engn, Guiyang, Peoples R China; [Zhao, Qi] Chinese Acad Sci, Kunming Inst Bot, Yunnan Key Lab Fungal Divers &amp; Green Dev, Key Lab Plant Divers &amp; Biogeog East Asia, Kunming, Peoples R China</t>
  </si>
  <si>
    <t>Guizhou University; Guizhou Institute of Technology; Chinese Academy of Sciences; Kunming Institute of Botany, CAS</t>
  </si>
  <si>
    <t>Lv, ML; Zhang, B (通讯作者)，Guizhou Univ, Sch Chem &amp; Chem Engn, Guiyang, Peoples R China.</t>
  </si>
  <si>
    <t>mllv@gzu.edu.cn; zhangb@gzu.edu.cn</t>
  </si>
  <si>
    <t>National Natural Science Foundation of China; Major Project of Natural Science Foundation of Guizhou Province; Higher Education Institutions Science and Technology Talent Support Project of Guizhou Province, China; Program Foundation for Talents of Guizhou Institute of Technology;  [51863002];  [51973042];  [QKHJC-ZK [2021] ZD048];  [[2022]360];  [GZLGXM-05]</t>
  </si>
  <si>
    <t xml:space="preserve">National Natural Science Foundation of China(National Natural Science Foundation of China (NSFC)); Major Project of Natural Science Foundation of Guizhou Province; Higher Education Institutions Science and Technology Talent Support Project of Guizhou Province, China; Program Foundation for Talents of Guizhou Institute of Technology; ; ; ; ; </t>
  </si>
  <si>
    <t>Funding This work was supported by the National Natural Science Foundation of China (51863002 and 51973042), Major Project of Natural Science Foundation of Guizhou Province (Grant No. QKHJC-ZK [2021] ZD048), Higher Education Institutions Science and Technology Talent Support Project of Guizhou Province, China (Grant No. QJHKY [2022]360) and Program Foundation for Talents of Guizhou Institute of Technology (Grant No. GZLGXM-05).</t>
  </si>
  <si>
    <t>2296-2646</t>
  </si>
  <si>
    <t>FRONT CHEM</t>
  </si>
  <si>
    <t>Front. Chem.</t>
  </si>
  <si>
    <t>10.3389/fchem.2022.1055649</t>
  </si>
  <si>
    <t>6F2LW</t>
  </si>
  <si>
    <t>WOS:000883900200001</t>
  </si>
  <si>
    <t>Peng, XW; He, XH; Tang, JR; Xiang, JY; Deng, J; Kan, H; Zhang, YJ; Zhang, GL; Zhao, P; Liu, Y</t>
  </si>
  <si>
    <t>Peng, Xiaowei; He, Xuhua; Tang, Junrong; Xiang, Jianying; Deng, Jia; Kan, Huan; Zhang, Yingjun; Zhang, Guiliang; Zhao, Ping; Liu, Yun</t>
  </si>
  <si>
    <t>Evaluation of the in vitro antioxidant and antitumor activity of extracts from Camellia fascicularis leaves</t>
  </si>
  <si>
    <t>Camellia fascicularis; extracts; active substances; antioxidant; antitumor</t>
  </si>
  <si>
    <t>CELASTRUS-ORBICULATUS EXTRACT; ANTIOXIDANT ACTIVITIES; STRUCTURAL CHARACTERISTICS; ASSISTED EXTRACTION; VITRO ANTIOXIDANT; AQUEOUS EXTRACT; POLYSACCHARIDES; POLYPHENOLS; METASTASIS; APOPTOSIS</t>
  </si>
  <si>
    <t>Camellia fascicularis is a unique plant rich in bioactive components. However, the isolation of the active substances in C. fascicularis leaves via sequential extraction with solvents of different polarity and the determination of their antioxidant and antitumor activities have not been reported. In this study, the total methanol extract of C. fascicularis leaves was sequentially extracted with different polar solvents, and the corresponding petroleum ether extract (PEE), ethyl acetate extract (EAE), and water extract (WE) were analyzed for their contents in active substances such as flavonoids, polyphenols, polysaccharides, and saponins. The antioxidant ability of the polar extracts was investigated by determining their reducing power and the radical scavenging rate on 1,1-diphenyl-2-picrylhydrazyl (DPPH), 2,2'-azino-bis (3-ethylbenzothiazoline-6-sulfonic acid) (ABTS), and hydroxyl radicals, and CCK-8 and Annexin-FITC/propidium iodide staining assays were conducted to investigate their inhibitory effects on HCCLM6 and HGC27 tumor cells. The results showed that PEE had a high saponin content of 197.35 +/- 16.21 mg OAE/g, while EAE and WE exhibited a relatively higher polysaccharide content of 254.37 +/- 1.99 and 373.27 +/- 8.67 mg GE/g, respectively. The EAE demonstrated the greatest reducing power and the strongest clearing abilities on ABTS and DPPH radicals with respective EC50 values of 343.45 +/- 20.12 and 14.07 +/- 0.06 mu g/ml. Moreover, the antitumor ability of the different polar extracts was dose-dependent, with WE showing the most potent inhibitory ability against HCCLM6 and HGC27 cells.</t>
  </si>
  <si>
    <t>[Peng, Xiaowei; He, Xuhua; Tang, Junrong; Xiang, Jianying; Deng, Jia; Kan, Huan; Zhao, Ping; Liu, Yun] Southwest Forestry Univ, China Minist Educ, Key Lab Forest Resources Conservat &amp; Utilizat Sout, Kunming, Peoples R China; [Kan, Huan; Zhao, Ping; Liu, Yun] Yunnan Prov Univ, Forest Resources Exploitat &amp; Utilizat Engn Res Ctr, Kunming, Peoples R China; [Zhang, Yingjun] Chinese Acad Sci, Kunming Inst Bot, State Key Lab Phytochem &amp; Plant Resources West Chi, Kunming, Peoples R China; [Zhang, Guiliang] Hekou Management Sub Bur, Yunnan Daweishan Natl Nat Reserve Management Bur, Honghe, Peoples R China</t>
  </si>
  <si>
    <t>Kan, H; Liu, Y (通讯作者)，Southwest Forestry Univ, China Minist Educ, Key Lab Forest Resources Conservat &amp; Utilizat Sout, Kunming, Peoples R China.;Kan, H; Liu, Y (通讯作者)，Yunnan Prov Univ, Forest Resources Exploitat &amp; Utilizat Engn Res Ctr, Kunming, Peoples R China.</t>
  </si>
  <si>
    <t>Yunnan Agricultural Basic Research Joint Special Project [202101BD070001-045]; Yunnan Fundamental Research Projects [202201AT070050]; Botanic Gardens Conservation International Project [2063076]</t>
  </si>
  <si>
    <t>Yunnan Agricultural Basic Research Joint Special Project; Yunnan Fundamental Research Projects; Botanic Gardens Conservation International Project</t>
  </si>
  <si>
    <t>This work was supported by Yunnan Agricultural Basic Research Joint Special Project (202101BD070001-045), Yunnan Fundamental Research Projects (202201AT070050), and Botanic Gardens Conservation International Project (2063076).</t>
  </si>
  <si>
    <t>OCT 31</t>
  </si>
  <si>
    <t>10.3389/fchem.2022.1035949</t>
  </si>
  <si>
    <t>6G7DL</t>
  </si>
  <si>
    <t>WOS:000884911400001</t>
  </si>
  <si>
    <t>Yu, JJ; Wei, WK; Zhang, Y; Cox, RJ; He, J; Liu, JK; Feng, T</t>
  </si>
  <si>
    <t>Yu, Jun-Jie; Wei, Wen-Ke; Zhang, Yu; Cox, Russell J.; He, Juan; Liu, Ji-Kai; Feng, Tao</t>
  </si>
  <si>
    <t>Terpenoids from Kiwi endophytic fungus Bipolaris sp. and their antibacterial activity against Pseudomonas syringae pv. actinidiae</t>
  </si>
  <si>
    <t>endophytic fungus; Bipolaris sp; sesquiterpenoids; sesterterpenoids; antibacterial activity</t>
  </si>
  <si>
    <t>BACTERIAL CANKER; KIWIFRUIT; SESQUITERPENES; RESISTANCE; EVOLUTION</t>
  </si>
  <si>
    <t>A chemical investigation on the kiwi endophytic fungus Bipolaris sp. Resulted in the isolation of eight new terpenoids (1-8) and five known analogues (9-13). Compounds 1-5 are novel sativene sesquiterpenoids containing three additional skeletal carbons, while compounds 4 and 5 are rare dimers. Compounds 6-8 and 13 are sesterterpenoids that have been identified from this species for the first time. Compounds 4 and 5 showed antibacterial activity against kiwifruit canker pathogen Pseudomonas syringae pv. Actinidiae (Psa) with MIC values of 32 and 64 mu g/ml, respectively.</t>
  </si>
  <si>
    <t>Yu, Jun-Jie</t>
  </si>
  <si>
    <t>[Yu, Jun-Jie; Wei, Wen-Ke; He, Juan; Liu, Ji-Kai; Feng, Tao] South Cent Minzu Univ, Sch Pharmaceut Sci, Wuhan, Peoples R China; [Zhang, Yu] Chinese Acad Sci, Kunming Inst Bot, State Key Lab Phytochem &amp; Plant Resources West Chi, Kunming, Peoples R China; [Cox, Russell J.] Inst Organ Chem &amp; Biomol Wirkstoffzentrum BMWZ, Hannover, Germany</t>
  </si>
  <si>
    <t>He, J; Liu, JK; Feng, T (通讯作者)，South Cent Minzu Univ, Sch Pharmaceut Sci, Wuhan, Peoples R China.</t>
  </si>
  <si>
    <t>2015048@mail.scuec.edu.cn; liujikai@mail.scuec.edu.cn; tfeng@mail.scuec.edu.cn</t>
  </si>
  <si>
    <t>National Natural Science Foundation of China [22177139, 21961142008]; Fundamental Research Funds for the Central Universities, South-Central Minzu University [CZP21001]</t>
  </si>
  <si>
    <t>National Natural Science Foundation of China(National Natural Science Foundation of China (NSFC)); Fundamental Research Funds for the Central Universities, South-Central Minzu University</t>
  </si>
  <si>
    <t>This work was financially supported by the National Natural Science Foundation of China (22177139, 21961142008) and the Fundamental Research Funds for the Central Universities, South-Central Minzu University (CZP21001).</t>
  </si>
  <si>
    <t>10.3389/fchem.2022.990734</t>
  </si>
  <si>
    <t>5R9GL</t>
  </si>
  <si>
    <t>WOS:000874811800001</t>
  </si>
  <si>
    <t>Zhu, HJ; Li, SN; Jia, YJ; Jiang, JX; Hu, FL; Li, LF; Cao, F; Wang, XK; Li, SH; Ouyang, GH; Tian, GF; Gong, K; Hou, GJ; He, W; Zhao, Z; Pittman, C; Deng, F; Liu, MH; Sun, K; Tang, BZ</t>
  </si>
  <si>
    <t>Zhu, Huajie; Li, Shengnan; Jia, Yunjing; Jiang, Juxing; Hu, Feiliu; Li, Longfei; Cao, Fei; Wang, Xiaoke; Li, Shenhui; Ouyang, Guanghui; Tian, Gengfang; Gong, Ke; Hou, Guangjin; He, Wei; Zhao, Zheng; Pittman Jr, Charles U.; Deng, Feng; Liu, Minghua; Sun, Kai; Tang, Ben Zhong</t>
  </si>
  <si>
    <t>Pseudo-resonance structures in chiral alcohols and amines and their possible aggregation states</t>
  </si>
  <si>
    <t>x-ray; variable-temperature NMR; C-13 CP-MAS NMR; crystal; pseudo-resonance structure; different bond lengths in structures in solid state or in solution for the same compound</t>
  </si>
  <si>
    <t>DERIVATIVES; DIETHYLZINC; BH3</t>
  </si>
  <si>
    <t>We now report that some chiral compounds, like alcohols, which are not sterically hindered atropisomers nor epimer mixtures, exhibit two sets of simultaneous NMR spectra in CDCl3. Some other chiral alcohols also simultaneously exhibit two different NMR spectra in the solid state because two different conformers, A and B had different sizes because their corresponding bond lengths and angles are different. These structures were confirmed in the same solid state by X-ray. We designate these as pseudo-resonance for a compound exhibiting several different corresponding lengths that simultaneously coexist in the solid state or liquid state. Variable-temperature NMR, 2D NMR methods, X-ray, neutron diffraction, IR, photo-luminesce (PL) and other methods were explored to study whether new aggregation states caused these heretofore unknown pseudo-resonance structures. Finally, eleven chiral alcohols or diols were found to co-exist in pseudo-resonance structures by X-ray crystallography in a search of the CDS database.</t>
  </si>
  <si>
    <t>Zhu, Huajie</t>
  </si>
  <si>
    <t>[Zhu, Huajie; Li, Shengnan] Hebei Univ Sci &amp; Technol, Sch Chem &amp; Pharmaceut Engn, Shijiazhuang, Peoples R China; [Zhu, Huajie; Li, Shengnan; Jia, Yunjing; Hu, Feiliu; Li, Longfei; Cao, Fei; Wang, Xiaoke] Hebei Univ, Inst Life Sci &amp; Green Dev, Baoding, Peoples R China; [Jiang, Juxing] Chinese Acad Sci, Kunming Inst Bot, Kunming, Yunnan, Peoples R China; [Li, Shenhui; Deng, Feng] Chinese Acad Sci, State Key Lab Magnet Resonance &amp; Atom &amp; Mol Phys, Wuhan Inst Phys &amp; Math, Wuhan, Hubei, Peoples R China; [Ouyang, Guanghui; Liu, Minghua] Chinese Acad Sci, Inst Chem, Beijing, Peoples R China; [Tian, Gengfang; Sun, Kai] China Inst Atom Energy, Dept Nucl Phys, Neutron Scattering Lab, Beijing, Peoples R China; [Gong, Ke; Hou, Guangjin] Chinese Acad Sci, State Key Lab Catalysis, Dalian Inst Chem Phys, Dalian, Peoples R China; [He, Wei; Zhao, Zheng; Tang, Ben Zhong] Chinese Univ Hong Kong, Shenzhen Inst Aggregate Sci &amp; Technol, Sch Sci &amp; Engn, Shenzhen, Peoples R China; [Pittman Jr, Charles U.] Mississippi State Univ, Dept Chem, Starkville, MS USA</t>
  </si>
  <si>
    <t>Hebei University of Science &amp; Technology; Hebei University; Chinese Academy of Sciences; Kunming Institute of Botany, CAS; Chinese Academy of Sciences; Wuhan Institute of Physics &amp; Mathematics, CAS; Chinese Academy of Sciences; Institute of Chemistry, CAS; China Institute of Atomic Energy; Chinese Academy of Sciences; Dalian Institute of Chemical Physics, CAS; State Key Laboratory of Catalysis, CAS; Chinese University of Hong Kong, Shenzhen; Mississippi State University</t>
  </si>
  <si>
    <t>Zhu, HJ (通讯作者)，Hebei Univ Sci &amp; Technol, Sch Chem &amp; Pharmaceut Engn, Shijiazhuang, Peoples R China.;Zhu, HJ (通讯作者)，Hebei Univ, Inst Life Sci &amp; Green Dev, Baoding, Peoples R China.;Deng, F (通讯作者)，Chinese Acad Sci, State Key Lab Magnet Resonance &amp; Atom &amp; Mol Phys, Wuhan Inst Phys &amp; Math, Wuhan, Hubei, Peoples R China.;Liu, MH (通讯作者)，Chinese Acad Sci, Inst Chem, Beijing, Peoples R China.;Sun, K (通讯作者)，China Inst Atom Energy, Dept Nucl Phys, Neutron Scattering Lab, Beijing, Peoples R China.;Tang, BZ (通讯作者)，Chinese Univ Hong Kong, Shenzhen Inst Aggregate Sci &amp; Technol, Sch Sci &amp; Engn, Shenzhen, Peoples R China.</t>
  </si>
  <si>
    <t>zhuhuajie@hotmail.com; dengf@wipm.ac.cn; liumh@iccas.ac.cn; ksun@ciae.ac.cn; tangbenz@cuhk.edu.cn</t>
  </si>
  <si>
    <t>Ouyang, Guanghui/AAB-4972-2020</t>
  </si>
  <si>
    <t>Ouyang, Guanghui/0000-0002-9605-2723</t>
  </si>
  <si>
    <t>National Scientific Foundation of China (NSFC) [21877025, 21903018]; Key Project of Joint Medicines of Hebei Province from the Committee of Science and Technology of Hebei Province [H2020201029]; Talent Program of Hebei University</t>
  </si>
  <si>
    <t>National Scientific Foundation of China (NSFC)(National Natural Science Foundation of China (NSFC)); Key Project of Joint Medicines of Hebei Province from the Committee of Science and Technology of Hebei Province; Talent Program of Hebei University</t>
  </si>
  <si>
    <t>The authors are grateful for financial support from the National Scientific Foundation of China (NSFC#21877025, 21903018); The Key Project of Joint Medicines of Hebei Province from the Committee of Science and Technology of Hebei Province (#H2020201029); the Talent Program of Hebei University, and the computation support from the HighPerformance Computing Center of Hebei University. X. F. He in the Laboratory of Computer Chemistry of CSS is thanked for CSD database information. W. M. Dai in Department of Chemistry of Hong Kong University of Science and Technology (HKUST) is thanked for discussions on the NMR study. Y. D. Wu in HKUST is thanked for anomeric effect discussions. Laurence Nafie in Syracuse University is thanked for discussions of the partial content and the concept of pseudoresonance structures. P. Taylor in Tianjin University is thanked for discussions of specific parts of this study.</t>
  </si>
  <si>
    <t>AUG 29</t>
  </si>
  <si>
    <t>10.3389/fchem.2022.964615</t>
  </si>
  <si>
    <t>4M8PO</t>
  </si>
  <si>
    <t>WOS:000853582400001</t>
  </si>
  <si>
    <t>Yu, C; Nian, Y; Chen, HH; Liang, SW; Sun, MY; Pei, YH; Wang, HF</t>
  </si>
  <si>
    <t>Yu, Chong; Nian, Yin; Chen, Huanhua; Liang, Shuwen; Sun, Mengyang; Pei, Yuehu; Wang, Haifeng</t>
  </si>
  <si>
    <t>Pyranone Derivatives With Antitumor Activities, From the Endophytic Fungus Phoma sp. YN02-P-3</t>
  </si>
  <si>
    <t>secondary metabolites; plant endophytic fungus; Phoma sp; pyranone derivatives; HL-60 inhibition</t>
  </si>
  <si>
    <t>Two new pyranone derivatives phomapyrone A (2) and phomapyrone B (3), one new coumarin 11S, 13R-(+)-phomacumarin A (1), three known pyranones (4-6), together with three known amide alkaloids fuscoatramides A-C (7-9), as well as 9S, 11R-(+)-ascosalitoxin (10) were isolated from the endophytic fungus Phoma sp. YN02-P-3, which was isolated from the healthy leaf tissue of a Paulownia tree in Yunnan Province, China. Their structures were elucidated using extensive NMR spectroscopic and HRESIMS data and by comparing the information with literature data. In addition, all compounds were tested for their cytotoxicity activity against human tumor cell lines, and the results showed that new compounds 1-3 showed moderate inhibitory activity against the HL-60 cell line with IC50 values of 31.02, 34.62, and 27.90 mu M, respectively.</t>
  </si>
  <si>
    <t>Yu, Chong</t>
  </si>
  <si>
    <t>[Yu, Chong; Chen, Huanhua; Liang, Shuwen; Sun, Mengyang; Pei, Yuehu; Wang, Haifeng] Shenyang Pharmaceut Univ, Sch Tradit Chinese Mat Med, Shenyang, Peoples R China; [Nian, Yin; Wang, Haifeng] Chinese Acad Sci, Kunming Inst Bot, State Key Lab Phytochem &amp; Plant Resources West Chi, Kunming, Peoples R China; [Pei, Yuehu] Harbin Med Univ, Coll Pharm, Dept Med Chem &amp; Nat Med Chem, Harbin, Peoples R China</t>
  </si>
  <si>
    <t>Shenyang Pharmaceutical University; Chinese Academy of Sciences; Kunming Institute of Botany, CAS; Harbin Medical University</t>
  </si>
  <si>
    <t>Wang, HF (通讯作者)，Shenyang Pharmaceut Univ, Sch Tradit Chinese Mat Med, Shenyang, Peoples R China.;Wang, HF (通讯作者)，Chinese Acad Sci, Kunming Inst Bot, State Key Lab Phytochem &amp; Plant Resources West Chi, Kunming, Peoples R China.</t>
  </si>
  <si>
    <t>wanghaifeng0310@163.com</t>
  </si>
  <si>
    <t>Fund of State Key Laboratory of Phytochemistry and Plant Resources in West China [P2022-KF07]; Liaoning Provincial Department of Education [2019LJC12]; Plan for Young and Middle-aged Teachers in Shenyang Pharmaceutical University [ZQN2019001]; Science Foundation of Shenyang Pharmaceutical University [GGJJ2021108]</t>
  </si>
  <si>
    <t>Fund of State Key Laboratory of Phytochemistry and Plant Resources in West China; Liaoning Provincial Department of Education; Plan for Young and Middle-aged Teachers in Shenyang Pharmaceutical University; Science Foundation of Shenyang Pharmaceutical University</t>
  </si>
  <si>
    <t>The project was supported by the Fund of State Key Laboratory of Phytochemistry and Plant Resources in West China (Grant number P2022-KF07). The work was financially supported by a scientific research funding project of the Liaoning Provincial Department of Education. (Grant number 2019LJC12) and Plan for Young and Middle-aged Teachers in Shenyang Pharmaceutical University (grant number ZQN2019001) and Science Foundation of Shenyang Pharmaceutical University (grant number GGJJ2021108).</t>
  </si>
  <si>
    <t>10.3389/fchem.2022.950726</t>
  </si>
  <si>
    <t>3E0DV</t>
  </si>
  <si>
    <t>WOS:000829663900001</t>
  </si>
  <si>
    <t>Wan, SJ; Ren, HG; Jiang, JM; Xu, G; Xu, Y; Chen, SM; Chen, G; Zheng, D; Yuan, M; Zhang, H; Xu, HX</t>
  </si>
  <si>
    <t>Wan, Shi-Jie; Ren, Han-Gui; Jiang, Jia-Ming; Xu, Gang; Xu, Yu; Chen, Si-Min; Chen, Gan; Zheng, Dan; Yuan, Man; Zhang, Hong; Xu, Hong-Xi</t>
  </si>
  <si>
    <t>Two Novel Phenylpropanoid Trimers From Ligusticum chuanxiong Hort With Inhibitory Activities on Alpha-Hemolysin Secreted by Staphylococcus aureus</t>
  </si>
  <si>
    <t>Staphylococcus aureus; alpha-hemolysin; Ligusticum chuanxiong Hort; lignan; anti-virulence</t>
  </si>
  <si>
    <t>VIRULENCE; DERIVATIVES; DISCOVERY; TOXIN</t>
  </si>
  <si>
    <t>The emergence of antibiotic resistance in Staphylococcus aureus has necessitated the development of innovative anti-infective agents acting on novel targets. Alpha-hemolysin (Hla), a key virulence factor of S. aureus, is known to cause various cell damage and death. In this study, with bioassay-guided fractionation, a pair of unusual epimeric lignan trimers, ligustchuanes A and B (1 and 2), were isolated from the rhizomes of Ligusticum chuanxiong Hort, together with two known phthalides being identified by UPLC-QTOF-MS. To the best of our knowledge, trimers with rare C8-C9-type neolignan and ferulic acid fragments have not been identified in any natural product. Both of them were isolated as racemic mixtures, and their absolute configurations were determined by comparing experimental and calculated ECD spectra after enantioseparation. Ligustchuane B exhibited an outstanding inhibitory effect on alpha-hemolysin expression in both MRSA USA300 LAC and MSSA Newman strains at concentrations of 3 and 6 mu M, respectively. Notably, a mouse model of infection further demonstrated that ligustchuane B could attenuate MRSA virulence in vivo.</t>
  </si>
  <si>
    <t>Wan, Shi-Jie</t>
  </si>
  <si>
    <t>[Wan, Shi-Jie; Ren, Han-Gui; Jiang, Jia-Ming; Xu, Yu; Chen, Si-Min; Chen, Gan; Yuan, Man; Zhang, Hong; Xu, Hong-Xi] Shanghai Univ Tradit Chinese Med, Sch Pharm, Shanghai, Peoples R China; [Wan, Shi-Jie; Ren, Han-Gui; Jiang, Jia-Ming; Xu, Yu; Chen, Si-Min; Chen, Gan; Yuan, Man; Zhang, Hong; Xu, Hong-Xi] Shanghai Coll TCM New Drug Discovery, Engn Res Ctr, Shanghai, Peoples R China; [Wan, Shi-Jie; Xu, Gang] Chinese Acad Sci, Kunming Inst Bot, State Key Lab Phytochem &amp; Plant Resources West Ch, Kunming, Yunnan, Peoples R China; [Zheng, Dan] Shanghai Jiao Tong Univ, Affiliated PeopleS Hosp 6, Ctr Translat Med, Shanghai, Peoples R China; [Zheng, Dan] Shanghai Jiao Tong Univ, Affiliated PeopleS Hosp 6, Shanghai Key Lab Diabet Mellitus, Shanghai, Peoples R China; [Xu, Hong-Xi] Shanghai Univ Tradit Chinese Med, Shuguang Hosp, Shanghai, Peoples R China</t>
  </si>
  <si>
    <t>Shanghai University of Traditional Chinese Medicine; Chinese Academy of Sciences; Kunming Institute of Botany, CAS; Shanghai Jiao Tong University; Shanghai Jiao Tong University; Shanghai University of Traditional Chinese Medicine</t>
  </si>
  <si>
    <t>Zhang, H; Xu, HX (通讯作者)，Shanghai Univ Tradit Chinese Med, Sch Pharm, Shanghai, Peoples R China.;Zhang, H; Xu, HX (通讯作者)，Shanghai Coll TCM New Drug Discovery, Engn Res Ctr, Shanghai, Peoples R China.;Xu, HX (通讯作者)，Shanghai Univ Tradit Chinese Med, Shuguang Hosp, Shanghai, Peoples R China.</t>
  </si>
  <si>
    <t>zhnjau19851010@163.com; xuhongxi88@gmail.com</t>
  </si>
  <si>
    <t>xu, hong/GSD-8903-2022</t>
  </si>
  <si>
    <t>National Major Scientific and Technological Special Project for Significant New Drugs Development [2019ZX09301-140]; National Natural Science Foundation of China [81973438]; NSFCJoint Foundation of Yunnan Province [U1902213]; Key-Area Research and Development Program of Guangdong Province [2020B1111110003]; Xinglin Talent Tracking Program</t>
  </si>
  <si>
    <t>National Major Scientific and Technological Special Project for Significant New Drugs Development; National Natural Science Foundation of China(National Natural Science Foundation of China (NSFC)); NSFCJoint Foundation of Yunnan Province; Key-Area Research and Development Program of Guangdong Province; Xinglin Talent Tracking Program</t>
  </si>
  <si>
    <t>This research was supported by the National Major Scientific and Technological Special Project for Significant New Drugs Development (2019ZX09301-140), the National Natural Science Foundation of China (No. 81973438), the NSFCJoint Foundation of Yunnan Province (No. U1902213), the Key-Area Research and Development Program of Guangdong Province (2020B1111110003), the Xinglin Talent Tracking Program (HZ).</t>
  </si>
  <si>
    <t>MAR 30</t>
  </si>
  <si>
    <t>10.3389/fchem.2022.877469</t>
  </si>
  <si>
    <t>2R8BO</t>
  </si>
  <si>
    <t>WOS:000821331400001</t>
  </si>
  <si>
    <t>Hu, XY; Liu, C; Wang, KC; Zhao, LX; Qiu, Y; Chen, HZ; Hu, JM; Xu, JR</t>
  </si>
  <si>
    <t>Hu, Xiaoyu; Liu, Chan; Wang, Kaichun; Zhao, Lanxue; Qiu, Yu; Chen, Hongzhuan; Hu, Jiangmiao; Xu, Jianrong</t>
  </si>
  <si>
    <t>Multifunctional Anti-Alzheimer's Disease Effects of Natural Xanthone Derivatives: A Primary Structure-Activity Evaluation</t>
  </si>
  <si>
    <t>alpha-mangostin; Alzheimer's disease; multifunctional; structure-activity; neuroinflammation; amyloid beta</t>
  </si>
  <si>
    <t>BETA-AMYLOID PEPTIDES; BLOOD-BRAIN-BARRIER; CENTRAL-NERVOUS-SYSTEM; ALPHA-MANGOSTIN; MICROGLIA; OLIGOMERS; AGGREGATION; MODULATION; PRODUCTS; DESIGN</t>
  </si>
  <si>
    <t>Background: A series of alpha-Mangostin (alpha-M) derivatives were designed and synthesized. alpha-M and four analogues were evaluated for their multifunctional anti-Alzheimer's disease (anti-AD) effects on fibrillogenesis, microglial uptake, microglial degradation, and anti-neurotoxicity of A beta, as well as LPS-induced neuroinflammation. The differences in bioactivities were analyzed to understand the structure-activity relationship for further modifications. Purpose: This study aims to investigate the anti-AD effects of alpha-M and elucidate its structure-activity relationship by comparing difference between alpha-M and several analogues. Methods: A beta fibrillogenesis was detected by Thioflavin T fluorometric assay. The levels of A beta(1-42) and inflammatory cytokines were evaluated by enzyme-linked immunosorbent assay. Neuron viability was examined by the CCK-8 assay. The morphology of ZO-1 of bEnd.3 cultured in BV-2-conditioned medium was evaluated by immunofluorescence staining. Results: A beta fibrillogenesis was significantly inhibited by co-incubation with alpha-M, Zcbd-2 or Zcbd-3. alpha-M, Zcbd-2, Zcbd-3, and Zcbd-4 decreased the levels of A beta(1-42) and inflammatory cytokines, and promoted A beta uptake, degradation and anti-inflammation effects inflammation in microglia. alpha-M and Zcbd-3 protected neuron viability from A beta-induced neurotoxicity, and preserved tight junction integrity of bEnd.3 against LPS-induced neuroinflammation. Conclusion: Zcbd-3 acted as alpha-M almost in all effects. The structure-activity analysis indicated that the 3-methyl-2-butenyl group at C-8 is essential for the bioactivity of alpha-M, while modifying the double hydroxylation at the C-2 position may improve the multifunctional anti-AD effects.</t>
  </si>
  <si>
    <t>Hu, Xiaoyu</t>
  </si>
  <si>
    <t>[Hu, Xiaoyu; Wang, Kaichun; Xu, Jianrong] Shanghai Univ Tradit Chinese Med, Acad Integrat Med, Shanghai, Peoples R China; [Hu, Xiaoyu; Liu, Chan; Zhao, Lanxue; Qiu, Yu; Xu, Jianrong] Shanghai Jiao Tong Univ, Dept Pharmacol &amp; Chem Biol, Sch Med, Shanghai, Peoples R China; [Liu, Chan] Zunyi Med Univ, Joint Int Res Lab Ethnomedicine, Key Lab Basic Pharmacol Minist Educ, Minist Educ, Zunyi, Peoples R China; [Wang, Kaichun; Chen, Hongzhuan] Shanghai Univ Tradit Chinese Med, Inst Interdisciplinary Integrat Med Res, Shanghai, Peoples R China; [Hu, Jiangmiao] Chinese Acad Sci, Kunming Inst Bot, State Key Lab Phytochemistry &amp; Plant Resources Wes, Kunming, Peoples R China</t>
  </si>
  <si>
    <t>Shanghai University of Traditional Chinese Medicine; Shanghai Jiao Tong University; Zunyi Medical University; Shanghai University of Traditional Chinese Medicine; Chinese Academy of Sciences; Kunming Institute of Botany, CAS</t>
  </si>
  <si>
    <t>Xu, JR (通讯作者)，Shanghai Univ Tradit Chinese Med, Acad Integrat Med, Shanghai, Peoples R China.;Xu, JR (通讯作者)，Shanghai Jiao Tong Univ, Dept Pharmacol &amp; Chem Biol, Sch Med, Shanghai, Peoples R China.;Hu, JM (通讯作者)，Chinese Acad Sci, Kunming Inst Bot, State Key Lab Phytochemistry &amp; Plant Resources Wes, Kunming, Peoples R China.</t>
  </si>
  <si>
    <t>hujiangmiao@mail.kib.ac.cn; janker.xu@gmail.com</t>
  </si>
  <si>
    <t>National Natural Science Foundation of China [81803499, 81872841, 82073836, 82173798]; Special item of Clinical Research on Health Industry of Shanghai Health and Health Committee [20194Y0056]</t>
  </si>
  <si>
    <t>National Natural Science Foundation of China(National Natural Science Foundation of China (NSFC)); Special item of Clinical Research on Health Industry of Shanghai Health and Health Committee</t>
  </si>
  <si>
    <t>This work was supported by the National Natural Science Foundation of China (82173798 to JX, 81872841 &amp; 82073836 to HC), National Natural Science Foundation of China (81803499 to LZ), and Special item of Clinical Research on Health Industry of Shanghai Health and Health Committee (20194Y0056 to LZ).</t>
  </si>
  <si>
    <t>MAY 11</t>
  </si>
  <si>
    <t>10.3389/fchem.2022.842208</t>
  </si>
  <si>
    <t>1T8MQ</t>
  </si>
  <si>
    <t>WOS:000804980400001</t>
  </si>
  <si>
    <t>Tang, J; Huang, XS; Cao, MH; Wang, ZY; Yu, ZY; Yan, YJ; Huang, JP; Wang, L; Huang, SX</t>
  </si>
  <si>
    <t>Tang, Jun; Huang, Xueshuang; Cao, Ming-Hang; Wang, Zhiyan; Yu, Zhiyin; Yan, Yijun; Huang, Jian-Ping; Wang, Li; Huang, Sheng-Xiong</t>
  </si>
  <si>
    <t>Mono-/Bis-Alkenoic Acid Derivatives From an Endophytic Fungus Scopulariopsis candelabrum and Their Antifungal Activity</t>
  </si>
  <si>
    <t>Alkenoic acid derivatives; polyketides; Microascaceae; Scopulariopsis candelabrum; antifungal activity; Candida albicans</t>
  </si>
  <si>
    <t>COENZYME-A SYNTHASE; 3-HYDROXY-3-METHYLGLUTARYL COENZYME; NATURAL-PRODUCTS; CHOLESTEROL-BIOSYNTHESIS; ABSOLUTE-CONFIGURATION; ANTIBIOTIC 1233A; INHIBITION; BINDING; F-244</t>
  </si>
  <si>
    <t>During a screening for antifungal secondary metabolites, six new mono-/bis-alkenoic acid derivatives (2-7) and one known alkenoic acid derivative (1) were isolated from an endophytic fungi Scopulariopsis candelabrum. Their chemical structures were identified by H-1-NMR, C-13-NMR, 2D NMR, and high-resolution mass spectrometry, as well as comparisons with previously reported literatures. Among them, fusariumesters C-F (2-5) are bis-alkenoic acid derivatives dimerized by an ester bond, while acetylfusaridioic acid A (6) and fusaridioic acid D (7) are alkenoic acid monomers. All the isolates were submitted to an antifungal assay against Candida albicans and the corn pathogen Exserohilum turcicum using the filter paper agar diffusion method. As a result, only compound 1 decorating with beta-lactone ring turned out to be active against these two tested fungi. The broth microdilution assay against Candida albicans showed the minimum inhibitory concentration (MIC) value of 1 to be 20 mu g/ml, while the minimum inhibitory concentration value of the positive control (naystatin) was 10 mu g/ml. And the half maximal inhibitory concentration (IC50) value (21.23 mu g/ml) of 1 against Exserohilum turcicum was determined by analyzing its inhibition effect on the mycelial growth, using cycloheximide (IC50 = 46.70 mu g/ml) as the positive control.</t>
  </si>
  <si>
    <t>Tang, Jun</t>
  </si>
  <si>
    <t>[Tang, Jun; Cao, Ming-Hang; Wang, Zhiyan; Yan, Yijun; Wang, Li; Huang, Sheng-Xiong] Kunming Inst Bot, CAS Ctr Excellence Mol Plant Sci, Chinese Acad Sci, State Key Lab Phytochem &amp; Plant Resources West Ch, Kunming, Yunnan, Peoples R China; [Tang, Jun; Huang, Xueshuang; Huang, Sheng-Xiong] Hunan Univ Med, Hunan Prov Key Lab Synthet Biol Tradit Chinese Me, Huaihua, Peoples R China; [Tang, Jun; Wang, Zhiyan] Univ Chinese Acad Sci, Savaid Med Sch, Beijing, Peoples R China; [Yu, Zhiyin; Huang, Jian-Ping; Wang, Li] Chengdu Univ Tradit Chinese Med, Innovat Inst Chinese Med &amp; Pharm, State Key Lab Southwestern Chinese Med Resources, Chengdu, Peoples R China</t>
  </si>
  <si>
    <t>Chinese Academy of Sciences; Kunming Institute of Botany, CAS; Chinese Academy of Sciences; University of Chinese Academy of Sciences, CAS; Chengdu University of Traditional Chinese Medicine</t>
  </si>
  <si>
    <t>Wang, L; Huang, SX (通讯作者)，Kunming Inst Bot, CAS Ctr Excellence Mol Plant Sci, Chinese Acad Sci, State Key Lab Phytochem &amp; Plant Resources West Ch, Kunming, Yunnan, Peoples R China.;Huang, SX (通讯作者)，Hunan Univ Med, Hunan Prov Key Lab Synthet Biol Tradit Chinese Me, Huaihua, Peoples R China.;Wang, L (通讯作者)，Chengdu Univ Tradit Chinese Med, Innovat Inst Chinese Med &amp; Pharm, State Key Lab Southwestern Chinese Med Resources, Chengdu, Peoples R China.</t>
  </si>
  <si>
    <t>liwangcyy@cdutcm.edu.cn; sxhuang@mail.kib.ac.cn</t>
  </si>
  <si>
    <t>National Natural Science Foundation of China [21977100, 32000239]; Yunnan Provincial Science and Technology Department [2019FJ007, 2019FA034, 202101AU070066]; Biological Resources Program of Chinese Academy of Sciences</t>
  </si>
  <si>
    <t>National Natural Science Foundation of China(National Natural Science Foundation of China (NSFC)); Yunnan Provincial Science and Technology Department; Biological Resources Program of Chinese Academy of Sciences</t>
  </si>
  <si>
    <t>This research was funded by National Natural Science Foundation of China (Nos. 21977100 and 32000239), Yunnan Provincial Science and Technology Department (Nos. 2019FJ007, 2019FA034, and 202101AU070066), and Biological Resources Program of Chinese Academy of Sciences (No.KFJ-BRP-009).</t>
  </si>
  <si>
    <t>10.3389/fchem.2021.812564</t>
  </si>
  <si>
    <t>YO6GN</t>
  </si>
  <si>
    <t>WOS:000748037600001</t>
  </si>
  <si>
    <t>Yang, N; Li, XX; Liu, D; Zhang, Y; Chen, YH; Wang, B; Hua, JN; Zhang, JB; Peng, SL; Ge, ZW; Li, JJ; Ruan, HH; Mao, LF</t>
  </si>
  <si>
    <t>Yang, Nan; Li, Xiuxiu; Liu, Dong; Zhang, Yan; Chen, Yuheng; Wang, Bo; Hua, Jiani; Zhang, Jiangbao; Peng, Sili; Ge, Zhiwei; Li, Jingji; Ruan, Honghua; Mao, Lingfeng</t>
  </si>
  <si>
    <t>Diversity patterns and drivers of soil bacterial and fungal communities along elevational gradients in the Southern Himalayas, China</t>
  </si>
  <si>
    <t>APPLIED SOIL ECOLOGY</t>
  </si>
  <si>
    <t>Soil microbial community; Plant diversity; Edaphic properties; High -throughput sequencing</t>
  </si>
  <si>
    <t>MULTIPLE SEQUENCE ALIGNMENT; MICROBIAL COMMUNITIES; NITROGEN DEPOSITION; ALTITUDE GRADIENT; SPECIES RICHNESS; CARBON; ECTOMYCORRHIZAL; BIOMASS; IDENTIFICATION; AVAILABILITY</t>
  </si>
  <si>
    <t>Elucidating the diversity patterns and drivers of soil microbes at high altitudes contributes to understanding the role microbes play in ecosystem services, but little is known about the soil microbial diversity, richness and abundance patterns across elevations on the Tibetan Plateau. This study was conducted to explore the shifts of forest soil bacterial and fungal community diversities and the regulating factors along an elevation gradient (2980-4050 m a.s.l.) in the Southern Himalayas of China. Illumina sequencing of 16S rRNA and ITS1, and quantitative real-time PCR were used to determine soil bacterial and fungal communities, coupled with plant diversity survey and edaphic properties analysis. The results revealed that plant alpha-diversity reached the highest level at an elevation of 3255 m and subsequently decreased with higher elevations; while soil bacterial alpha-diversity and fungal richness reached the lowest at 3590 m and 3772 m respectively, then increased with higher elevations; soil microbial abundance decreased with increasing elevation. The soil pH was the main driver of the elevation-related soil bacterial richness, diversity, and abundance. Soil nutrients contributed most to the fungal richness, diversity, and abundance. The total phosphorus content was the optimal predictor of fungal richness and abundance, while nitrate levels determined the fungal diversity. The community structures of bacteria and fungi differed significantly among elevations (Pbacteria = 0.001, Pfungi = 0.001). The elevation and edaphic properties (including the contents of soil organic matter and pH) controlled the elevation patterns of soil bacterial community structures and explained 56.1 % of the total variation. In contrast, edaphic properties (including SOC, TP and pH) primarily shaped the elevation patterns of soil fungal community structures and explained 38.7 % of the total variation. This study provides comprehensive insights into soil microbial geography associated with the biogeochemical cycling on the Tibetan Plateau.</t>
  </si>
  <si>
    <t>[Yang, Nan; Li, Xiuxiu; Zhang, Yan; Chen, Yuheng; Wang, Bo; Hua, Jiani; Zhang, Jiangbao; Peng, Sili; Ge, Zhiwei; Ruan, Honghua; Mao, Lingfeng] Nanjing Forestry Univ, Coll Biol &amp; Environm, Coinnovat Ctr Sustainable Forestry Southern China, 159 Longpan Rd, Nanjing 210037, Jiangsu, Peoples R China; [Liu, Dong] Chinese Acad Sci, Kunming Inst Bot, Yunnan Key Lab Fungal Divers &amp; Green Dev, Germplasm Bank Wild Species, Kunming 650201, Yunnan, Peoples R China; [Li, Jingji] Chengdu Univ Technol, Inst Ecol Resources &amp; Landscape Architecture, Chengdu 610059, Sichuan, Peoples R China</t>
  </si>
  <si>
    <t>Nanjing Forestry University; Chinese Academy of Sciences; Kunming Institute of Botany, CAS; Chengdu University of Technology</t>
  </si>
  <si>
    <t>Mao, LF (通讯作者)，Nanjing Forestry Univ, Coll Biol &amp; Environm, Coinnovat Ctr Sustainable Forestry Southern China, 159 Longpan Rd, Nanjing 210037, Jiangsu, Peoples R China.</t>
  </si>
  <si>
    <t>maolingfeng2008@163.com</t>
  </si>
  <si>
    <t>Yang, Nan/0000-0002-9176-334X; chen, yuheng/0000-0003-0677-7470</t>
  </si>
  <si>
    <t>Strategic Priority Research Program of the Chinese Academy of Sciences [XDB31000000]; Natural Science Foundation of China [31870506, 41907029, 32071594]; Natural Science Foundation of Jiangsu Province [BK20181398, BK20180767]</t>
  </si>
  <si>
    <t>Strategic Priority Research Program of the Chinese Academy of Sciences(Chinese Academy of Sciences); Natural Science Foundation of China(National Natural Science Foundation of China (NSFC)); Natural Science Foundation of Jiangsu Province(Natural Science Foundation of Jiangsu Province)</t>
  </si>
  <si>
    <t>We thank the supports from the Strategic Priority Research Program of the Chinese Academy of Sciences (No. XDB31000000) , the Natural Science Foundation of China (No. 31870506, 41907029, 32071594) , and the Natural Science Foundation of Jiangsu Province (No. BK20181398, BK20180767) .</t>
  </si>
  <si>
    <t>0929-1393</t>
  </si>
  <si>
    <t>1873-0272</t>
  </si>
  <si>
    <t>APPL SOIL ECOL</t>
  </si>
  <si>
    <t>Appl. Soil Ecol.</t>
  </si>
  <si>
    <t>10.1016/j.apsoil.2022.104563</t>
  </si>
  <si>
    <t>3M7TJ</t>
  </si>
  <si>
    <t>WOS:000835659700002</t>
  </si>
  <si>
    <t>Zhou, ZK; Liu, J; Chen, LL; Spicer, RA; Li, SF; Huang, J; Zhang, ST; Huang, YJ; Jia, LB; Hu, JJ; Su, T</t>
  </si>
  <si>
    <t>Zhou, Zhekun; Liu, Jia; Chen, Linlin; Spicer, Robert A.; Li, Shufeng; Huang, Jian; Zhang, Shitao; Huang, Yongjiang; Jia, Linbo; Hu, Jinjin; Su, Tao</t>
  </si>
  <si>
    <t>Cenozoic plants from Tibet: An extraordinary decade of discovery, understanding and implications</t>
  </si>
  <si>
    <t>SCIENCE CHINA-EARTH SCIENCES</t>
  </si>
  <si>
    <t>Tibetan Plateau; Cenozoic; Paleobotany; Flora; Central valley; Biodiversity</t>
  </si>
  <si>
    <t>1ST FOSSIL RECORD; CEDRELOSPERMUM ULMACEAE; LATE-EOCENE; UPLIFT HISTORY; UPPER MIOCENE; PLATEAU; PALEOCENE; BASIN; OLIGOCENE; DIVERSITY</t>
  </si>
  <si>
    <t>Plant fossils play an important role in understanding landscape evolution across the Tibetan Region, as well as plant diversity across wider eastern Asia. Within the last decade or so, paleobotanical investigations within the Tibet Region have led to a paradigm shift in our understanding of how the present plateau formed and how this affected the regional climate and biota This is because: (1) Numerous new taxa have been reported. Of all the Cenozoic records of new plant fossil species reported from the Tibet (Xizang) Autonomous Region 45 out of 63 (70%) were documented after 2010. Among these, many represent the earliest records from Asia, or in some cases worldwide, at the genus or family level. (2) These fossils show that during the Paleogene, the region now occupied by the Tibetan Plateau was a globally significant floristic exchange hub. Based on paleobiogeographic studies, grounded by fossil evidence, there are four models of regional floristic migration and exchange, i.e., into Tibet, out of Tibet, out of India and into/out of Africa. (3) Plant fossils evidence the asynchronous formation histories for different parts of the Tibetan Plateau. During most of the Paleogene, there was a wide east-west trending valley with a subtropical climate in central Tibet bounded by high (&gt;4 km) mountain systems, but that by the early Oligocene the modern high plateau had begun to form by the rise of the valley floor. Paleoelevation reconstructions using radiometrically-dated plant fossil assemblages in southeastern Tibet show that by the earliest Oligocene southeastern Tibet (including the Hengduan Mountains) had reached its present elevation. (4) The coevolution between vegetation, landform and paleoenvironment is evidenced by fossil records from what is now the central Tibetan Plateau. From the Paleocene to Pliocene, plant diversity transformed from that of tropical, to subtropical forests, through warm to cool temperate woodland and eventually to deciduous shrubland in response to landscape evolution from a seasonally humid lowland valley, to a high and dry plateau. (5) Advanced multidisciplinary technologies and novel ideas applied to paleobotanical material and paleoenvironmental reconstructions, e.g., fluorescence microscopy and paleoclimatic models, have been essential for interpreting Cenozoic floras on the Tibetan Region. However, despite significant progress investigating Cenozoic floras of the Tibetan Region, fossil records across this large region remain sparse, and for a better understanding of regional ecosystem dynamics and management more paleobotanical discoveries and multidisciplinary studies are required.</t>
  </si>
  <si>
    <t>Zhou, Zhekun</t>
  </si>
  <si>
    <t>[Zhou, Zhekun; Liu, Jia; Chen, Linlin; Spicer, Robert A.; Li, Shufeng; Huang, Jian; Su, Tao] Chinese Acad Sci, CAS Key Lab Trop Forest Ecol, Xishuangbanna Trop Bot Garden, Mengla 666303, Peoples R China; [Zhou, Zhekun; Huang, Yongjiang; Jia, Linbo; Hu, Jinjin] Chinese Acad Sci, Kunming Inst Bot, CAS Key Lab Plant Divers &amp; Biogeog East Asia, Kunming 650204, Yunnan, Peoples R China; [Spicer, Robert A.] Open Univ, Sch Environm Earth &amp; Ecosyst Sci, Milton Keynes MK7 6AA, Bucks, England; [Zhang, Shitao] Kunming Univ Sci &amp; Technol, Fac Land Resource Engn, Kunming 650093, Yunnan, Peoples R China; [Zhou, Zhekun; Liu, Jia] Chinese Acad Sci, Nanjing Inst Geol &amp; Paleontol, State Key Lab Paleobiol &amp; Stratig, Nanjing 210008, Peoples R China</t>
  </si>
  <si>
    <t>Chinese Academy of Sciences; Xishuangbanna Tropical Botanical Garden, CAS; Chinese Academy of Sciences; Kunming Institute of Botany, CAS; Open University - UK; Kunming University of Science &amp; Technology; Chinese Academy of Sciences; Nanjing Institute of Geology &amp; Paleontology, CAS</t>
  </si>
  <si>
    <t>Zhou, ZK; Su, T (通讯作者)，Chinese Acad Sci, CAS Key Lab Trop Forest Ecol, Xishuangbanna Trop Bot Garden, Mengla 666303, Peoples R China.;Zhou, ZK (通讯作者)，Chinese Acad Sci, Kunming Inst Bot, CAS Key Lab Plant Divers &amp; Biogeog East Asia, Kunming 650204, Yunnan, Peoples R China.;Zhou, ZK (通讯作者)，Chinese Acad Sci, Nanjing Inst Geol &amp; Paleontol, State Key Lab Paleobiol &amp; Stratig, Nanjing 210008, Peoples R China.</t>
  </si>
  <si>
    <t>zhouzk@xtbg.ac.cn; sutao@xtbg.org.cn</t>
  </si>
  <si>
    <t>Zhou, Zhekun/G-5281-2011</t>
  </si>
  <si>
    <t>Zhou, Zhekun/0000-0002-0710-2128</t>
  </si>
  <si>
    <t>Second Tibetan Plateau Scientific Expedition and Research [2019QZKK0705]; Strategic Priority Research Program of CAS [XDA20070301]; National Natural Science Foundation of China [42002020, 42072024, 41988101, 41922010]; National Natural Science Foundation of China-Natural Environment Research Council of the United Kingdom joint research program [41661134049, NE/P013805/1]; Foundation of the State Key Laboratory of Paleobiology and Stratigraphy, Nanjing Institute of Geology and Paleontology, Chinese Academy of Sciences [203127, 193117]; West Light Project [2020000023]</t>
  </si>
  <si>
    <t>Second Tibetan Plateau Scientific Expedition and Research; Strategic Priority Research Program of CAS; National Natural Science Foundation of China(National Natural Science Foundation of China (NSFC)); National Natural Science Foundation of China-Natural Environment Research Council of the United Kingdom joint research program; Foundation of the State Key Laboratory of Paleobiology and Stratigraphy, Nanjing Institute of Geology and Paleontology, Chinese Academy of Sciences(Chinese Academy of Sciences); West Light Project</t>
  </si>
  <si>
    <t>We would like to thank the three anonymous reviewers for their careful review of the manuscript and their constructive comments, which greatly improved the quality of the manuscript. Paleontology is a science based on discovery, and without the discovery of plant fossils, there would be no progress in paleobotany. Thanks to our colleagues who discovered and collected fossils on the Qinghai-Tibet an Plateau, as well as the Tibetan compatriots and local government officers who helped us in the field work. Thanks to Alex Boersma for permission to use the image of Ancient Shangri-La. This work was supported by the Second Tibetan Plateau Scientific Expedition and Research (Grant No. 2019QZKK0705), the Strategic Priority Research Program of CAS (Grant No. XDA20070301), the National Natural Science Foundation of China (Grant Nos. 42002020, 42072024, 41988101 and 41922010), the National Natural Science Foundation of China-Natural Environment Research Council of the United Kingdom joint research program (Grant Nos. 41661134049 and NE/P013805/1), the Foundation of the State Key Laboratory of Paleobiology and Stratigraphy, Nanjing Institute of Geology and Paleontology, Chinese Academy of Sciences (Grant Nos. 203127 and 193117), and the West Light Project (Grant No. 2020000023).</t>
  </si>
  <si>
    <t>1674-7313</t>
  </si>
  <si>
    <t>1869-1897</t>
  </si>
  <si>
    <t>SCI CHINA EARTH SCI</t>
  </si>
  <si>
    <t>Sci. China-Earth Sci.</t>
  </si>
  <si>
    <t>10.1007/s11430-022-9980-9</t>
  </si>
  <si>
    <t>5V7NU</t>
  </si>
  <si>
    <t>WOS:000877413700001</t>
  </si>
  <si>
    <t>Zhao, JG; Li, SF; Farnsworth, A; Valdes, PJ; Reichgelt, T; Chen, LL; Zhou, ZK; Su, T</t>
  </si>
  <si>
    <t>Zhao, Jiagang; Li, Shufeng; Farnsworth, Alexander; Valdes, Paul J.; Reichgelt, Tammo; Chen, Linlin; Zhou, Zhekun; Su, Tao</t>
  </si>
  <si>
    <t>The Paleogene to Neogene climate evolution and driving factors on the Qinghai-Tibetan Plateau</t>
  </si>
  <si>
    <t>Qinghai-Tibetan Plateau; Cenozoic; Paleoclimate; Plant fossil; Climate modelling</t>
  </si>
  <si>
    <t>LUNPOLA BASIN; EURASIAN CLIMATE; SEAWATER RETREAT; SOUTHERN TIBET; ASIAN MONSOONS; NORTH-AMERICA; TARIM BASIN; ZANDA BASIN; EOCENE; UPLIFT</t>
  </si>
  <si>
    <t>The growth of the Qinghai-Tibetan Plateau (QTP) during the Cenozoic drove dramatic climate and environmental change in this region. However, there has been limited comprehensive research into evolution of climate during this interval. Here we present a quantitative reconstruction using Bioclimatic Analysis (BA) and Joint Probability Density Functions (JPDFs) based on data available for 48 fossil floras, including macrofossils and palynological fossils collected in the QTP area from the Paleogene to Neogene (66-2.58 Ma). Both methods indicate that there was an overall decline in temperature and precipitation. Paleoclimatic simulations using Hadley Centre Coupled Model version3 (HadCM3) show that the most prominent climate change was very likely driven by QTP orographic evolution from the late Eocene, which was accompanied by a shift in temperature from a latitudinal distribution to a topographically controlled pattern. In addition, with the growth of the QTP, temperature and precipitation decreased gradually in the northeastern part of the plateau. Different sources of evidence, including plant fossil records, climate simulations and other proxies, indicate that the topographic evolution of the QTP and other geological events, in conjunction with global cooling, may have been the main factors driving climate change in this region. This research can provide insights into Cenozoic environmental change and ecosystem evolution.</t>
  </si>
  <si>
    <t>Zhao, Jiagang</t>
  </si>
  <si>
    <t>[Zhao, Jiagang; Li, Shufeng; Chen, Linlin; Zhou, Zhekun; Su, Tao] Chinese Acad Sci, CAS Key Lab Trop Forest Ecol, Xishuangbanna Trop Bot Garden, Mengla 666303, Peoples R China; [Zhao, Jiagang] Univ Chinese Acad Sci, Beijing 100049, Peoples R China; [Li, Shufeng; Su, Tao] Chinese Acad Sci, Ctr Plant Ecol, Core Bot Gardens, Mengla 666303, Peoples R China; [Farnsworth, Alexander; Valdes, Paul J.] Univ Bristol, Sch Geog Sci, Bristol BS8 1SS, Avon, England; [Reichgelt, Tammo] Univ Connecticut, Dept Geosci, Storrs, CT 06269 USA; [Zhou, Zhekun] Chinese Acad Sci, Kunming Inst Bot, CAS Key Lab Plant Divers &amp; Biogeog East Asia, Kunming 650204, Yunnan, Peoples R China; [Farnsworth, Alexander] Chinese Acad Sci, Inst Tibetan Plateau Res, State Key Lab Tibetan Plateau Earth Syst Environm, Beijing 100101, Peoples R China</t>
  </si>
  <si>
    <t>Chinese Academy of Sciences; Xishuangbanna Tropical Botanical Garden, CAS; Chinese Academy of Sciences; University of Chinese Academy of Sciences, CAS; Chinese Academy of Sciences; University of Bristol; University of Connecticut; Chinese Academy of Sciences; Kunming Institute of Botany, CAS; Chinese Academy of Sciences; Institute of Tibetan Plateau Research, CAS</t>
  </si>
  <si>
    <t>Li, SF; Su, T (通讯作者)，Chinese Acad Sci, CAS Key Lab Trop Forest Ecol, Xishuangbanna Trop Bot Garden, Mengla 666303, Peoples R China.;Li, SF; Su, T (通讯作者)，Chinese Acad Sci, Ctr Plant Ecol, Core Bot Gardens, Mengla 666303, Peoples R China.</t>
  </si>
  <si>
    <t>lisf@xtbg.org.cn; sutao@xtbg.org.cn</t>
  </si>
  <si>
    <t>Su, Tao/T-4411-2019; Zhou, Zhekun/G-5281-2011</t>
  </si>
  <si>
    <t>Su, Tao/0000-0002-9148-6127; Zhou, Zhekun/0000-0002-0710-2128</t>
  </si>
  <si>
    <t>Basic Science Center for Tibetan Plateau Earth System [41988101]; Yunnan Province Natural Science Foundation [2019FB061]; Second Tibetan Plateau Scientific Expedition and Research Program (STEP) [2019QZKK0705]; Strategic Priority Research Program of the Chinese Academy of Sciences [XDB26000000]; National Natural Science Foundation of China [41772026]</t>
  </si>
  <si>
    <t>Basic Science Center for Tibetan Plateau Earth System; Yunnan Province Natural Science Foundation(Natural Science Foundation of Yunnan Province); Second Tibetan Plateau Scientific Expedition and Research Program (STEP); Strategic Priority Research Program of the Chinese Academy of Sciences(Chinese Academy of Sciences); National Natural Science Foundation of China(National Natural Science Foundation of China (NSFC))</t>
  </si>
  <si>
    <t>We thank all members from the Paleoecology Research Group (PRG) at the Xishuangbanna Tropical Botanical Garden (XTBG) for fossil collecting, Dr. Weiyudong Deng for cartographic advice, and Ping Liu, Jiangbo Meng, Hongyan Zhou, Liuyue Cui, Yajun Gao, Lijuan Cui for helping with data collection. We are also grateful to two reviewers for their constructive advice. This work was supported by the Basic Science Center for Tibetan Plateau Earth System (Grant No. 41988101), the Yunnan Province Natural Science Foundation (Grant No. 2019FB061), the Second Tibetan Plateau Scientific Expedition and Research Program (STEP; Grant No. 2019QZKK0705), the Strategic Priority Research Program of the Chinese Academy of Sciences (Grant No. XDB26000000), and the National Natural Science Foundation of China (Grant No. 41772026).</t>
  </si>
  <si>
    <t>10.1007/s11430-021-9932-2</t>
  </si>
  <si>
    <t>2T5EC</t>
  </si>
  <si>
    <t>WOS:000807920800003</t>
  </si>
  <si>
    <t>Wang, L; Zhou, Z; Huang, JP; Zhang, L; Tuo, X; Yu, ZY; Huang, SX; Liu, Y; Yang, J</t>
  </si>
  <si>
    <t>Wang, Li; Zhou, Zhi; Huang, Jian-Ping; Zhang, Liang; Tuo, Xiaotao; Yu, Zhiyin; Huang, Sheng-Xiong; Liu, Yang; Yang, Jing</t>
  </si>
  <si>
    <t>Strepyrrolins A-E, five pyrrole-sesquiterpene hybrids from Streptomyces sp. KIB 015, revealing a new formation logic of pyrroles by isotope labeling</t>
  </si>
  <si>
    <t>ORGANIC CHEMISTRY FRONTIERS</t>
  </si>
  <si>
    <t>ABSOLUTE-CONFIGURATION; PYRROLOSESQUITERPENES; BIOSYNTHESIS; ELUCIDATION; INHIBITION; RAPAMYCIN</t>
  </si>
  <si>
    <t>Strepyrrolins A-E (1-5), five pyrrole-sesquiterpene hybrids sharing a 1,2,3-trisubstituted cyclopentanol terpene end-group, were isolated from an endophytic Streptomyces sp. KIB 015. Their structures were determined by single-crystal X-ray diffraction and spectroscopic methods. Feeding experiments with several isotope labeling substrates revealed that the terpene moiety in strepyrrolins is biosynthesized via the MEP (methylerythritol phosphate) pathway, and the pyrrole ring is constructed by a new formation logic in nature, using free ammonia and two C3 units like glycerol derivatives as potential substrates. An immunosuppressive screening assay showed that 3 could inhibit T cell proliferation with IC50 values of 1.2 mu M (with anti-CD3/anti-CD28 mAbs stimulation) and 1.5 mu M (with phytohemagglutin stimulation), in the way of inducing T cell cycle arrest in the G(0)/G(1) phase.</t>
  </si>
  <si>
    <t>Wang, Li</t>
  </si>
  <si>
    <t>[Wang, Li; Huang, Jian-Ping; Tuo, Xiaotao; Yu, Zhiyin; Yang, Jing] Chengdu Univ Tradit Chinese Med, State Key Lab Southwestern Chinese Med Resources, P, R China, Chengdu 611137, Peoples R China; [Wang, Li; Huang, Jian-Ping; Tuo, Xiaotao; Yu, Zhiyin; Yang, Jing] Chengdu Univ Tradit Chinese Med, Innovat Inst Chinese Med, Pharm, P, R China, Chengdu 611137, Peoples R China; [Wang, Li; Zhou, Zhi; Huang, Jian-Ping; Zhang, Liang; Tuo, Xiaotao; Huang, Sheng-Xiong; Liu, Yang] Kunming Inst Bot, Chinese Acad Sci, State Key Lab Phytochemistry &amp; Plant Resources Wes, P, R China, Kunming 650201, Peoples R China; [Wang, Li; Zhou, Zhi; Huang, Jian-Ping; Zhang, Liang; Tuo, Xiaotao; Huang, Sheng-Xiong; Yang, Jing] Kunming Inst Bot, Chinese Acad Sci, CAS Ctr Excellence Mol Plant Sci, P, R China, Kunming 650201, Peoples R China; [Zhou, Zhi; Liu, Yang] Chengdu Med Coll, Dept Gastroenterol, Affiliated Hosp 1, Chengdu 610500, Peoples R China; [Zhou, Zhi; Liu, Yang] Chengdu Med Coll, Res Ctr, P, R China, Chengdu 610500, Peoples R China</t>
  </si>
  <si>
    <t>Chengdu University of Traditional Chinese Medicine; Chengdu University of Traditional Chinese Medicine; Chinese Academy of Sciences; Kunming Institute of Botany, CAS; Chinese Academy of Sciences; Kunming Institute of Botany, CAS; Chengdu Medical College; Chengdu Medical College</t>
  </si>
  <si>
    <t>Liu, Y (通讯作者)，Chengdu Med Coll, Dept Gastroenterol, Affiliated Hosp 1, Chengdu 610500, Peoples R China.;Liu, Y (通讯作者)，Chengdu Med Coll, Res Ctr, P, R China, Chengdu 610500, Peoples R China.</t>
  </si>
  <si>
    <t>liuyang@cmc.edu.cn; yangjingc@mail.kib.ac.cn</t>
  </si>
  <si>
    <t>Wang, Li/AAD-1190-2020</t>
  </si>
  <si>
    <t>Wang, Li/0000-0002-7004-4725</t>
  </si>
  <si>
    <t>National Natural Science Foundation of China; Yunnan Provincial Science and Technology Department; Biological Resources Program of Chinese Academy of Sciences; Sichuan Science and Technology Program; China Postdoctoral Science Foundation; Xinglin Scholar Research Promotion Project of Chengdu University of TCM;  [82204242];  [22107014];  [202101AU070066];  [KFJ-BRP-009];  [2022NSFSC0580];  [2022M710497];  [BSH2021013]</t>
  </si>
  <si>
    <t xml:space="preserve">National Natural Science Foundation of China(National Natural Science Foundation of China (NSFC)); Yunnan Provincial Science and Technology Department; Biological Resources Program of Chinese Academy of Sciences; Sichuan Science and Technology Program; China Postdoctoral Science Foundation(China Postdoctoral Science Foundation); Xinglin Scholar Research Promotion Project of Chengdu University of TCM; ; ; ; ; ; ; </t>
  </si>
  <si>
    <t>This research was funded by the National Natural Science Foundation of China (82204242 and 22107014), the Yunnan Provincial Science and Technology Department (202101AU070066), the Biological Resources Program of Chinese Academy of Sciences (KFJ-BRP-009), the Sichuan Science and Technology Program (2022NSFSC0580), the China Postdoctoral Science Foundation (2022M710497), and the Xinglin Scholar Research Promotion Project of Chengdu University of TCM (BSH2021013). The authors are grateful to Dr Xiao-Nian Li in the analytical facilities of Kunming Institute of Botany, Chinese Academy of Sciences, for the measurement and analysis of the X-ray diffraction data.</t>
  </si>
  <si>
    <t>2052-4129</t>
  </si>
  <si>
    <t>ORG CHEM FRONT</t>
  </si>
  <si>
    <t>Org. Chem. Front.</t>
  </si>
  <si>
    <t>10.1039/d2qo01767a</t>
  </si>
  <si>
    <t>7P1LA</t>
  </si>
  <si>
    <t>WOS:000908473900001</t>
  </si>
  <si>
    <t>Zhao, YL; Long, XW; Wu, H; Deng, J</t>
  </si>
  <si>
    <t>Zhao, Yonglong; Long, Xianwen; Wu, Hai; Deng, Jun</t>
  </si>
  <si>
    <t>Recent advances in the total synthesis of cytochalasan natural products using bioinspired strategies</t>
  </si>
  <si>
    <t>ASPERGILLUS-NIVEUS LU-9575; RING-SYSTEM; A-D; FUNGUS; MEROCYTOCHALASANS; ASPOCHALASIN; SKELETON; INHIBITOR; DIMER</t>
  </si>
  <si>
    <t>Cytochalasans are a large class of isoindolone-containing tricyclic fungal secondary metabolites. They have a diverse array of intriguing structures and bioactivities, including nematicidal, anti-inflammatory, and antitumor activities, and therefore, have received a lot of attention from the synthetic community ever since their first member cytochalasin A was initially isolated in 1967. Interest in this class has recently been reignited by the discovery of structurally more complex pentacyclic cytochalasans and merocytochalasans. This review focuses on an overview of recent advances in the bioinspired synthesis of cytochalasans, pentacyclic cytochalasans and merocytochalasans covering from 2016 to 2021.</t>
  </si>
  <si>
    <t>Zhao, Yonglong</t>
  </si>
  <si>
    <t>[Zhao, Yonglong] Guizhou Med Univ, Minist Educ, Sch Pharm, Guiyang 550004, Peoples R China; [Zhao, Yonglong] Guizhou Med Univ, Engn Res Ctr Dev &amp; Applicat Ethn Med &amp; TCM, Minist Educ, Guiyang 550004, Peoples R China; [Long, Xianwen; Wu, Hai; Deng, Jun] Nankai Univ, Coll Chem, State Key Lab &amp; Inst Elementoorgan Chem, Tianjin 300071, Peoples R China; [Wu, Hai] Univ Chinese Acad Sci, Chinese Acad Sci, Kunming Inst Bot, State Key Lab Phytochem &amp; Plant Resources West Ch, Beijing 100049, Peoples R China</t>
  </si>
  <si>
    <t>Guizhou Medical University; Guizhou Medical University; Nankai University; Chinese Academy of Sciences; Kunming Institute of Botany, CAS; University of Chinese Academy of Sciences, CAS</t>
  </si>
  <si>
    <t>Deng, J (通讯作者)，Nankai Univ, Coll Chem, State Key Lab &amp; Inst Elementoorgan Chem, Tianjin 300071, Peoples R China.</t>
  </si>
  <si>
    <t>Deng, Jun/0000-0002-7463-1329; Zhao, Yong-Long/0000-0002-2183-5344</t>
  </si>
  <si>
    <t>National Natural Science Foundation of China [21871278, 22188101, 22061011]; Frontiers Science Center for New Organic Matter, Nankai University [63181206]; Nankai University; CAS Light of West China Program; Key Program of Yunnan Province; Fundamental Research Funds for the Central Universities</t>
  </si>
  <si>
    <t>National Natural Science Foundation of China(National Natural Science Foundation of China (NSFC)); Frontiers Science Center for New Organic Matter, Nankai University; Nankai University; CAS Light of West China Program; Key Program of Yunnan Province; Fundamental Research Funds for the Central Universities(Fundamental Research Funds for the Central Universities)</t>
  </si>
  <si>
    <t>Financial support from the National Natural Science Foundation of China (no. 21871278, 22188101 and 22061011), the Frontiers Science Center for New Organic Matter, Nankai University (grant no. 63181206), the Fundamental Research Funds for the Central Universities and Nankai University, the CAS Light of West China Program, and the Key Program of Yunnan Province is gratefully acknowledged.</t>
  </si>
  <si>
    <t>10.1039/d2qo01223e</t>
  </si>
  <si>
    <t>6U0QK</t>
  </si>
  <si>
    <t>WOS:000864810600001</t>
  </si>
  <si>
    <t>Li, XR; Chen, L; Hu, K; Yan, BC; Du, X; Li, XN; Sun, HD; He, SJ; Puno, PT</t>
  </si>
  <si>
    <t>Li, Xing-Ren; Chen, Li; Hu, Kun; Yan, Bing-Chao; Du, Xue; Li, Xiao-Nian; Sun, Han-Dong; He, Shi-Jun; Puno, Pema-Tenzin</t>
  </si>
  <si>
    <t>Discovery and biological evaluation of dispirocyclic and polycyclic ent-clerodane dimers from Isodon scoparius as novel inhibitors of Toll-like receptor signaling</t>
  </si>
  <si>
    <t>DOUBLE ALDOL REACTION; DITERPENOIDS</t>
  </si>
  <si>
    <t>Scoparicacids A-C (1-3), three novel ent-clerodane dimers with unprecedented dispirocyclic 6/6/5/6/6 and hexacyclic 6/6/5/6/5/6 ring systems, were isolated from Isodon scoparius. A biomimetic synthesis of 3 was achieved using a double aldol reaction to construct a 5/6/5 ring system in one step. 2 and 3 exhibited significant immunosuppression on the proliferation of B lymphocytes evoked by TLR signaling stimulation in a dose-dependent manner and significantly abrogated the downstream pathway of TLR7 signaling in B cells.</t>
  </si>
  <si>
    <t>Li, Xing-Ren</t>
  </si>
  <si>
    <t>[Li, Xing-Ren; Hu, Kun; Yan, Bing-Chao; Du, Xue; Li, Xiao-Nian; Sun, Han-Dong; Puno, Pema-Tenzin] Chinese Acad Sci, Kunming Inst Bot, State Key Lab Phytochem &amp; Plant Resources West Ch, Kunming 650201, Yunnan, Peoples R China; [Li, Xing-Ren; Hu, Kun; Yan, Bing-Chao; Du, Xue; Li, Xiao-Nian; Sun, Han-Dong; Puno, Pema-Tenzin] Chinese Acad Sci, Kunming Inst Bot, Yunnan Key Lab Nat Med Chem, Kunming 650201, Yunnan, Peoples R China; [Chen, Li; He, Shi-Jun] Chinese Acad Sci, Shanghai Inst Mat Med, Lab Immunopharmacol, State Key Lab Drug Res, Shanghai 201203, Peoples R China; [Chen, Li; He, Shi-Jun] Univ Chinese Acad Sci, Beijing 100049, Peoples R China</t>
  </si>
  <si>
    <t>Chinese Academy of Sciences; Kunming Institute of Botany, CAS; Chinese Academy of Sciences; Kunming Institute of Botany, CAS; Chinese Academy of Sciences; Shanghai Institute of Materia Medica, CAS; Chinese Academy of Sciences; University of Chinese Academy of Sciences, CAS</t>
  </si>
  <si>
    <t>Puno, PT (通讯作者)，Chinese Acad Sci, Kunming Inst Bot, State Key Lab Phytochem &amp; Plant Resources West Ch, Kunming 650201, Yunnan, Peoples R China.;Puno, PT (通讯作者)，Chinese Acad Sci, Kunming Inst Bot, Yunnan Key Lab Nat Med Chem, Kunming 650201, Yunnan, Peoples R China.;He, SJ (通讯作者)，Chinese Acad Sci, Shanghai Inst Mat Med, Lab Immunopharmacol, State Key Lab Drug Res, Shanghai 201203, Peoples R China.;He, SJ (通讯作者)，Univ Chinese Acad Sci, Beijing 100049, Peoples R China.</t>
  </si>
  <si>
    <t>heshijun@simm.ac.cn; punopematenzin@mail.kib.ac.cn</t>
  </si>
  <si>
    <t>Li, Xing-Ren/0000-0003-2454-4232; Yan, Bing-Chao/0000-0002-9739-5234</t>
  </si>
  <si>
    <t>NSFC-Joint Foundation of Yunnan Province [U2002221]; Second Tibetan Plateau Scientific Expedition and Research (STEP) program [2019QZKK0502]; National Natural Science Foundation of China [81673329]; CAS Light of West China Program; CAS Interdisciplinary Innovation Team; Yunnan Science Fund for Distinguished Young Scholars [2019FJ002]</t>
  </si>
  <si>
    <t>NSFC-Joint Foundation of Yunnan Province; Second Tibetan Plateau Scientific Expedition and Research (STEP) program; National Natural Science Foundation of China(National Natural Science Foundation of China (NSFC)); CAS Light of West China Program; CAS Interdisciplinary Innovation Team; Yunnan Science Fund for Distinguished Young Scholars</t>
  </si>
  <si>
    <t>This project was supported financially by the NSFC-Joint Foundation of Yunnan Province (U2002221), the Second Tibetan Plateau Scientific Expedition and Research (STEP) program (2019QZKK0502), the National Natural Science Foundation of China (No. 81673329), the CAS Light of West China Program and the CAS Interdisciplinary Innovation Team (Pema-Tenzin Puno), and the Yunnan Science Fund for Distinguished Young Scholars (2019FJ002).</t>
  </si>
  <si>
    <t>JUL 26</t>
  </si>
  <si>
    <t>10.1039/d2qo00723a</t>
  </si>
  <si>
    <t>3E5IA</t>
  </si>
  <si>
    <t>WOS:000814221000001</t>
  </si>
  <si>
    <t>Wu, XD; Ding, LF; Li, WY; Cheng, B; Lei, T; Zhou, HF; Zhao, QS</t>
  </si>
  <si>
    <t>Wu, Xing-De; Ding, Lin-Fen; Li, Wen-Yan; Cheng, Bin; Lei, Tie; Zhou, Hao-Feng; Zhao, Qin-Shi</t>
  </si>
  <si>
    <t>Hypoestins A-D: highly modified fusicoccane diterpenoids with promising Ca(v)3.1 calcium channel inhibitory activity from Hypoestes purpurea</t>
  </si>
  <si>
    <t>Hypoestins A-D (1-4), four highly modified fusicoccane diterpenoids with two unreported carbon skeletons, and hypoestins E (5) and F (6), two previously undescribed fusicoccane diterpenoids, were isolated from the aerial parts of Hypoestes purpurea. Their structures and absolute configurations were characterized by comprehensive spectroscopic, single-crystal X-ray diffraction, and electronic circular dichroism (ECD) analyses. Structurally, compounds 1 and 2 are the first cyclopropane-containing fusicoccane diterpenoids with an unreported 5/8/5/3-tetracyclic carbon skeleton. Compounds 3 and 4 possess a rearranged 5/7/5-tricyclic carbon framework. A plausible biosynthetic pathway for 1-4 was proposed. Activity evaluation revealed that 4 is a new class of Ca(v)3.1 calcium channel inhibitor with an IC50 value of 10.35 mu M, which would provide a potential lead compound for drug discovery.</t>
  </si>
  <si>
    <t>[Wu, Xing-De; Ding, Lin-Fen; Li, Wen-Yan; Cheng, Bin; Lei, Tie; Zhou, Hao-Feng; Zhao, Qin-Shi] Chinese Acad Sci, Kunming Inst Bot, State Key Lab Phytochem &amp; Plant Resources West Ch, Kunming 650201, Yunnan, Peoples R China; [Wu, Xing-De] Yunnan Minzu Univ, Key Lab Ethn Med Resource Chem, State Ethn Affairs Commiss, Kunming 650500, Yunnan, Peoples R China; [Wu, Xing-De] Yunnan Minzu Univ, Minist Educ, Kunming 650500, Yunnan, Peoples R China; [Ding, Lin-Fen; Lei, Tie] Kunming Med Univ, Sch Pharmaceut Sci, Kunming 650500, Yunnan, Peoples R China; [Ding, Lin-Fen; Lei, Tie] Kunming Med Univ, Yunnan Key Lab Pharmacol Nat Prod, Kunming 650500, Yunnan, Peoples R China</t>
  </si>
  <si>
    <t>Chinese Academy of Sciences; Kunming Institute of Botany, CAS; Yunnan Minzu University; Yunnan Minzu University; Kunming Medical University; Kunming Medical University</t>
  </si>
  <si>
    <t>Cheng, Bin/0000-0001-7792-4939; zhao, qinshi/0000-0002-1249-2917</t>
  </si>
  <si>
    <t>Natural Science Foundation of China [81773611, 21837003]; Science and Technology Program of Yunnan Province [2019FA037]; Top Young Talent of the Ten Thousand Talents Program of Yunnan Province</t>
  </si>
  <si>
    <t>Natural Science Foundation of China(National Natural Science Foundation of China (NSFC)); Science and Technology Program of Yunnan Province; Top Young Talent of the Ten Thousand Talents Program of Yunnan Province</t>
  </si>
  <si>
    <t>This work was financially supported by the Natural Science Foundation of China (No. 81773611 and 21837003), the Science and Technology Program of Yunnan Province [No. 2019FA037], the Top Young Talent of the Ten Thousand Talents Program of Yunnan Province (X.-D. Wu).</t>
  </si>
  <si>
    <t>MAY 31</t>
  </si>
  <si>
    <t>10.1039/d2qo00265e</t>
  </si>
  <si>
    <t>1R0RV</t>
  </si>
  <si>
    <t>WOS:000803088100001</t>
  </si>
  <si>
    <t>Deng, ZT; Wu, XD; Yuan, ZF; Yu, NR; Ou, YF; Zhao, QS</t>
  </si>
  <si>
    <t>Deng, Zhen-Tao; Wu, Xing-De; Yuan, Zai-Feng; Yu, Nai-Rong; Ou, Yu-Fei; Zhao, Qin-Shi</t>
  </si>
  <si>
    <t>Total synthesis of huperserratines A and B</t>
  </si>
  <si>
    <t>LYCOPODIUM ALKALOIDS; HUPERZINE; OXIDATION; ALKENES</t>
  </si>
  <si>
    <t>Huperserratines A (1) and B (2), two novel macrocyclic Lycopodium alkaloids, possess an aza-12-membered ring. Here, we describe the first total synthesis of these two natural products in 12 steps. Key elements of the synthesis include the Suzuki-Miyaura coupling, the Hosomi-Sakurai reaction, ring-closing metathesis, dihydroxylation, and the Swern oxidation. A gram-scale ring-closing metathesis was pivotal in forging the challenging aza-12-membered ring. This total synthesis would enable future studies on the structure-activity relationship of 1 and 2.</t>
  </si>
  <si>
    <t>Deng, Zhen-Tao</t>
  </si>
  <si>
    <t>[Deng, Zhen-Tao; Wu, Xing-De; Yuan, Zai-Feng; Yu, Nai-Rong; Ou, Yu-Fei; Zhao, Qin-Shi] Chinese Acad Sci, Kunming Inst Bot, State Key Lab Phytochem &amp; Plant Resources West Ch, Kunming 650201, Yunnan, Peoples R China; [Deng, Zhen-Tao; Yu, Nai-Rong; Ou, Yu-Fei] Univ Chinese Acad Sci, Beijing 100049, Peoples R China</t>
  </si>
  <si>
    <t>zhao, qinshi/0000-0002-1249-2917</t>
  </si>
  <si>
    <t>Natural Science Foundation of China [21837003]; Joint Foundation of NSFC-Yunnan Province [U1502223]</t>
  </si>
  <si>
    <t>Natural Science Foundation of China(National Natural Science Foundation of China (NSFC)); Joint Foundation of NSFC-Yunnan Province</t>
  </si>
  <si>
    <t>We gratefully acknowledge Professor Yu-Rong Yang, Kunming Institute of Botany, for his guidance on the research project. This work was financially supported by the Natural Science Foundation of China (No. 21837003) and the Joint Foundation of NSFC-Yunnan Province (No. U1502223).</t>
  </si>
  <si>
    <t>JUL 12</t>
  </si>
  <si>
    <t>10.1039/d2qo00608a</t>
  </si>
  <si>
    <t>2V3MW</t>
  </si>
  <si>
    <t>WOS:000803088000001</t>
  </si>
  <si>
    <t>Peng, XR; Luo, RC; Su, HG; Zhou, L; Ran, XQ; Guo, YR; Yao, YG; Qiu, MH</t>
  </si>
  <si>
    <t>Peng, Xing-Rong; Luo, Rong-Can; Su, Hai-Guo; Zhou, Lin; Ran, Xiao-Qian; Guo, Ya-Rong; Yao, Yong-Gang; Qiu, Ming-Hua</t>
  </si>
  <si>
    <t>(+/-)-Spiroganoapplanin A, a complex polycyclic meroterpenoid dimer from Ganoderma applanatum displaying potential against Alzheimer's disease</t>
  </si>
  <si>
    <t>AMYLOID PRECURSOR PROTEIN; LUCIDUM; INFLAMMATION; AUTOPHAGY; PATHWAYS; GEMFIBROZIL; PREVENTION; INHIBITORS; APOPTOSIS; NEURONS</t>
  </si>
  <si>
    <t>(+/-)-Spiroganoapplanin A (1) representing a new subtype of the Ganoderma meroterpenoid dimer with a 6/5/5/6/5/6 hexacyclic system was isolated from Ganoderma applanatum. Using spectroscopic, X ray crystallographic and electronic circular dichroism analyses, the structure of the racemic natural product was determined, and its unusual NMR behavior was investigated by variable-temperature NMR experiments. The possible biogenetic pathway for 1 was proposed. Cellular assays showed that (+/-)-1, (+)-1, and (-)-1 all reduce A beta 42 production and inhibit tau phosphorylation through BACE1, CDK5, and GSK3 beta-mediated pathways, suggesting their potential against Alzheimer's disease.</t>
  </si>
  <si>
    <t>[Peng, Xing-Rong; Su, Hai-Guo; Zhou, Lin; Qiu, Ming-Hua] Chinese Acad Sci, Kunming Inst Bot, State Key Lab Phytochem &amp; Plant Resources West Ch, Kunming 650201, Yunnan, Peoples R China; [Peng, Xing-Rong; Luo, Rong-Can; Ran, Xiao-Qian; Yao, Yong-Gang; Qiu, Ming-Hua] Univ Chinese Acad Sci, Kunming Coll Life Sci, Kunming 650204, Yunnan, Peoples R China; [Luo, Rong-Can; Ran, Xiao-Qian; Guo, Ya-Rong; Yao, Yong-Gang] Chinese Acad Sci &amp; Yunnan Prov, Key Lab Anim Models &amp; Human Dis Mech, Kunming, Yunnan, Peoples R China; [Luo, Rong-Can; Ran, Xiao-Qian; Guo, Ya-Rong; Yao, Yong-Gang] Chinese Acad Sci, Kunming Inst Zool, KIZ CUHK Joint Lab Bioresources &amp; Mol Res Common, Kunming 650204, Yunnan, Peoples R China; [Guo, Ya-Rong] Univ Sci &amp; Technol China, Sch Life Sci, Div Life Sci &amp; Med, Hefei 230026, Peoples R China; [Yao, Yong-Gang] Chinese Acad Sci, CAS Ctr Excellence Brain Sci &amp; Intelligence Techn, Shanghai 200031, Peoples R China</t>
  </si>
  <si>
    <t>Chinese Academy of Sciences; Kunming Institute of Botany, CAS; Chinese Academy of Sciences; University of Chinese Academy of Sciences, CAS; Chinese Academy of Sciences; Chinese Academy of Sciences; Kunming Institute of Zoology; Chinese Academy of Sciences; University of Science &amp; Technology of China, CAS; Chinese Academy of Sciences</t>
  </si>
  <si>
    <t>Qiu, MH (通讯作者)，Chinese Acad Sci, Kunming Inst Bot, State Key Lab Phytochem &amp; Plant Resources West Ch, Kunming 650201, Yunnan, Peoples R China.;Yao, YG; Qiu, MH (通讯作者)，Univ Chinese Acad Sci, Kunming Coll Life Sci, Kunming 650204, Yunnan, Peoples R China.;Yao, YG (通讯作者)，Chinese Acad Sci &amp; Yunnan Prov, Key Lab Anim Models &amp; Human Dis Mech, Kunming, Yunnan, Peoples R China.</t>
  </si>
  <si>
    <t>yaoyg@mail.kiz.ac.cn; mhchiu@mail.kib.ac.cn</t>
  </si>
  <si>
    <t>Luo, Rongcan/GMW-4330-2022</t>
  </si>
  <si>
    <t>Luo, Rongcan/0000-0003-4472-7079; Yao, Yong-Gang/0000-0002-2955-0693</t>
  </si>
  <si>
    <t>Basic Research Program of Yunnan Province [202001AT070070, 202201AW070010, 202001AT070107]; Youth Innovation Promotion Association of CAS [2019383, 2021000011]; National Natural Science Foundation of China [31730037, 32170988, 31900737]; Original Innovation Project from 0 to 1 of the Basic Frontier Scientific Research Program, CAS [ZDBS-LY-SM031]; Strategic Priority Research Program (B) of CAS [XDB02020003]; CAS Light of West China Program [2020000023]; Young Scientific and Technological Talents Promotion Project of Yunnan Association for Science and Technology [2022000043]</t>
  </si>
  <si>
    <t>Basic Research Program of Yunnan Province; Youth Innovation Promotion Association of CAS; National Natural Science Foundation of China(National Natural Science Foundation of China (NSFC)); Original Innovation Project from 0 to 1 of the Basic Frontier Scientific Research Program, CAS; Strategic Priority Research Program (B) of CAS; CAS Light of West China Program; Young Scientific and Technological Talents Promotion Project of Yunnan Association for Science and Technology</t>
  </si>
  <si>
    <t>This work was supported by grants from the Basic Research Program of Yunnan Province (202001AT070070 to X. R. P., and 202201AW070010 and 202001AT070107 to R. C. L.), the Youth Innovation Promotion Association of CAS (2019383 to X. R. P. and 2021000011 to R. C. L.), the National Natural Science Foundation of China (31730037 to Y. G. Y., 32170988 and 31900737 to R. C. L.), the Original Innovation Project from 0 to 1 of the Basic Frontier Scientific Research Program, CAS (ZDBS-LY-SM031 to R. C. L.), the Strategic Priority Research Program (B) of CAS (XDB02020003 to Y. G. Y.), the CAS Light of West China Program (2020000023 to R. C. L.) and the Young Scientific and Technological Talents Promotion Project of Yunnan Association for Science and Technology (2022000043 to R. C. L). The authors are grateful to the Analytical and Testing Center at Kunming Institute of Botany for NMR and ECD data collection.</t>
  </si>
  <si>
    <t>10.1039/d2qo00246a</t>
  </si>
  <si>
    <t>1R0TR</t>
  </si>
  <si>
    <t>WOS:000790413000001</t>
  </si>
  <si>
    <t>Guo, K; Luo, SH; Guo, DL; Li, DS; Hua, J; Liu, YC; Liu, Y; Li, SH</t>
  </si>
  <si>
    <t>Guo, Kai; Luo, Shi-Hong; Guo, Da-Le; Li, De-Sen; Hua, Juan; Liu, Yan Chun; Liu, Yan; Li, Sheng-Hong</t>
  </si>
  <si>
    <t>A monocarbocyclic sesterterpenoid biosynthetic precursor of leucosceptroids from Leucosceptrum canum and its metabolic isomerization by a specialist insect</t>
  </si>
  <si>
    <t>GLANDULAR TRICHOMES; DETOXIFICATION; DITERPENOIDS; DEFENSE</t>
  </si>
  <si>
    <t>Pre-leucosceptroid (1), a rare monocarbocyclic sesterterpenoid featuring a cyclopentane ring with a terminal furan moiety, was isolated from the leaves of Leucosceptrum canum. Discovery of 1 suggested a two-step cyclization in the formation of the skeleton of leucosceptroids in plants, indicating its important role as a biosynthetic precursor of leucosceptroids. Its isomer, isopre-leucosceptroid (2), was isolated from the excrement of Nacna malachitis larvae, a specialist insect feeding on L. canum, suggesting that metabolic isomerization of alpha-hydroxyl keto from 1 to 2 might be a new insect detoxification mechanism. Their structures including the absolute configurations were determined by extensive spectroscopic analysis and quantum chemical calculations.</t>
  </si>
  <si>
    <t>Guo, Kai</t>
  </si>
  <si>
    <t>[Guo, Kai; Guo, Da-Le; Liu, Yan; Li, Sheng-Hong] Chengdu Univ Tradit Chinese Med, State Key Lab Southwestern Chinese Med Resources, Chengdu 611137, Peoples R China; [Guo, Kai; Guo, Da-Le; Liu, Yan; Li, Sheng-Hong] Chengdu Univ Tradit Chinese Med, Innovat Inst Chinese Med &amp; Pharm, Chengdu 611137, Peoples R China; [Luo, Shi-Hong; Hua, Juan] Shenyang Agr Univ, Coll Biosci &amp; Biotechnol, Shenyang 110866, Peoples R China; [Li, De-Sen; Liu, Yan Chun; Liu, Yan; Li, Sheng-Hong] Chinese Acad Sci, State Key Lab Phytochem &amp; Plant Resources West Ch, Kunming 650201, Yunnan, Peoples R China; [Li, De-Sen; Liu, Yan Chun; Liu, Yan; Li, Sheng-Hong] Chinese Acad Sci, Kunming Inst Bot, Yunnan Key Lab Nat Med Chem, Kunming 650201, Yunnan, Peoples R China</t>
  </si>
  <si>
    <t>Chengdu University of Traditional Chinese Medicine; Chengdu University of Traditional Chinese Medicine; Shenyang Agricultural University; Chinese Academy of Sciences; Chinese Academy of Sciences; Kunming Institute of Botany, CAS</t>
  </si>
  <si>
    <t>Li, SH (通讯作者)，Chengdu Univ Tradit Chinese Med, State Key Lab Southwestern Chinese Med Resources, Chengdu 611137, Peoples R China.;Li, SH (通讯作者)，Chengdu Univ Tradit Chinese Med, Innovat Inst Chinese Med &amp; Pharm, Chengdu 611137, Peoples R China.;Li, SH (通讯作者)，Chinese Acad Sci, State Key Lab Phytochem &amp; Plant Resources West Ch, Kunming 650201, Yunnan, Peoples R China.;Li, SH (通讯作者)，Chinese Acad Sci, Kunming Inst Bot, Yunnan Key Lab Nat Med Chem, Kunming 650201, Yunnan, Peoples R China.</t>
  </si>
  <si>
    <t>shli@cdutcm.edu.cn</t>
  </si>
  <si>
    <t>Li, Sheng-Hong/0000-0001-5404-893X; Guo, Dale/0000-0003-3219-7066</t>
  </si>
  <si>
    <t>State Key Program of National Natural Science Foundation of China [21937006]; National Natural Science Foundation of China [31800298]; Natural Science Foundation of Yunnan [2019ZF011-2]; China Postdoctoral Science Foundation [2021M690487]; Youth Innovation Promotion Association; Western Light Program of CAS</t>
  </si>
  <si>
    <t>State Key Program of National Natural Science Foundation of China(National Natural Science Foundation of China (NSFC)); National Natural Science Foundation of China(National Natural Science Foundation of China (NSFC)); Natural Science Foundation of Yunnan(Natural Science Foundation of Yunnan Province); China Postdoctoral Science Foundation(China Postdoctoral Science Foundation); Youth Innovation Promotion Association; Western Light Program of CAS</t>
  </si>
  <si>
    <t>This work is financially supported by the State Key Program of National Natural Science Foundation of China (21937006), the National Natural Science Foundation of China (31800298), the Natural Science Foundation of Yunnan (2019ZF011-2), the China Postdoctoral Science Foundation (2021M690487), the Youth Innovation Promotion Association, and the Western Light Program of CAS (awarded to Yan Liu).</t>
  </si>
  <si>
    <t>APR 12</t>
  </si>
  <si>
    <t>10.1039/d2qo00138a</t>
  </si>
  <si>
    <t>0M4XY</t>
  </si>
  <si>
    <t>WOS:000769613400001</t>
  </si>
  <si>
    <t>Sun, X; Zhou, M; Zhu, JP; Zhang, XF; Liu, ZJ; Li, HR; Chen, Y; Chen, HP; Zhao, J; Pu, JX; Yu, M; Liu, JK; Wu, B</t>
  </si>
  <si>
    <t>Sun, Xin; Zhou, Min; Zhu, Jing-Ping; Zhang, Xiang-Fei; Liu, Zu-Jiang; Li, Hao-Ran; Chen, Yan; Chen, He-Ping; Zhao, Jie; Pu, Jian-Xin; Yu, Miao; Liu, Ji-Kai; Wu, Bin</t>
  </si>
  <si>
    <t>An unexpected photoinduced cyclization to synthesize fully substituted gamma-spirolactones via intramolecular hydrogen abstraction with allyl acrylates</t>
  </si>
  <si>
    <t>PHOTOCHEMICAL-REACTIONS; II PHOTOELIMINATION; RADICAL REACTIONS; KETONES; PHOTOCYCLIZATION; ALDEHYDES; FUNCTIONALIZATION; OUABAGENIN; MECHANISMS; ELECTRON</t>
  </si>
  <si>
    <t>A photoinduced intramolecular cyclization of allyl acrylates to synthesize fully substituted spiro-gamma-butyrolactone compounds is described. The reaction is believed to proceed through activation of the carbonyl group upon ultraviolet irradiation, 1,4-hydrogen atom transfer, and intramolecular cyclization of diradical species, an intramolecular hydrogen abstraction strategy, based on a series of control and isotope studies as well as DFT calculations.</t>
  </si>
  <si>
    <t>Chen, He-Ping</t>
  </si>
  <si>
    <t>[Chen, He-Ping; Liu, Ji-Kai; Wu, Bin] South Cent Univ Nationalities, Sch Pharmaceut Sci, Wuhan 430074, Peoples R China; [Sun, Xin; Zhu, Jing-Ping; Zhang, Xiang-Fei; Liu, Zu-Jiang; Li, Hao-Ran; Chen, Yan; Yu, Miao] Huanghuai Univ, Sch Chem &amp; Pharmaceut Engn, Zhumadian 463000, Peoples R China; [Sun, Xin; Zhou, Min; Zhao, Jie; Pu, Jian-Xin] Chinese Acad Sci, Kunming Inst Bot, State Key Lab Phytochem &amp; Plant Resources West Ch, Kunming 650201, Yunnan, Peoples R China</t>
  </si>
  <si>
    <t>South Central Minzu University; Huanghuai University; Chinese Academy of Sciences; Kunming Institute of Botany, CAS</t>
  </si>
  <si>
    <t>Sun, X (通讯作者)，Huanghuai Univ, Sch Chem &amp; Pharmaceut Engn, Zhumadian 463000, Peoples R China.;Sun, X (通讯作者)，Chinese Acad Sci, Kunming Inst Bot, State Key Lab Phytochem &amp; Plant Resources West Ch, Kunming 650201, Yunnan, Peoples R China.</t>
  </si>
  <si>
    <t>sunxin@bjmu.edu.cn; miaoy050666@126.com; jkliu@mail.kib.ac.cn; 2015084@mail.scuec.edu.cn</t>
  </si>
  <si>
    <t>Chen, He-Ping/GSN-4671-2022</t>
  </si>
  <si>
    <t>Chen, He-Ping/0000-0003-0416-9535</t>
  </si>
  <si>
    <t>National Natural Science Foundation of China [21772236, 21472198]; Programs for Science and Technology Development of Henan Province [202102310329]; Research Foundation for Doctoral of Huanghuai University [12011942]</t>
  </si>
  <si>
    <t>National Natural Science Foundation of China(National Natural Science Foundation of China (NSFC)); Programs for Science and Technology Development of Henan Province; Research Foundation for Doctoral of Huanghuai University</t>
  </si>
  <si>
    <t>We are grateful to the National Natural Science Foundation of China (no. 21772236 and 21472198), the Programs for Science and Technology Development of Henan Province (202102310329) and the Research Foundation for Doctoral of Huanghuai University (no. 12011942) for the support of this research. We gratefully thank Dr Wen-Wu Sun, Mr Ji-Cong Lou, Mr Zi-Long Bian and Mr Zhe Fan for their kind help.</t>
  </si>
  <si>
    <t>MAY 3</t>
  </si>
  <si>
    <t>10.1039/d1qo01952j</t>
  </si>
  <si>
    <t>0X8MB</t>
  </si>
  <si>
    <t>WOS:000762418900001</t>
  </si>
  <si>
    <t>Zhao, MW; Ma, L; Song, N; Cheng, JB; Zhao, ZX; Wu, JS</t>
  </si>
  <si>
    <t>Zhao, Meiwei; Ma, Lan; Song, Na; Cheng, Junbin; Zhao, Zhengxiong; Wu, Jinsong</t>
  </si>
  <si>
    <t>The regulation of Alternaria alternata resistance by LRR-RK4 through ERF109, defensin19 and phytoalexin scopoletin in Nicotiana attenuata</t>
  </si>
  <si>
    <t>PLANT SCIENCE</t>
  </si>
  <si>
    <t>Nicotiana attenuate; Na LRR-RK4; A. alternata; NaDEF19; NaERF109</t>
  </si>
  <si>
    <t>DISEASE RESISTANCE; SIGNAL-TRANSDUCTION; APETALA2-LIKE GENE; PLANT IMMUNITY; ARABIDOPSIS; EXPRESSION; JASMONATE; ETHYLENE; RESPONSES; PEPTIDES</t>
  </si>
  <si>
    <t>Leucine-rich repeat receptor-like kinases (LRR-RKs), belonging to the largest subfamily of transmembrane receptor-like kinases in plants, are proposed to be involved in pathogen resistance. However, it is currently unknown whether LRR-RKs regulate Nicotiana attenuata resistance to Alternaria alternata, a notorious fungal pathogen causing tobacco brown disease. During transcriptome analysis, we identified a highly induced receptor kinase (NaLRR-RK4) in N. attenuata leaves after A. alternata inoculation. We speculated that this NaLRR-RK4 might be the resistance gene of tobacco to brown spot disease, and if so, what is its function and mechanism of action? Silencing of NaLRR-RK4 via virus-induced gene silencing (VIGS) lead to plants highly susceptible to A. alternata, and this result was further confirmed by two stable transformation lines (NaLRR-RK4-RNAi lines) generated by RNA interference technology. The susceptible of NaLRR-RK4-RNAi lines to A. alternata was asso-ciated with reduced levels of phytoalexin scopoletin and its key synthesis gene NaF6 &amp; PRIME;H1. Further transcriptome analysis of leaves of WT and NaLRR-RK4-RNAi line after A. alternata inoculation revealed that NaLRR-RK4 regulated NaERF109 and NaDEF19. Silencing NaERF109 or NaDEF19 by VIGS lead to plants more susceptible to A.alternata, demonstrating their role in pathogen resistance. Interestingly, A.alternata-induced expression of NaF6 &amp; PRIME;H1 and NaDEF19 were dramatically reduced in NaERF109-silenced VIGS plants. Taken all together, we identified LRR-RK4 as the first Leucine-rich repeat receptor-like kinases involved in A.alternata resistance in tobacco species, by regulating NaERF109, and subsequently NaDEF19 and NaF6 &amp; PRIME;H1.</t>
  </si>
  <si>
    <t>Zhao, Meiwei</t>
  </si>
  <si>
    <t>[Zhao, Meiwei] Yunnan Agr Univ, Coll Agron &amp; Biotechnol, Fengyuan Rd 452, Kunming, Yunnan, Peoples R China; [Ma, Lan; Song, Na; Cheng, Junbin; Wu, Jinsong] Chinese Acad Sci, Kunming Inst Bot, Yunnan Key Lab Wild Plant Resources, Lanhei Rd 132, Kunming 650201, Peoples R China; [Zhao, Zhengxiong] Yunnan Agr Univ, Coll Resources &amp; Environm, Fengyuan Rd 452, Kunming, Yunnan, Peoples R China</t>
  </si>
  <si>
    <t>Wu, JS (通讯作者)，Chinese Acad Sci, Kunming Inst Bot, Yunnan Key Lab Wild Plant Resources, Lanhei Rd 132, Kunming 650201, Peoples R China.;Zhao, ZX (通讯作者)，Yunnan Agr Univ, Coll Resources &amp; Environm, Fengyuan Rd 452, Kunming, Yunnan, Peoples R China.</t>
  </si>
  <si>
    <t>308336222@qq.com; malan@mail.kib.ac.cn; songna@mail.kib.ac.cn; junbincheng@mail.kib.ac.cn; zhaozx0801@163.com; jinsongwu@mail.kib.ac.cn</t>
  </si>
  <si>
    <t>Yunnan Agricultural University Scientific Research Foundation [KX900187]; Science &amp; Technology Platform Plan of Yunnan Province [2019IC005]</t>
  </si>
  <si>
    <t>Yunnan Agricultural University Scientific Research Foundation; Science &amp; Technology Platform Plan of Yunnan Province</t>
  </si>
  <si>
    <t>This study was financially supported by the Yunnan Agricultural University Scientific Research Foundation (KX900187) and the Science &amp; Technology Platform Plan of Yunnan Province (2019IC005) .</t>
  </si>
  <si>
    <t>ELSEVIER IRELAND LTD</t>
  </si>
  <si>
    <t>CLARE</t>
  </si>
  <si>
    <t>ELSEVIER HOUSE, BROOKVALE PLAZA, EAST PARK SHANNON, CO, CLARE, 00000, IRELAND</t>
  </si>
  <si>
    <t>0168-9452</t>
  </si>
  <si>
    <t>1873-2259</t>
  </si>
  <si>
    <t>PLANT SCI</t>
  </si>
  <si>
    <t>Plant Sci.</t>
  </si>
  <si>
    <t>10.1016/j.plantsci.2022.111414</t>
  </si>
  <si>
    <t>4X7BD</t>
  </si>
  <si>
    <t>WOS:000860992300005</t>
  </si>
  <si>
    <t>Dong, XM; Pu, XJ; Zhou, SZ; Li, P; Luo, T; Chen, ZX; Chen, SL; Liu, L</t>
  </si>
  <si>
    <t>Dong, Xiu-Mei; Pu, Xiao-Jun; Zhou, Shi-Zhao; Li, Ping; Luo, Ting; Chen, Ze-Xi; Chen, Si-Lin; Liu, Li</t>
  </si>
  <si>
    <t>Orphan gene PpARDT positively involved in drought tolerance potentially by enhancing ABA response in Physcomitrium (Physcomitrella) patens</t>
  </si>
  <si>
    <t>Physcomitrium patens; Orphan gene; PpARDT; ABA-responsive gene; Drought tolerence; ABA response</t>
  </si>
  <si>
    <t>ABSCISIC-ACID; TRANSCRIPTION FACTOR; STRESS TOLERANCE; OSMOTIC-STRESS; RECEPTOR PYL9; HIGH-SALINITY; MOSS; MECHANISMS; INSIGHTS; GENOME</t>
  </si>
  <si>
    <t>Almost all genomes have orphan genes, the majority of which are not functionally annotated. There is growing evidence showed that orphan genes may play important roles in the environmental stress response of Physcomitrium patens. We identified PpARDT (ABA-responsive drought tolerance) as a moss-specific and ABA-responsive orphan gene in P. patens. PpARDT is mainly expressed during the gametophytic stage of the life cycle, and the expression was induced by different abiotic stresses. A PpARDT knockout (Ppardt) mutant showed reduced dehydration-rehydration tolerance, and the phenotype could be rescued by exogenous ABA. Meanwhile, trans genic Arabidopsis lines exhibiting heterologous expression of PpARDT were more sensitive to exogenous ABA than wild-type (Col-0) plants and showed enhanced drought tolerance. These indicate that PpARDT confers drought tolerance among land plants potentially by enhancing ABA response. Further, we identified genes encoding abscisic acid receptor PYR/PYL family proteins, and ADP-ribosylation factors (Arf) as hub genes associated with the Ppardt phenotype. Given the lineage-specific characteristics of PpARDT, our results provide insights into the roles of orphan gene in shaping lineage-specific adaptation possibly by recruiting common preexisted pathway components.</t>
  </si>
  <si>
    <t>[Dong, Xiu-Mei; Pu, Xiao-Jun; Zhou, Shi-Zhao; Luo, Ting; Chen, Ze-Xi; Chen, Si-Lin; Liu, Li] Chinese Acad Sci, Kunming Inst Bot, Key Lab Dependent Econ Plants &amp; Biotechnol, Kunming 650201, Yunnan, Peoples R China; [Liu, Li] Hubei Univ, Hubei Key Lab Ind Biotechnol, State Key Lab Biocatalysis &amp; Enzyme Engn, Hubei Collaborat Innovat Ctr Green Transformat Bi, Wuhan, Hubei, Peoples R China; [Li, Ping] Southwest Forestry Univ, Key Lab Forest Resources Conservat &amp; Utilizat Sou, China Minist Educ, Kunming 650201, Yunnan, Peoples R China; [Chen, Si-Lin] Univ Chinese Acad Sci, Beijing 100049, Peoples R China</t>
  </si>
  <si>
    <t>Chinese Academy of Sciences; Kunming Institute of Botany, CAS; Hubei University; Southwest Forestry University - China; Chinese Academy of Sciences; University of Chinese Academy of Sciences, CAS</t>
  </si>
  <si>
    <t>Liu, L (通讯作者)，132 Lanhei Rd, Kunming 650201, Yunnan, Peoples R China.</t>
  </si>
  <si>
    <t>dongxiumei@mail.kib.ac.cn; puxiaojun@mail.kib.ac.cn; zhoushizhao@mail.kib.ac.cn; kaixindeping123@126.com; luoting@mail.kib.ac.cn; chenzexi@mail.kib.ac.cn; chensilin@mail.kib.ac.cn; liulia@mail.kib.ac.cn</t>
  </si>
  <si>
    <t>Chen, Zexi/0000-0002-1156-0914</t>
  </si>
  <si>
    <t>Postdoctoral Directional Training Fundation of Yunnan Province [Y835981261]; China Postdoctoral Science Foundation [2018M633433]; National Natural Science Foundation of China [31971410]</t>
  </si>
  <si>
    <t>Postdoctoral Directional Training Fundation of Yunnan Province; China Postdoctoral Science Foundation(China Postdoctoral Science Foundation); National Natural Science Foundation of China(National Natural Science Foundation of China (NSFC))</t>
  </si>
  <si>
    <t>This work was supported by the Postdoctoral Directional Training Fundation of Yunnan Province (Y835981261), China Postdoctoral Science Foundation (2018M633433), and the National Natural Science Foundation of China (31971410). We thank Dr. Mitsuyasu Hasebe (National Institute for Basic Biology) for providing moss spores, pTN182 plasmid.</t>
  </si>
  <si>
    <t>10.1016/j.plantsci.2022.111222</t>
  </si>
  <si>
    <t>0Y7GL</t>
  </si>
  <si>
    <t>WOS:000790555000004</t>
  </si>
  <si>
    <t>Wang, H; Wang, XQ; Zeng, ZL; Yu, H; Huang, W</t>
  </si>
  <si>
    <t>Wang, Hui; Wang, Xiao-Qian; Zeng, Zhi-Lan; Yu, Huan; Huang, Wei</t>
  </si>
  <si>
    <t>Photosynthesis under fluctuating light in the CAM plant Vanilla planifolia</t>
  </si>
  <si>
    <t>Photosynthesis; CAM plants; Photosynthetic induction; Fluctuating light; Photoprotection</t>
  </si>
  <si>
    <t>CYCLIC ELECTRON FLOW; PHOTOSYSTEM-I; FLAVODIIRON PROTEINS; CO2 ASSIMILATION; PHOTOINHIBITION; PHOTOPROTECTION; ACCLIMATION; TEMPERATURE; TRANSPORT; PROTON</t>
  </si>
  <si>
    <t>Photosynthetic induction after a sudden increase in illumination affects carbon gain. Photosynthetic dynamics under fluctuating light (FL) have been widely investigated in C3 and C4 plants but are little known in CAM plants. In our present study, the chlorophyll fluorescence, P700 redox state and electrochromic shift signals were measured to examine photosynthetic characteristics under FL in the CAM orchid Vanilla planifolia. The light use efficiency was maximized in the morning but was restricted in the afternoon, indicating that the pool of malic acid dried down in the afternoon. During photosynthetic induction in the morning, electron flow through photosystem I rapidly reached the 95% of the maximum value in 4-6 min, indicating that V. planifolia showed a fast photosynthetic induction when compared with C3 and C4 plants reported previously. Upon a sudden transition from dark to actinic light, a rapid re-oxidation of P700 was observed in V. planifolia, indicating the fast outflow of electrons from PSI to alternative electron acceptors, which was attributed to the O-2 photo-reduction mediated by water-water cycle. The functioning of water-water cycle prevented photosystem I over-reduction after transitioning from low to high light and thus protected PSI under FL. In the afternoon, cyclic electron flow was stimulated under FL to fine-tune photosynthetic apparatus when photosynthetic CO2 was restricted. Therefore, water-water cycle cooperates with cyclic electron flow to regulate the photosynthesis under FL in the CAM orchid V. planifolia.</t>
  </si>
  <si>
    <t>[Wang, Hui; Yu, Huan] Chinese Acad Trop Agr Sci, Spice &amp; Beverage Res Inst, Wanning 571533, Peoples R China; [Wang, Xiao-Qian; Zeng, Zhi-Lan; Huang, Wei] Chinese Acad Sci, Kunming Inst Bot, Kunming 650201, Peoples R China; [Wang, Xiao-Qian] Northwest Univ, Sch Life Sci, Xian 710069, Peoples R China; [Zeng, Zhi-Lan] Univ Chinese Acad Sci, Beijing 100049, Peoples R China</t>
  </si>
  <si>
    <t>Chinese Academy of Tropical Agricultural Sciences; Chinese Academy of Sciences; Kunming Institute of Botany, CAS; Northwest University Xi'an; Chinese Academy of Sciences; University of Chinese Academy of Sciences, CAS</t>
  </si>
  <si>
    <t>Yu, H (通讯作者)，Chinese Acad Trop Agr Sci, Spice &amp; Beverage Res Inst, Wanning 571533, Peoples R China.;Huang, W (通讯作者)，Chinese Acad Sci, Kunming Inst Bot, Kunming 650201, Peoples R China.</t>
  </si>
  <si>
    <t>wangyangyuhuan82@163.com; huangwei@mail.kib.ac.cn</t>
  </si>
  <si>
    <t>National Natural Science Foundation of China [31871577, 31971412]; Project for Innovation Team of Yunnan Province [202105AE160012]</t>
  </si>
  <si>
    <t>This work was supported by the National Natural Science Foundation of China (No. 31871577, 31971412) and the Project for Innovation Team of Yunnan Province (202105AE160012).</t>
  </si>
  <si>
    <t>10.1016/j.plantsci.2022.111207</t>
  </si>
  <si>
    <t>0N2WP</t>
  </si>
  <si>
    <t>WOS:000782704700004</t>
  </si>
  <si>
    <t>Chen, HF; Qin, ZH; Zhai, DL; Ou, GL; Li, X; Zhao, GJ; Fan, JL; Zhao, CL; Xu, H</t>
  </si>
  <si>
    <t>Chen, Huafang; Qin, Zhihao; Zhai, De-Li; Ou, Guanglong; Li, Xiong; Zhao, Gaojuan; Fan, Jinlong; Zhao, Chunliang; Xu, Hui</t>
  </si>
  <si>
    <t>Mapping Forest Aboveground Biomass with MODIS and Fengyun-3C VIRR Imageries in Yunnan Province, Southwest China Using Linear Regression, K-Nearest Neighbor and Random Forest</t>
  </si>
  <si>
    <t>REMOTE SENSING</t>
  </si>
  <si>
    <t>forest aboveground biomass (AGB); remote sensing; MODIS; FY-3C VIRR; Yunnan Province</t>
  </si>
  <si>
    <t>DIFFERENCE WATER INDEX; LANDSAT TM DATA; VEGETATION; PARAMETERS; AIRBORNE; NDWI</t>
  </si>
  <si>
    <t>The aboveground biomass (AGB) of a forest is an important indicator of the forest's terrestrial carbon storage and its relation to climate change. Due to the advantage of extensive spatial coverage and low cost, coarse-resolution remote sensing data is the main data source for wall-to-wall mapping of forest AGB at the regional scale. Despite this, improving the accuracy and efficiency of forest AGB estimation is a major challenge. In this study, two optical imageries, Moderate Resolution Imaging Spectroradiometer (MODIS) 500 m imagery and Fengyun-3C Visible and Infrared Radiometer (FY-3C VIRR) 1000 m imagery, were used and compared for forest AGB estimation in Yunnan Province, southwest China. One parametric approach, multiple linear regression (MLR), and two nonparametric approaches, k-nearest neighbor (KNN) and random forest (RF), were applied for the two imagery datasets, respectively. We evaluated the performance of the combination of remote sensing data and modeling approaches by comparing the accuracies and also explored the potential of FY-3C imagery data in forest AGB estimation at the regional scale as it was used for this purpose for the first time. We found that the machine learning models KNN and RF provided better results than MLR. From the three approaches for both MODIS and FY-3C imagery, RF performed best with R-2 values of 0.84 and 0.81 and RMSE of 23.18 and 23.43, respectively. Estimation of forest AGB based on MODIS was marginally better than the estimation based on FY-3C. FY-3C imagery could therefore be an additional optical remote sensing data source of coarse spatial resolution, comparable to MODIS data which has been widely used for regional forest AGB estimation. Indices related to forest canopy moisture levels from both types of imagery were sensitive to forest AGB. The RF model and MODIS imagery were then applied to map the spatial variation of forest AGB of Yunnan Province. As a result of our study, we determined that Yunnan Province has a total forest AGB of 2123.22 Mt, with a mean value of 58.05 t/ha for forestland in 2016.</t>
  </si>
  <si>
    <t>Chen, Huafang</t>
  </si>
  <si>
    <t>[Chen, Huafang] Southwest Forestry Univ, Fac Forestry, Kunming 650224, Yunnan, Peoples R China; [Chen, Huafang; Li, Xiong; Zhao, Gaojuan] Chinese Acad Sci, Ctr Mt Futures, Kunming Inst Bot, Kunming 650201, Yunnan, Peoples R China; [Chen, Huafang; Li, Xiong; Zhao, Gaojuan] Chinese Acad Sci, Kunming Inst Bot, Dept Econ Plants &amp; Biotechnol, Yunnan Key Lab Wild Plant Resources, Kunming 650201, Yunnan, Peoples R China; [Qin, Zhihao; Zhao, Chunliang] Chinese Acad Agr Sci, Inst Agr Resources &amp; Reg Planning, MOA Key Lab Agr Remote Sensing, Beijing 100081, Peoples R China; [Zhai, De-Li] Chinese Acad Sci, CAS Key Lab Trop Forest Ecol, Xishuangbanna Trop Bot Garden, Mengla 666303, Peoples R China; [Ou, Guanglong; Xu, Hui] Southwest Forestry Univ, Key Lab, State Forestry Adm Biodivers Conservat Southwest, Kunming 650224, Yunnan, Peoples R China; [Fan, Jinlong] China Meteorol Adm, Natl Satellite Meteorol Ctr, Beijing 100081, Peoples R China</t>
  </si>
  <si>
    <t>Southwest Forestry University - China; Chinese Academy of Sciences; Kunming Institute of Botany, CAS; Chinese Academy of Sciences; Kunming Institute of Botany, CAS; Chinese Academy of Agricultural Sciences; Institute of Agricultural Resources &amp; Regional Planning, CAAS; Chinese Academy of Sciences; Xishuangbanna Tropical Botanical Garden, CAS; Southwest Forestry University - China; China Meteorological Administration</t>
  </si>
  <si>
    <t>Xu, H (通讯作者)，Southwest Forestry Univ, Key Lab, State Forestry Adm Biodivers Conservat Southwest, Kunming 650224, Yunnan, Peoples R China.</t>
  </si>
  <si>
    <t>huixuswfu1960@swfu.edu.cn</t>
  </si>
  <si>
    <t>Li, Xiong/0000-0002-1754-8721; Ou, Guanglong/0000-0003-1925-6690</t>
  </si>
  <si>
    <t>National Natural Science Foundation of China [31770677]</t>
  </si>
  <si>
    <t>This study was financially supported by the National Natural Science Foundation of China (grant number 31770677).</t>
  </si>
  <si>
    <t>2072-4292</t>
  </si>
  <si>
    <t>REMOTE SENS-BASEL</t>
  </si>
  <si>
    <t>Remote Sens.</t>
  </si>
  <si>
    <t>10.3390/rs14215456</t>
  </si>
  <si>
    <t>Environmental Sciences; Geosciences, Multidisciplinary; Remote Sensing; Imaging Science &amp; Photographic Technology</t>
  </si>
  <si>
    <t>Environmental Sciences &amp; Ecology; Geology; Remote Sensing; Imaging Science &amp; Photographic Technology</t>
  </si>
  <si>
    <t>6B9LC</t>
  </si>
  <si>
    <t>WOS:000881646200001</t>
  </si>
  <si>
    <t>Xia, F; Du, SZ; Wu, MK; Liu, R; Ye, YS; Yang, J; Xu, G; Nian, Y</t>
  </si>
  <si>
    <t>Xia, Fan; Du, Shu-Zong; Wu, Ming-Kun; Liu, Rui; Ye, Yan-Song; Yang, Jian; Xu, Gang; Nian, Yin</t>
  </si>
  <si>
    <t>Icetexane diterpenoids as Cav3.2 T-type calcium channel inhibitors from Salvia prattii and analgesic effect of their Semi-synthesized derivatives</t>
  </si>
  <si>
    <t>BIOORGANIC CHEMISTRY</t>
  </si>
  <si>
    <t>Salvia prattii; Icetexane diterpenoid; Ca v 3; 2 T -type Ca 2+channel (TTCC); Analgesic effect</t>
  </si>
  <si>
    <t>SALVINORIN</t>
  </si>
  <si>
    <t>Ten new icetexane diterpenoids, salpratins E-N (1-10) and a known analogue (11) were characterized from Salvia prattii Hemsl. Structurally, 1 is the first 19(4 -&gt; 3)-abeo-icetexane diterpenoid featuring with a 6/7/6 ring system. The structures of isolated compounds were determined by comprehensive analyses of spectroscopic data, ECD calculation, and single-crystal X-ray diffraction. Biological studies initially revealed that 1, 7, 10, and 11 are notable Cav3.2 T-type Ca2+ channel (TTCC) inhibitors with IC50 values of 2.9, 5.1, 2.3, and 3.2 mu M, respectively. Five icetexane related derivatives (13-17) were synthesized from an abietane type precursor, (+)-carnosic acid (12), for the purpose of overcoming the poor water solubility of aforementioned active compounds and further investigating diverse diterpenes with valuable activity. Among them, 13 and 14 showed potent inhibitions on Cav3.2, having IC50 values of 6.7 and 2.4 mu M, respectively. Significantly, they exhibited dose-dependent (1, 3, and 10 mg/kg) and comparable analgesic effects as that of Z944, a TTCCs inhibitor under clinical trial for pain management, in the mouse acetic acid writhing test. These findings further enrich structural diversity and bioactivity of Salvia diterpenoids, as well as provide promising structural templates for the development of Cav3.2 analgesics.</t>
  </si>
  <si>
    <t>Xia, Fan</t>
  </si>
  <si>
    <t>[Xia, Fan; Du, Shu-Zong; Wu, Ming-Kun; Liu, Rui; Ye, Yan-Song; Xu, Gang; Nian, Yin] Chinese Acad Sci, Kunming Inst Bot, State Key Lab Phytochemistry &amp; Plant Resources Wes, Kunming 650201, Yunnan, Peoples R China; [Du, Shu-Zong] Chinese Acad Sci, Key Lab Anim Models &amp; Human Dis Mech &amp; Ion Channel, Kunming 650223, Peoples R China; [Du, Shu-Zong] Chinese Acad Sci, Kunming Inst Zool, Drug Dev Ctr, Kunming 650223, Peoples R China; [Du, Shu-Zong; Wu, Ming-Kun] Univ Chinese Acad Sci, Beijing 100049, Peoples R China; [Yang, Jian] Columbia Univ, Dept Biol Sci, New York, NY 10027 USA</t>
  </si>
  <si>
    <t>Chinese Academy of Sciences; Kunming Institute of Botany, CAS; Chinese Academy of Sciences; Chinese Academy of Sciences; Kunming Institute of Zoology; Chinese Academy of Sciences; University of Chinese Academy of Sciences, CAS; Columbia University</t>
  </si>
  <si>
    <t>Xu, G; Nian, Y (通讯作者)，Chinese Acad Sci, Kunming Inst Bot, State Key Lab Phytochemistry &amp; Plant Resources Wes, Kunming 650201, Yunnan, Peoples R China.</t>
  </si>
  <si>
    <t>xugang008@mail.kib.ac.cn; nianyin@mail.kib.ac.cn</t>
  </si>
  <si>
    <t>National Natural Science Foundation of China [32070392, 32070393]; China Postdoctoral Science Foundation [2020M683392]; Postdoctoral Directional Training Foundation of Yunnan Province, the Second Tibetan Plateau Scientific Expedition and Research (STEP) program [2019QZKK0502-0303, 2019QZKK0502-0304]; Natural Science Foundation of Yunnan [202001AS070040, 202101AV070010]; Yunnan Young amp; Elite Talents Project [YNWR-QNBJ-2020-277]; CAS Light of West China Young Scholars Program [2021]; Fund of State Key Laboratory of Phytochemistry and Plant Resources in West China [P2020-KF10, E02M22]</t>
  </si>
  <si>
    <t>National Natural Science Foundation of China(National Natural Science Foundation of China (NSFC)); China Postdoctoral Science Foundation(China Postdoctoral Science Foundation); Postdoctoral Directional Training Foundation of Yunnan Province, the Second Tibetan Plateau Scientific Expedition and Research (STEP) program; Natural Science Foundation of Yunnan(Natural Science Foundation of Yunnan Province); Yunnan Young amp; Elite Talents Project; CAS Light of West China Young Scholars Program; Fund of State Key Laboratory of Phytochemistry and Plant Resources in West China</t>
  </si>
  <si>
    <t>The work was financially supported by National Natural Science Foundation of China (32070392 and 32070393), China Postdoctoral Science Foundation (2020M683392), Postdoctoral Directional Training Foundation of Yunnan Province, the Second Tibetan Plateau Scientific Expedition and Research (STEP) program (2019QZKK0502-0303 and 2019QZKK0502-0304), Natural Science Foundation of Yunnan (202001AS070040 and 202101AV070010), Yunnan Young &amp; Elite Talents Project (YNWR-QNBJ-2020-277), CAS Light of West China Young Scholars Program (2021), the Fund of State Key Laboratory of Phytochemistry and Plant Resources in West China (P2020-KF10), and the Development and Application of Key Technologies for Natural Product Target Discovery Based on Molecular Inject and Recover of Biacore and Liquid Mass Spectrometry (E02M22).</t>
  </si>
  <si>
    <t>0045-2068</t>
  </si>
  <si>
    <t>1090-2120</t>
  </si>
  <si>
    <t>BIOORG CHEM</t>
  </si>
  <si>
    <t>Bioorganic Chem.</t>
  </si>
  <si>
    <t>10.1016/j.bioorg.2022.106059</t>
  </si>
  <si>
    <t>Biochemistry &amp; Molecular Biology; Chemistry, Organic</t>
  </si>
  <si>
    <t>5W6PC</t>
  </si>
  <si>
    <t>WOS:000878032800004</t>
  </si>
  <si>
    <t>Li, YA; Qiu, J; Yi, P; Yang, J; Gu, W; Li, YM; Yuan, CM; Hao, XJ</t>
  </si>
  <si>
    <t>Li, Yanan; Qiu, Jie; Yi, Ping; Yang, Jue; Gu, Wei; Li, Yanmei; Yuan, Chunmao; Hao, Xiaojiang</t>
  </si>
  <si>
    <t>Isolation and synthesis of rocaglaol derivatives by inhibiting Wnt/beta-catenin and MAPK signaling pathways against colorectal cancer</t>
  </si>
  <si>
    <t>Rocaglaol derivatives; Isolation and Synthesis; Colorectal cancer; MAPK signaling pathway; Wnt/beta-catenin signaling pathway</t>
  </si>
  <si>
    <t>POTENT ANTICANCER; WNT; FLAVAGLINES; DESIGN</t>
  </si>
  <si>
    <t>Eight rocaglaol derivatives with good cytotoxic activity (IC50: 0.013 similar to 5.82 mu M) were isolated from Aglaia odorata. Then, a series of novel derivatives with modifications on C3 of rocaglaol were designed, synthesized, and screened for their antitumor activities against three tumor cell lines (HEL, MDA-MB-231, and HCT116). A total of 44 derivatives exhibited significant cytotoxic activity with IC50 values lower than 1 mu M. In particular, four derivatives (14, 20, 22j, and 22r) exhibited the best cytotoxic activity against HCT116 cells, with an IC50 value of 70 nM. Compound 22r with relatively low toxicity against normal cells and the best cytotoxic activity against HCT116 cells was selected for further study. Subsequent cellular mechanism studies showed that compound 22r induced apoptosis and G1 cell cycle arrest in HCT116 cells. Moreover, compound 22r inhibited both the Wnt/beta-catenin and MAPK signaling pathways via key proteins, such as the phosphorylation of p38 and JNK, GSK-3 beta, Axin-2, etc. Therefore, our present results suggest that compound 22r is a potential candidate for developing novel anti-colorectal cancer agents in the future.</t>
  </si>
  <si>
    <t>Li, Yanan</t>
  </si>
  <si>
    <t>[Li, Yanan; Qiu, Jie; Yi, Ping; Yang, Jue; Gu, Wei; Li, Yanmei; Yuan, Chunmao; Hao, Xiaojiang] Guizhou Med Univ, State Key Lab Funct &amp; Applicat Med Plants, Guiyang 550014, Peoples R China; [Li, Yanan; Qiu, Jie; Yi, Ping; Yang, Jue; Gu, Wei; Li, Yanmei; Yuan, Chunmao; Hao, Xiaojiang] Guizhou Med Univ, Sch Pharmacuet Sci, Guiyang 550025, Peoples R China; [Li, Yanan; Qiu, Jie; Yi, Ping; Yang, Jue; Gu, Wei; Li, Yanmei; Yuan, Chunmao; Hao, Xiaojiang] Chinese Acad Sci, Key Lab Chem Nat Prod Guizhou Prov, Guiyang 550014, Peoples R China; [Hao, Xiaojiang] Chinese Acad Sci, Kunming Inst Bot, State Key Lab Phytochem &amp; Plant Resources West Ch, Kunming 650201, Yunnan, Peoples R China</t>
  </si>
  <si>
    <t>Li, YM; Yuan, CM; Hao, XJ (通讯作者)，Guizhou Med Univ, State Key Lab Funct &amp; Applicat Med Plants, Guiyang 550014, Peoples R China.;Li, YM; Yuan, CM; Hao, XJ (通讯作者)，Guizhou Med Univ, Sch Pharmacuet Sci, Guiyang 550025, Peoples R China.;Li, YM; Yuan, CM; Hao, XJ (通讯作者)，Chinese Acad Sci, Key Lab Chem Nat Prod Guizhou Prov, Guiyang 550014, Peoples R China.;Hao, XJ (通讯作者)，Chinese Acad Sci, Kunming Inst Bot, State Key Lab Phytochem &amp; Plant Resources West Ch, Kunming 650201, Yunnan, Peoples R China.</t>
  </si>
  <si>
    <t>liyanmei518@hotmail.com; yuanchunmao01@126.com; haoxj@mail.kib.ac.cn</t>
  </si>
  <si>
    <t>Science and Technology Department of Guizhou Province [QKH JC [2020]1Y400, QKHZC [2020]4Y203, QKHJC-ZK[2022]YB293, QKHPTRC [2020]5008, QKHJC-ZK[2021]YB569]; National Natural Science Foundation of China [81760630, 31960087, 82060631, 81872772, 81960546, U1812403, 82160808]; Cultivation project of National Natural Science Foundation of Guizhou Medical University; 13th batch of outstanding young scientific and technological talents in Guizhou Province [QKHPTRC [2021]5633]; High-level Innovative Talents in Guizhou Province (Thousand Levels of Talent for Chunmao Yuan in 2018); Light of the West Talent Cultivation Program of Chinese Academy of Sciences [RZ [2020]82]; Education Department of Guizhou Province [QJH KY [2021]189]; Science and Technology Department of Guizhou Province (The 100 Leading Talents of Guizhou Province fund); Technology Plan Project of Guizhou Province, China [QKHPTRC[2019]5627]</t>
  </si>
  <si>
    <t>Science and Technology Department of Guizhou Province; National Natural Science Foundation of China(National Natural Science Foundation of China (NSFC)); Cultivation project of National Natural Science Foundation of Guizhou Medical University; 13th batch of outstanding young scientific and technological talents in Guizhou Province; High-level Innovative Talents in Guizhou Province (Thousand Levels of Talent for Chunmao Yuan in 2018); Light of the West Talent Cultivation Program of Chinese Academy of Sciences; Education Department of Guizhou Province; Science and Technology Department of Guizhou Province (The 100 Leading Talents of Guizhou Province fund); Technology Plan Project of Guizhou Province, China</t>
  </si>
  <si>
    <t>This research was financially supported by the Science and Technology Department of Guizhou Province (QKH JC [2020]1Y400), the National Natural Science Foundation of China (No. 81760630, 31960087, 82060631, 81872772, 81960546, U1812403, and 82160808), the Science and Technology Department of Guizhou Province (QKHZC [2020]4Y203, QKHJC-ZK[2022]YB293, QKHPTRC [2020]5008 &amp; QKHJC-ZK[2021]YB569), Cultivation project of National Natural Science Foundation of Guizhou Medical University (For Chunmao Yuan), the 13th batch of outstanding young scientific and technological talents in Guizhou Province (QKHPTRC [2021]5633), High-level Innovative Talents in Guizhou Province (Thousand Levels of Talent for Chunmao Yuan in 2018), Light of the West Talent Cultivation Program of Chinese Academy of Sciences for Chunmao Yuan (RZ [2020]82), the Education Department of Guizhou Province (QJH KY [2021]189), the Science and Technology Department of Guizhou Province (The 100 Leading Talents of Guizhou Province fund for Y. M. L.), and Technology Plan Project of Guizhou Province, China (QKHPTRC[2019]5627).</t>
  </si>
  <si>
    <t>10.1016/j.bioorg.2022.106149</t>
  </si>
  <si>
    <t>5Z7WL</t>
  </si>
  <si>
    <t>WOS:000880178900006</t>
  </si>
  <si>
    <t>Li, XR; Hu, K; Yan, BC; Li, XN; Sun, HD; Liu, Y; Puno, PT</t>
  </si>
  <si>
    <t>Li, Xing-Ren; Hu, Kun; Yan, Bing-Chao; Li, Xiao-Nian; Sun, Han-Dong; Liu, Yang; Puno, Pema-Tenzin</t>
  </si>
  <si>
    <t>Scopariusicides D-M, ent-clerodane-based isomeric meroditerpenoids with a cyclobutane-fused gamma/delta-lactone core from Isodon scoparius</t>
  </si>
  <si>
    <t>Isodon scoparius; Meroditerpenoids; Chemical transformation; ECD calculation; Neuroprotective activity; Immunosuppressive activity</t>
  </si>
  <si>
    <t>DITERPENOIDS; ACID</t>
  </si>
  <si>
    <t>Scopariusicides D-M (1-10), ten new ent-clerodane-based meroditerpenoids with a cyclobutane-fused gamma/delta-lactone core, were isolated from Isodon scoparius. Their structures were determined by comprehensive analysis of spectroscopic data, single-crystal X-ray diffraction, chemical transformation, and TDDFT ECD calculation. A plausible biosynthetic pathway of 1-10 was proposed in which the asymmetrical cyclobutane ring was formed via a crossed head-to-tail intermolecular [2 + 2] cycloaddition in anti/syn facial approaches between an ent-clerodane lactone and a cis-4-hydroxycinnamic acid. Bioactivity evaluation manifested that 5 exhibited significant neuroprotective effect against corticosterone-induced injury in PC12 cells, while 6 and 7 exhibited moderate immunosuppressive activity against human T cell proliferation stimulated by anti-CD3/anti-CD28 mAb.</t>
  </si>
  <si>
    <t>[Li, Xing-Ren; Hu, Kun; Yan, Bing-Chao; Li, Xiao-Nian; Sun, Han-Dong; Puno, Pema-Tenzin] Chinese Acad Sci, Kunming Inst Bot, State Key Lab Phytochem &amp; Plant Resources West Ch, Kunming 650201, Yunnan, Peoples R China; [Li, Xing-Ren; Hu, Kun; Yan, Bing-Chao; Li, Xiao-Nian; Sun, Han-Dong; Puno, Pema-Tenzin] Yunnan Key Lab Nat Med Chem, Kunming 650201, Yunnan, Peoples R China; [Liu, Yang] Chengdu Med Coll, Sch Basic Med Sci, Dept Immunol, Chengdu 610083, Sichuan, Peoples R China</t>
  </si>
  <si>
    <t>Chinese Academy of Sciences; Kunming Institute of Botany, CAS; Chengdu Medical College</t>
  </si>
  <si>
    <t>Puno, PT (通讯作者)，Chinese Acad Sci, Kunming Inst Bot, State Key Lab Phytochem &amp; Plant Resources West Ch, Kunming 650201, Yunnan, Peoples R China.;Puno, PT (通讯作者)，Yunnan Key Lab Nat Med Chem, Kunming 650201, Yunnan, Peoples R China.</t>
  </si>
  <si>
    <t>punopematenzin@mail.kib.ac.cn</t>
  </si>
  <si>
    <t>Yan, Bing-Chao/0000-0002-9739-5234; Li, Xing-Ren/0000-0003-2454-4232</t>
  </si>
  <si>
    <t>NSFC-Joint Foundation of Yunnan Province [U2002221]; National Natural Science Foundation of China [81903520]; Second Tibetan Plateau Scientific Expedition and Research (STEP) program [2019QZKK0502]; CAS Interdisciplinary Innovation Team; Yunnan Science Fund for Distinguished Young Scholars [2019FJ002]; CAS Light of West China Program</t>
  </si>
  <si>
    <t>NSFC-Joint Foundation of Yunnan Province; National Natural Science Foundation of China(National Natural Science Foundation of China (NSFC)); Second Tibetan Plateau Scientific Expedition and Research (STEP) program; CAS Interdisciplinary Innovation Team; Yunnan Science Fund for Distinguished Young Scholars; CAS Light of West China Program</t>
  </si>
  <si>
    <t>This project was supported financially by the NSFC-Joint Foundation of Yunnan Province (U2002221), the National Natural Science Foundation of China (No. 81903520), the Second Tibetan Plateau Scientific Expedition and Research (STEP) program (2019QZKK0502), the CAS Light of West China Program and CAS Interdisciplinary Innovation Team (Pema-Tenzin Puno), and the Yunnan Science Fund for Distinguished Young Scholars (2019FJ002).</t>
  </si>
  <si>
    <t>10.1016/j.bioorg.2022.105973</t>
  </si>
  <si>
    <t>3J5TW</t>
  </si>
  <si>
    <t>WOS:000833458500004</t>
  </si>
  <si>
    <t>He, XF; Wu, SL; Chen, JJ; Hu, J; Huang, XY; Li, TZ; Zhang, XM; Guo, YQ; Geng, CA</t>
  </si>
  <si>
    <t>He, Xiao-Feng; Wu, Sheng-Li; Chen, Ji-Jun; Hu, Jing; Huang, Xiao-Yan; Li, Tian-Ze; Zhang, Xue-Mei; Guo, Yuan-Qiang; Geng, Chang-An</t>
  </si>
  <si>
    <t>New diarylheptanoid dimers as GLP-1 secretagogues and multiple-enzyme inhibitors from Alpinia katsumadai</t>
  </si>
  <si>
    <t>Alpinia katsumadai; Katsumadainols C-1-C-10; Diarylheptanoid dimers; Multiple-target antidiabetic agents; GLP-1 secretagogues; Enzyme inhibitors</t>
  </si>
  <si>
    <t>GLYCOGEN-PHOSPHORYLASE; RECEPTOR AGONISTS; ALPHA-GLUCOSIDASE; AGENTS; SEEDS</t>
  </si>
  <si>
    <t>Ten new diarylheptanoid dimers, katsumadainols C-1 - C-10 (1-10), were isolated from the seeds of Alpinia katsumada and elucidated by extensive spectroscopic methods, ECD calculations, and single-crystal X-ray diffraction. Their antidiabetic effects were evaluated by the stimulation of GLP-1 secretion in STC-1 cells and inhibition against four diabetes-related enzymes, GPa, alpha-glucosidase, PTP1B, and DPP4. Compounds 1-5 and 7-10 significantly stimulated GLP-1 secretion by 267.5-433.1% (25.0 mu M) and 117.8-348.2% (12.5 mu M). Compounds 1-4 exhibited significant inhibition on GPa with IC50 values of 18.0-31.3 mu M; compounds 1-5 showed obvious inhibition on alpha-glucosidase with IC50 values of 6.9-18.2 mu M; compounds 1-5 and 10 possessed PTP1B inhibitory activity with IC50 values ranging from 35.5 to 80.1 mu M. This investigation first disclosed compounds 1-4 as intriguing GLP-1 secretagogues and GPa, alpha-glucosidase, and PTP1B inhibitors, which provided valuable clues for searching multiple-target antidiabetic candidates from Zingiberaceae plants.</t>
  </si>
  <si>
    <t>He, Xiao-Feng</t>
  </si>
  <si>
    <t>[He, Xiao-Feng; Wu, Sheng-Li; Chen, Ji-Jun; Hu, Jing; Huang, Xiao-Yan; Li, Tian-Ze; Zhang, Xue-Mei; Geng, Chang-An] Chinese Acad Sci, Kunming Inst Bot, State Key Lab Phytochem &amp; Plant Resources West Ch, Yunnan Key Lab Nat Med Chem, 132 Lanhei Rd, Kunming 650201, Yunnan, Peoples R China; [Wu, Sheng-Li] Yunnan Univ, Sch Life Sci, Kunming 650500, Yunnan, Peoples R China; [Chen, Ji-Jun] Univ Chinese Acad Sci, Beijing 100049, Peoples R China; [Guo, Yuan-Qiang] Nankai Univ, Coll Pharm, Tianjin 300071, Peoples R China; [Guo, Yuan-Qiang] Nankai Univ, Tianjin Key Lab Mol Drug Res, Tianjin 300071, Peoples R China</t>
  </si>
  <si>
    <t>Chinese Academy of Sciences; Kunming Institute of Botany, CAS; Yunnan University; Chinese Academy of Sciences; University of Chinese Academy of Sciences, CAS; Nankai University; Nankai University</t>
  </si>
  <si>
    <t>Geng, CA (通讯作者)，Chinese Acad Sci, Kunming Inst Bot, State Key Lab Phytochem &amp; Plant Resources West Ch, Yunnan Key Lab Nat Med Chem, 132 Lanhei Rd, Kunming 650201, Yunnan, Peoples R China.</t>
  </si>
  <si>
    <t>gengchangan@mail.kib.ac.cn</t>
  </si>
  <si>
    <t>chen, JJ/HGB-6029-2022; Guo, Yuan/HKV-9606-2023</t>
  </si>
  <si>
    <t>National Natural Science Foundation of China [82173718]; Yunnan Wanren Project [YNWRQNBJ-2018-061, YNWR-KJLJ-2019-002]; Fund of State Key Laboratory of Phytochemistry and Plant Resources in West China [P2020KF05]; Postdoctoral Oriented Training Program of Yunnan Province [E131821261]; CAS Special Research Assistant Project [E12D9211Q1]; Yunnan Science Funds for Excellent Young Scholars [2019FI017]; Reserve Talents of Young and Middle-aged Academic and Technical Leaders in Yunnan Province [2018HB067]</t>
  </si>
  <si>
    <t>National Natural Science Foundation of China(National Natural Science Foundation of China (NSFC)); Yunnan Wanren Project; Fund of State Key Laboratory of Phytochemistry and Plant Resources in West China; Postdoctoral Oriented Training Program of Yunnan Province; CAS Special Research Assistant Project; Yunnan Science Funds for Excellent Young Scholars; Reserve Talents of Young and Middle-aged Academic and Technical Leaders in Yunnan Province</t>
  </si>
  <si>
    <t>This work was financially supported by the National Natural Science Foundation of China (82173718), the Yunnan Wanren Project (YNWRQNBJ-2018-061, YNWR-KJLJ-2019-002), the Fund of State Key Laboratory of Phytochemistry and Plant Resources in West China (P2020KF05), the Postdoctoral Oriented Training Program of Yunnan Province (E131821261), CAS Special Research Assistant Project (E12D9211Q1), the Yunnan Science Funds for Excellent Young Scholars (2019FI017) and Distinguished Young Scholars, and the Reserve Talents of Young and Middle-aged Academic and Technical Leaders in Yunnan Province (2018HB067).</t>
  </si>
  <si>
    <t>10.1016/j.bioorg.2022.105653</t>
  </si>
  <si>
    <t>2Q7SH</t>
  </si>
  <si>
    <t>WOS:000820618400005</t>
  </si>
  <si>
    <t>Qiu, CL; Ye, ZN; Yan, BC; Hu, K; Yang, J; Yang, XZ; Li, HM; Li, XN; Sun, HD; Puno, PT</t>
  </si>
  <si>
    <t>Qiu, Cai-Ling; Ye, Zhen-Nan; Yan, Bing-Chao; Hu, Kun; Yang, Jin; Yang, Xing-Zhi; Li, Hong-Mei; Li, Xiao-Nian; Sun, Han-Dong; Puno, Pema-Tenzin</t>
  </si>
  <si>
    <t>Structurally diverse diterpenoids from Isodon oresbius and their bioactivity</t>
  </si>
  <si>
    <t>Isodon oresbius; Diterpenoids; Cytotoxicity; Apoptosis; Lysosomal activity</t>
  </si>
  <si>
    <t>ENT-KAURANE DITERPENOIDS; KAURENE DITERPENOIDS; PATHWAY; PROTEIN; LEAVES; CELLS</t>
  </si>
  <si>
    <t>Twelve new diterpenoids, isoresbins A-L (1-12), together with twenty-eight known ones, were isolated from the aerial parts of Isodon oresbius. Their diverse structures included 6,7-seco-ent-kaurane, 7,20-epoxy-ent-kaurane, 6,7:8,15-diseco-ent-kaurane, and abietanes skeletons, which were elucidated by spectroscopic data interpretation, single-crystal X-ray diffraction, and quantum chemical calculation. Isoresbins A (1) and B (2) possessed a new rearranged 15(8 -&gt; 11)-abeo-6,7-seco-ent-kaurane skeleton. 1 and 5 promoted lysosomal function, which was evaluated by LysoTracker Red staining and DQ-ovalbumin dequenching assay. 1 showed cytotoxicity against six human tumor cell lines with IC50 values in 2.07-4.04 mu M range. Moreover, 1 induced damage of mitochondrial membrane potential, G2/M cell cycle arrest and apoptosis in SW480 cells.</t>
  </si>
  <si>
    <t>Qiu, Cai-Ling</t>
  </si>
  <si>
    <t>[Qiu, Cai-Ling; Yan, Bing-Chao; Hu, Kun; Yang, Jin; Yang, Xing-Zhi; Li, Hong-Mei; Li, Xiao-Nian; Sun, Han-Dong; Puno, Pema-Tenzin] Kunming Inst Bot, Chinese Acad Sci, State Key Lab Phytochemistry &amp; Plant Resources Wes, Kunming 650201, Yunnan, Peoples R China; [Qiu, Cai-Ling; Yan, Bing-Chao; Hu, Kun; Yang, Jin; Yang, Xing-Zhi; Li, Hong-Mei; Li, Xiao-Nian; Sun, Han-Dong; Puno, Pema-Tenzin] Univ Chinese Acad Sci, Beijing 100049, Peoples R China; [Ye, Zhen-Nan] Affiliated Hosp Guangdong Med Univ, Inst Nephrol, Key Lab Prevent &amp; Management Chron Kidney Dis Zhan, Zhanjiang 524001, Guangdong, Peoples R China; Yunnan Key Lab Nat Med Chem, Kunming 650201, Yunnan, Peoples R China</t>
  </si>
  <si>
    <t>Chinese Academy of Sciences; Kunming Institute of Botany, CAS; Chinese Academy of Sciences; University of Chinese Academy of Sciences, CAS; Guangdong Medical University</t>
  </si>
  <si>
    <t>Yan, BC; Puno, PT (通讯作者)，Kunming Inst Bot, Chinese Acad Sci, State Key Lab Phytochemistry &amp; Plant Resources Wes, Kunming 650201, Yunnan, Peoples R China.</t>
  </si>
  <si>
    <t>yanbingchao@mail.kib.ac.cn; punopematenzin@mail.kib.ac.cn</t>
  </si>
  <si>
    <t>Ye, Zhen-Nan/HCI-7515-2022</t>
  </si>
  <si>
    <t>Ye, Zhen-Nan/0000-0002-1237-1971; Yan, Bing-Chao/0000-0002-9739-5234</t>
  </si>
  <si>
    <t>National Natural Science Foundation of China [22007089, 81673329, 81903520, 82100769]; NSFC-Joint Foundation of Yunnan Province [U2002221]; CAS Light of West China Program; Yunnan Science Fund for Distinguished Young Scholars [2019FJ002]</t>
  </si>
  <si>
    <t>National Natural Science Foundation of China(National Natural Science Foundation of China (NSFC)); NSFC-Joint Foundation of Yunnan Province; CAS Light of West China Program; Yunnan Science Fund for Distinguished Young Scholars</t>
  </si>
  <si>
    <t>This project was supported by the National Natural Science Foundation of China (Nos: 22007089, 81673329, 81903520, and 82100769), the NSFC-Joint Foundation of Yunnan Province (U2002221), the CAS Light of West China Program (Pema-Tenzin Puno), and the Yunnan Science Fund for Distinguished Young Scholars (2019FJ002). We thank Supercomputing Environment of Chinese Academy of Sciences (ScGrid; Website: http://cscgrid.cas.cn) for generously providing computational resources.</t>
  </si>
  <si>
    <t>10.1016/j.bioorg.2022.105811</t>
  </si>
  <si>
    <t>1G7BS</t>
  </si>
  <si>
    <t>WOS:000796000100005</t>
  </si>
  <si>
    <t>Wang, GK; Sun, YP; Jin, WF; Yu, Y; Zhu, JY; Liu, JS</t>
  </si>
  <si>
    <t>Wang, Guo-Kai; Sun, Yun-Peng; Jin, Wen-Fang; Yu, Yang; Zhu, Jian-Yong; Liu, Jin-Song</t>
  </si>
  <si>
    <t>Limonoids from Swietenia macrophylla and their antitumor activities in A375 human malignant melanoma cells</t>
  </si>
  <si>
    <t>Swietenia macrophylla; Limonoids; Cytotoxicity; Apoptosis</t>
  </si>
  <si>
    <t>MAHAGONI JACQ; TETRANORTRITERPENOIDS; SEEDS; KHAYANOLIDES; CONSTITUENTS; FRUITS</t>
  </si>
  <si>
    <t>Swietelinins A - C (1-3) and swieteliacates F - R (4-16), sixteen new limonoids and 18 known limonoids (17-34) were isolated from Swietenia macrophylla. The absolute configurations of these compounds were defined by using a combination of electronic circular dichroism data analysis and single-crystal X-ray diffraction data. Swieteliacate J (10) is the first limonoid possessing an unusual 8 beta, 9 beta-epoxy ring system. All of the compounds were tested for cytotoxicity against four human tumor cell lines (SMMC-7721, SW620, A549, and A375). Compounds 10, 11, and 19 exhibited selectively moderate cytotoxicity against four tumor cell lines, especially 19 exhibited significant cytotoxic effects against A375 with IC50 an value of 9.8 mu M and was more active than the positive control, dacarbazine with an IC50 value of 22.4 mu M. Compound 19 effectively induced apoptosis of A375, which was associated with G2/M-phase cell cycle arrest. Flow cytometric analysis showed that the treatment by 19 significantly induced A375 cell apoptosis in a dose-dependent manner.</t>
  </si>
  <si>
    <t>Wang, Guo-Kai</t>
  </si>
  <si>
    <t>[Wang, Guo-Kai; Sun, Yun-Peng; Jin, Wen-Fang; Liu, Jin-Song] Anhui Univ Chinese Med, Sch Pharm, Anhui Prov Key Lab Res &amp; Dev Chinese Med, Hefei 230012, Peoples R China; [Yu, Yang] Chinese Acad Sci, Kunming Inst Bot, State Key Lab Phytochem &amp; Plant Resources West Ch, Kunming 650201, Peoples R China; [Zhu, Jian-Yong] Shanghai Univ Tradit Chinese Med, Yueyang Hosp Integrated Tradit Chinese &amp; Western, Clin Lab Med Ctr, Shanghai 200437, Peoples R China</t>
  </si>
  <si>
    <t>Anhui University of Chinese Medicine; Chinese Academy of Sciences; Kunming Institute of Botany, CAS; Shanghai University of Traditional Chinese Medicine</t>
  </si>
  <si>
    <t>Wang, GK; Liu, JS (通讯作者)，Anhui Univ Chinese Med, Sch Pharm, Anhui Prov Key Lab Res &amp; Dev Chinese Med, Hefei 230012, Peoples R China.;Zhu, JY (通讯作者)，Shanghai Univ Tradit Chinese Med, Yueyang Hosp Integrated Tradit Chinese &amp; Western, Clin Lab Med Ctr, Shanghai 200437, Peoples R China.</t>
  </si>
  <si>
    <t>wanggk@ahtcm.edu.cn; jyzhu@foxmail.com; jinsongliu@ahtcm.edu.cn</t>
  </si>
  <si>
    <t>Yu, Yang/GMW-5084-2022</t>
  </si>
  <si>
    <t>Yu, Yang/0000-0002-9477-2313</t>
  </si>
  <si>
    <t>Natural Science Foundation of Anhui province [2008085MH289]; Natural Science Key Research Program of Anhui Province University [KJ2021A0597]; National Natural Science Foundation of the People's Republic of China [81703672]</t>
  </si>
  <si>
    <t>Natural Science Foundation of Anhui province(Natural Science Foundation of Anhui Province); Natural Science Key Research Program of Anhui Province University; National Natural Science Foundation of the People's Republic of China(National Natural Science Foundation of China (NSFC))</t>
  </si>
  <si>
    <t>This work was financially supported by grants from the Natural Science Foundation of Anhui province (2008085MH289); Natural Science Key Research Program of Anhui Province University (KJ2021A0597); and National Natural Science Foundation of the People's Republic of China (81703672).</t>
  </si>
  <si>
    <t>10.1016/j.bioorg.2022.105780</t>
  </si>
  <si>
    <t>1C1YD</t>
  </si>
  <si>
    <t>WOS:000792922300007</t>
  </si>
  <si>
    <t>Wang, LY; Li, WY; Zhou, HF; Zhao, XY; Li, XN; Wu, XD; Zhao, QS</t>
  </si>
  <si>
    <t>Wang, Liu-Yan; Li, Wen-Yan; Zhou, Hao-Feng; Zhao, Xue-Yu; Li, Xiao-Nian; Wu, Xing-De; Zhao, Qin-Shi</t>
  </si>
  <si>
    <t>Spiroligustolides A and B: Two pairs of enantiomeric spiro-orthoester-containing phthalide dimers as Ca(v)3.1 calcium channel inhibitors from Ligusticum Chuanxiong Hort</t>
  </si>
  <si>
    <t>Ligusticum chuanxiong Hort; Phthalide dimer; Spiroorthoester; Ca(v)3.1 calcium inhibitor</t>
  </si>
  <si>
    <t>MECHANISMS; RHIZOMES</t>
  </si>
  <si>
    <t>Two pairs of unprecedented enantiomeric phthalide dimers, spiroligustolides A (1a/1b) and B (2a/2b), featuring a unique spiroorthoster linkage between two monomeric units to form a 5/6/5/6/6-fused ring system, were isolated from the roots of Ligusticum chuanxiong. The structures and relative configurations of 1 and 2 were determined by HR-ESI-MS, IR, and NMR spectroscopic data, coupled with single-crystal X-ray diffraction analysis, and the absolute configurations of 1a, 1b, 2a, and 2b were established by comparing the experimental and calculated electronic circular dichroism (ECD) data. Plausible biosynthetic pathway for 1 and 2 was proposed. Moreover, compounds 1, 1b, and 2b showed remarkable inhibitory activities on Ca(v)3.1 calcium channel with IC50 values of 8.34, 7.08, and 8.60 mu M, respectively.</t>
  </si>
  <si>
    <t>Wang, Liu-Yan</t>
  </si>
  <si>
    <t>[Wang, Liu-Yan; Li, Wen-Yan; Zhou, Hao-Feng; Zhao, Xue-Yu; Li, Xiao-Nian; Wu, Xing-De; Zhao, Qin-Shi] Chinese Acad Sci, Kunming Inst Bot, State Key Lab Phytochem &amp; Plant Resources West Ch, Kunming 650201, Yunnan, Peoples R China; [Wang, Liu-Yan; Zhao, Xue-Yu] Kunming Med Univ, Sch Pharmaceut Sci, Kunming 650500, Yunnan, Peoples R China; [Wang, Liu-Yan; Zhao, Xue-Yu] Kunming Med Univ, Yunnan Key Lab Pharmacol Nat Prod, Kunming 650500, Yunnan, Peoples R China; [Wu, Xing-De] Yunnan Minzu Univ, Key Lab Ethn Med Resource Chem, State Ethn Affairs Commiss, Kunming 650500, Yunnan, Peoples R China; [Wu, Xing-De] Yunnan Minzu Univ, Minist Educ, Kunming 650500, Yunnan, Peoples R China</t>
  </si>
  <si>
    <t>Chinese Academy of Sciences; Kunming Institute of Botany, CAS; Kunming Medical University; Kunming Medical University; Yunnan Minzu University; Yunnan Minzu University</t>
  </si>
  <si>
    <t>Wu, XD; Zhao, QS (通讯作者)，Chinese Acad Sci, Kunming Inst Bot, State Key Lab Phytochem &amp; Plant Resources West Ch, Kunming 650201, Yunnan, Peoples R China.</t>
  </si>
  <si>
    <t>wuxingde@mail.kib.ac.cn; qinshizhao@mail.kib.ac.cn</t>
  </si>
  <si>
    <t>National Natural Science Foundation of China [21837003, 81773611]; Science and Technology Program of Yunnan province [2019FA037]; Top Young Talent of the Ten Thousand Talents Program of Yunnan Province</t>
  </si>
  <si>
    <t>National Natural Science Foundation of China(National Natural Science Foundation of China (NSFC)); Science and Technology Program of Yunnan province; Top Young Talent of the Ten Thousand Talents Program of Yunnan Province</t>
  </si>
  <si>
    <t>Acknowledgments This work was financially supported by the National Natural Science Foundation of China (Nos. 21837003 and 81773611) , the Science and Technology Program of Yunnan province (No. 2019FA037) , the Top Young Talent of the Ten Thousand Talents Program of Yunnan Province (X.-D. Wu) .</t>
  </si>
  <si>
    <t>10.1016/j.bioorg.2022.105749</t>
  </si>
  <si>
    <t>WOS:000792922300004</t>
  </si>
  <si>
    <t>Hai, P; Rao, KR; Jiang, N; Liu, D; Wang, RR; Gao, Y; Liu, XC; Deng, SH; Zhou, Y; Chen, XQ; Li, XNA; Li, RT</t>
  </si>
  <si>
    <t>Hai, Ping; Rao, Kairui; Jiang, Na; Liu, Dan; Wang, Ruirui; Gao, Yuan; Liu, Xiaocong; Deng, Sihao; Zhou, Yu; Chen, Xuanqin; Li, Xiaonian; Li, Rongtao</t>
  </si>
  <si>
    <t>Structure elucidation, biogenesis, and bioactivities of acylphloroglucinol-derived meroterpenoid enantiomers from Dryopteris crassirhizoma</t>
  </si>
  <si>
    <t>Dryopteris crassirhizoma; Acylphloroglucinol meroterpenoid; Single-crystal X-ray; Anti-inflammatory activity; Antiviral activity; Antifungal activity</t>
  </si>
  <si>
    <t>VIRUS</t>
  </si>
  <si>
    <t>Twenty-four racemic acylphloroglucinol meroterpenoids including eighteen unusual stuctures (3 - 10, 13, 14, and 17 -24), and a major component filixic acid ABA (25), were isolated from Dryopteris crassirhizoma. Structurally, the dimeric acylphloroglucinol derivatives possess unprecedented skeletons of mixed acylphloroglucinol and sesquiterpene biosynthetic origin. The stereochemistries of six reported meroterpenoids with undefined chiral centers were reassigned. Two intriguing methods by analyzing a) the regularity of chemical shift variation of protons and carbons around the stereogenic centers, and b) pyridine-induced deshielding effect of hydroxy groups, to discriminate relative configurations of flexible long-chain alcohol with chiral centers separated by three or seven covalent bonds, were successfully applied. A non-enzymatic biosynthesis of 1 -24 was assumed based on a rare single-crystal cluster formed with two diastereomeric enantiomer pairs (&amp; PLUSMN;1/&amp; PLUSMN;2) and chiral HPLC analyses. Meroterpenoids 13 and 14 showed obvious inhibitory effects on NO production in LPS-induced RAW264.7, and suppressed the expression of iNOS, COX-2, IL-1 beta, and IL-18. Their anti-inflammatory activity was closely related to the inhibition of the formation and function of inflammasomes. Additionally, the known 25 showed antiviral efficacy against the influenza viruse A/Puerto Rico/8/1934 (H1N1).</t>
  </si>
  <si>
    <t>Hai, Ping</t>
  </si>
  <si>
    <t>[Hai, Ping; Rao, Kairui; Jiang, Na; Liu, Dan; Liu, Xiaocong; Chen, Xuanqin; Li, Rongtao] Kunming Univ Sci &amp; Technol, Fac Life Sci &amp; Technol, Kunming 650500, Yunnan, Peoples R China; [Wang, Ruirui] Yunnan Univ Chinese Med, Sch Pharmaceut Sci, Kunming 650500, Yunnan, Peoples R China; [Gao, Yuan; Deng, Sihao; Zhou, Yu] Yibin Univ, Fac Mat &amp; Chem Engn, Yibin 644000, Peoples R China; [Li, Xiaonian] Chinese Acad Sci, Kunming Inst Bot, State Key Lab Phytochem &amp; Plant Resources West Ch, Kunming 650201, Yunnan, Peoples R China</t>
  </si>
  <si>
    <t>Kunming University of Science &amp; Technology; Yunnan University of Chinese Medicine; Yibin University; Chinese Academy of Sciences; Kunming Institute of Botany, CAS</t>
  </si>
  <si>
    <t>Li, RT (通讯作者)，Kunming Univ Sci &amp; Technol, Fac Life Sci &amp; Technol, Kunming 650500, Yunnan, Peoples R China.</t>
  </si>
  <si>
    <t>rongtaolikm@163.com</t>
  </si>
  <si>
    <t>Gao, Yuan/0000-0002-4007-1108</t>
  </si>
  <si>
    <t>National Natural Science Foundation of China [22067012, 82073737, 82060637, 21702181]; Yunnan Innovation Team [2019HC018]; Higher Educational Key Laboratory for New drugs for Viral Respiratory Diseases (Chinese Traditional Medicine) of Yunnan Province</t>
  </si>
  <si>
    <t>National Natural Science Foundation of China(National Natural Science Foundation of China (NSFC)); Yunnan Innovation Team; Higher Educational Key Laboratory for New drugs for Viral Respiratory Diseases (Chinese Traditional Medicine) of Yunnan Province</t>
  </si>
  <si>
    <t>This work was financially supported by National Natural Science Foundation of China (No. 22067012, 82073737, 82060637, and 21702181), the Yunnan Innovation Team (2019HC018), and the Higher Educational Key Laboratory for New drugs for Viral Respiratory Diseases (Chinese Traditional Medicine) of Yunnan Province.</t>
  </si>
  <si>
    <t>10.1016/j.bioorg.2021.105567</t>
  </si>
  <si>
    <t>1D8ZP</t>
  </si>
  <si>
    <t>WOS:000794086600006</t>
  </si>
  <si>
    <t>Yang, BJ; Fan, SR; Zhang, XF; Cai, JY; Ruan, T; Xiang, ZR; Ren, J; Hao, XJ; Chen, DZ</t>
  </si>
  <si>
    <t>Yang, Bi-juan; Fan, Shi-rui; Zhang, Xin-fang; Cai, Jie-yun; Ruan, Ting; Xiang, Zheng-rui; Ren, Juan; Hao, Xiao-jiang; Chen, Duo-zhi</t>
  </si>
  <si>
    <t>Design, synthesis and structure-activity relationship optimization of phenanthridine derivatives as new anti-vitiligo compounds</t>
  </si>
  <si>
    <t>Vitiligo; Phenanthridine alkaloids; Melanogenesis; Wnt; fi-catenin signalling; Axin</t>
  </si>
  <si>
    <t>MELANIN SYNTHESIS</t>
  </si>
  <si>
    <t>Humans have been suffering from vitiligo for a long time. Target vitiligo drugs have yet been approved. Acti-vation of Wnt/fi-catenin signalling has potential in the therapeutic use of vitiligo, so exploring new drugs that specifically directly activate Wnt is worthwhile to obtain new anti-vitiligo agents. In this work, two portions design and synthesis were put into effect. firstly, 17 phenanthridine derivatives with C-4 substitutes were designed and synthesized, which compounds 4, 6, 12, 13 served as H-acceptor with protein showed enhance melanogenesis activity; Secondly, 7 hybrid new scaffolds of compounds were designed and synthesized, scaffold hopping compound 36 that aromatic benzene was replaced pyrazole on ring C showed enhance melanogenesis and tyrosinase activity; The last and most important, a comprehensive optimization and SARs of compound 36 were carried out, compounds 41 and 43 shared phenolic hydroxyl or 3-methyl-pyridine substitutes at C-7 po-sition remarkably improved the capacity of melanogenesis and tyrosinase activity. Compound 43 were identified as new anti-vitiligo agents that specifically activate the Wnt/fi-catenin signalling pathway by targeting Axin. Structure-activity relationship analysis implied that H-acceptor substitutions at the C-4 position and phenolic hydroxyl or pyridine substitutions at the C-7 position would improve the activities of the compounds. These findings reveal a new therapeutic strategy for vitiligo, and compounds 41 and 43 may represent potential compounds for vitiligo treatment.</t>
  </si>
  <si>
    <t>Yang, Bi-juan</t>
  </si>
  <si>
    <t>[Yang, Bi-juan; Fan, Shi-rui; Zhang, Xin-fang; Cai, Jie-yun; Ruan, Ting; Xiang, Zheng-rui; Ren, Juan; Hao, Xiao-jiang; Chen, Duo-zhi] Chinese Acad Sci, Kunming Inst Bot, State Key Lab Phytochem &amp; Plant Resources West Ch, Kunming 650201, Yunnan, Peoples R China; [Yang, Bi-juan] Yunnan Minzu Univ, Key Lab Chem Ethn Med Resources, State Ethn Affairs Commiss, Kunming 650031, Yunnan, Peoples R China; [Yang, Bi-juan] Yunnan Minzu Univ, Minist Educ, Kunming 650031, Yunnan, Peoples R China; [Fan, Shi-rui; Ruan, Ting; Xiang, Zheng-rui] Univ Chinese Acad Sci, Beijing 100049, Peoples R China; [Zhang, Xin-fang; Ren, Juan] Yunnan Univ, Sch Life Sci, Kunming 650000, Yunnan, Peoples R China</t>
  </si>
  <si>
    <t>Chinese Academy of Sciences; Kunming Institute of Botany, CAS; Yunnan Minzu University; Yunnan Minzu University; Chinese Academy of Sciences; University of Chinese Academy of Sciences, CAS; Yunnan University</t>
  </si>
  <si>
    <t>Hao, XJ; Chen, DZ (通讯作者)，Chinese Acad Sci, Kunming Inst Bot, State Key Lab Phytochem &amp; Plant Resources West Ch, Kunming 650201, Yunnan, Peoples R China.</t>
  </si>
  <si>
    <t>haoxj@mail.kib.ac.cn; chenduozhi@mail.kib.ac.cn</t>
  </si>
  <si>
    <t>National Natural Science Foundation of China [81773610, 81973212]; Youth Innovation Promotion Association of CAS [2018429]; Key Research and Development Project of Yunnan Province [202003AD150012]; Central Asian Drug Discovery and Development Center of Chinese Academy of Sciences [CAM202103]; Natural Science Foundation of Yunnan [202101AT070169]</t>
  </si>
  <si>
    <t>National Natural Science Foundation of China(National Natural Science Foundation of China (NSFC)); Youth Innovation Promotion Association of CAS; Key Research and Development Project of Yunnan Province; Central Asian Drug Discovery and Development Center of Chinese Academy of Sciences; Natural Science Foundation of Yunnan(Natural Science Foundation of Yunnan Province)</t>
  </si>
  <si>
    <t>This research was funded by the National Natural Science Foundation of China [81773610, 81973212]; the Youth Innovation Promotion Association of CAS [2018429]; Key Research and Development Project of Yunnan Province [202003AD150012]; The Central Asian Drug Discovery and Development Center of Chinese Academy of Sciences [CAM202103]; Natural Science Foundation of Yunnan [202101AT070169].</t>
  </si>
  <si>
    <t>10.1016/j.bioorg.2021.105582</t>
  </si>
  <si>
    <t>WOS:000794086600007</t>
  </si>
  <si>
    <t>Li, Y; Wei, CM; Li, XY; Meng, DC; Gu, ZJ; Qu, SP; Huang, MJ; Huang, HQ</t>
  </si>
  <si>
    <t>Li, Yang; Wei, Chun-Mei; Li, Xin-Yi; Meng, Dan-Chen; Gu, Zhi-Jia; Qu, Su-Ping; Huang, Mei-Juan; Huang, Hai-Quan</t>
  </si>
  <si>
    <t>De novotranscriptome sequencing of Impatiens uliginosa and the analysis of candidate genes related to spur development</t>
  </si>
  <si>
    <t>BMC PLANT BIOLOGY</t>
  </si>
  <si>
    <t>Impatiens uliginosa; Transcriptome; Nectar spur; Spur development</t>
  </si>
  <si>
    <t>TRANSCRIPTION FACTOR; PETAL-SPUR; KNOX GENES; BOX GENE; FLOWER; EXPRESSION; EVOLUTION; LENGTH; ANNOTATION; AQUILEGIA</t>
  </si>
  <si>
    <t>Background: Spur, a structure capable of producing and storing nectar, not only plays a vital role in the pollination process but also promotes the rapid diversification of some plant lineages, which is considered a key innovation in plants. Spur is the focus of many studies, such as evolution and ecological hypothesis, but the current understanding of spur development is limited. High-throughput sequencing of Impatiens uliginosa was carried out to study the molecular mechanism of its spur development, which is believed to provide some insights into the spur development of Impatiens.Results: Transcriptomic sequencing and analysis were performed on spurs and limbs of I. uliginosa at three developmental stages. A total of 47.83 Gb of clean data were obtained, and 49,716 unigene genes were assembled. After comparison with NR, Swiss-Prot, Pfam, COG, GO and KEGG databases, a total of 27,686 genes were annotated successfully. Through comparative analysis, 19,356 differentially expressed genes were found and enriched into 208 GO terms and 146 KEGG pathways, among which plant hormone signal transduction was the most significantly enriched pathway. One thousand thirty-two transcription factors were identified, which belonged to 33 TF families such as MYB, bHLH and TCP. Twenty candidate genes that may be involved in spur development were screened and verified by qPCR, such as SBP, IAA and ABP.Conclusions: Transcriptome data of different developmental stages of spurs were obtained, and a series of candidate genes related to spur development were identified. The importance of genes related to cell cycle, cell division, cell elongation and hormones in spur development was clarified. This study provided valuable information and resources for understanding the molecular mechanism of spur development in Impatiens.</t>
  </si>
  <si>
    <t>Li, Yang</t>
  </si>
  <si>
    <t>[Li, Yang; Wei, Chun-Mei; Li, Xin-Yi; Meng, Dan-Chen; Huang, Mei-Juan; Huang, Hai-Quan] Southwest Forestry Univ, Coll Landscape Architecture &amp; Hort Sci, Southwest Res Ctr Engn Technol Landscape Architect, Yunnan Engn Res Ctr Funct Flower Resources &amp; Indus, Kunming 650224, Yunnan, Peoples R China; [Gu, Zhi-Jia] Chinese Acad Sci, Kunming Inst Bot, Key Lab Plant Biodivers &amp; Biogeog East Asia, Kunming 650201, Yunnan, Peoples R China; [Qu, Su-Ping] Yunnan Acad Agr Sci, Flower Res Inst, Kunming 650205, Yunnan, Peoples R China</t>
  </si>
  <si>
    <t>Southwest Forestry University - China; Chinese Academy of Sciences; Kunming Institute of Botany, CAS; Yunnan Academy of Agricultural Sciences</t>
  </si>
  <si>
    <t>Huang, MJ; Huang, HQ (通讯作者)，Southwest Forestry Univ, Coll Landscape Architecture &amp; Hort Sci, Southwest Res Ctr Engn Technol Landscape Architect, Yunnan Engn Res Ctr Funct Flower Resources &amp; Indus, Kunming 650224, Yunnan, Peoples R China.</t>
  </si>
  <si>
    <t>xmhhq2001@163.com; haiquanl@163.com</t>
  </si>
  <si>
    <t>National Natural Science Foundation of China [32060364, 32060366, 31860230]; Major Science and Technology Projects in Yunnan Province [202102AE090052]; Young and Middle-aged Academic and Technical Leadership Training Project of Yunnan; Doctoral Tutor Team for Genetic Improvement and High-efficient Propagation of Landscape Plants in Yunnan Province [2018HB024]</t>
  </si>
  <si>
    <t>National Natural Science Foundation of China(National Natural Science Foundation of China (NSFC)); Major Science and Technology Projects in Yunnan Province; Young and Middle-aged Academic and Technical Leadership Training Project of Yunnan; Doctoral Tutor Team for Genetic Improvement and High-efficient Propagation of Landscape Plants in Yunnan Province</t>
  </si>
  <si>
    <t>This study was financially supported by the National Natural Science Foundation of China (32060364, 32060366, 31860230), Major Science and Technology Projects in Yunnan Province (202102AE090052), Young and Middle-aged Academic and Technical Leadership Training Project of Yunnan and Doctoral Tutor Team for Genetic Improvement and High-efficient Propagation of Landscape Plants in Yunnan Province (2018HB024).</t>
  </si>
  <si>
    <t>1471-2229</t>
  </si>
  <si>
    <t>BMC PLANT BIOL</t>
  </si>
  <si>
    <t>BMC Plant Biol.</t>
  </si>
  <si>
    <t>10.1186/s12870-022-03894-1</t>
  </si>
  <si>
    <t>http://dx.doi.org/10.1186/s12870-022-03894-1</t>
  </si>
  <si>
    <t>7Z0CQ</t>
  </si>
  <si>
    <t>WOS:000915235700001</t>
  </si>
  <si>
    <t>Wang, GY; Chen, Q; Yang, Y; Duan, YW; Yang, YP</t>
  </si>
  <si>
    <t>Wang, Guangyan; Chen, Qian; Yang, Ya; Duan, Yuanwen; Yang, Yongping</t>
  </si>
  <si>
    <t>Exchanges of economic plants along the land silk road</t>
  </si>
  <si>
    <t>Crop species; Migration route; Conflict; Consistency; The Land Silk Road</t>
  </si>
  <si>
    <t>FRAGMENT-LENGTH-POLYMORPHISMS; CULTIVATED COMMON BUCKWHEAT; BEAN PHASEOLUS-VULGARIS; DOMESTICATION HISTORY; GENETIC DIVERSITY; ANACARDIACEAE GERMPLASM; POLYPHYLETIC ORIGIN; GENOMIC ANALYSIS; BRASSICA-JUNCEA; PISTACIA-VERA</t>
  </si>
  <si>
    <t>BackgroudThe greatest contribution of the Silk Road is to communicate among different countries and nationalities, and promote two-way cultural exchanges between the East and the West. We now have clearer understanding about how material civilization and religious culture of Central Asia and West Asia spread eastward along the Land Silk Road. However, there is controversial about how crops migrate along the Land Silk Road. ResultsWe summarize archaeology, genetics, and genomics data to explore crop migration patterns. Of the 207 crops that were domesticated along the Land Silk Road, 19 for which genomic evidence was available were selected for discussion. ConclusionsThere were conflicting lines of evidence for the domestication of Tibetan barley, mustard, lettuce, buckwheat, and chickpea. The main reasons for the conflicting results may include incomplete early knowledge, record differences in different period, sample sizes, and data analysis techniques. There was strong evidence that Tibetan barley, barley, wheat, and jujube were introduced into China before the existence of the Land Silk Road; and mustard, lettuce, buckwheat, chickpea, alfalfa, walnut, cauliflower, grape, spinach, apple, cucumber, mulberry, and pea spread to China via trade and human migration along the Land Silk Road.</t>
  </si>
  <si>
    <t>Wang, Guangyan</t>
  </si>
  <si>
    <t>[Wang, Guangyan; Chen, Qian; Yang, Ya; Duan, Yuanwen; Yang, Yongping] Chinese Acad Sci, Kunming Inst Bot, Germplasm Bank Wild Species, Kunming 650201, Peoples R China; [Wang, Guangyan; Chen, Qian; Yang, Ya; Duan, Yuanwen; Yang, Yongping] Chinese Acad Sci, Inst Tibetan Plateau Res Kunming, Kunming 650201, Peoples R China</t>
  </si>
  <si>
    <t>Chinese Academy of Sciences; Kunming Institute of Botany, CAS; Chinese Academy of Sciences</t>
  </si>
  <si>
    <t>Duan, YW; Yang, YP (通讯作者)，Chinese Acad Sci, Kunming Inst Bot, Germplasm Bank Wild Species, Kunming 650201, Peoples R China.;Duan, YW; Yang, YP (通讯作者)，Chinese Acad Sci, Inst Tibetan Plateau Res Kunming, Kunming 650201, Peoples R China.</t>
  </si>
  <si>
    <t>duanyw@mail.kib.ac.cn; yangyp@mail.kib.ac.cn</t>
  </si>
  <si>
    <t>Second Tibetan Plateau Scientific Expedition and Research (STEP) program; Natural Science Foundation of Yunnan Province [2019QZKK0502];  [202001AU070071]</t>
  </si>
  <si>
    <t xml:space="preserve">Second Tibetan Plateau Scientific Expedition and Research (STEP) program; Natural Science Foundation of Yunnan Province(Natural Science Foundation of Yunnan Province); </t>
  </si>
  <si>
    <t>This work was supported by the Second Tibetan Plateau Scientific Expedition and Research (STEP) program (2019QZKK0502) and the Natural Science Foundation of Yunnan Province (202001AU070071).</t>
  </si>
  <si>
    <t>DEC 29</t>
  </si>
  <si>
    <t>10.1186/s12870-022-04022-9</t>
  </si>
  <si>
    <t>7L3KC</t>
  </si>
  <si>
    <t>WOS:000905868100002</t>
  </si>
  <si>
    <t>Lu, JM; Du, XY; Kuo, LY; Ebihara, A; Perrie, LR; Zuo, ZY; Shang, H; Chang, YH; Li, DZ</t>
  </si>
  <si>
    <t>Lu, Jin-Mei; Du, Xin-Yu; Kuo, Li-Yaung; Ebihara, Atsushi; Perrie, Leon R.; Zuo, Zheng-Yu; Shang, Hui; Chang, Yi-Han; Li, De-Zhu</t>
  </si>
  <si>
    <t>Plastome phylogenomic analysis reveals evolutionary divergences of Polypodiales suborder Dennstaedtiineae</t>
  </si>
  <si>
    <t>Dennstaedtiaceae; Plastid phylogenomics; Monachosoraceae; Monachosorum; Monophyly; Morphological character; Divergence time</t>
  </si>
  <si>
    <t>MARGINAL SORI; FERN FAMILY; GENUS; CLASSIFICATION; PTERIDACEAE; SEQUENCE; DIVERSIFICATION; IMPROVEMENT; LYCOPHYTES; ANATOMY</t>
  </si>
  <si>
    <t>Background Polypodiales suborder Dennstaedtiineae contain a single family Dennstaedtiaceae, eleven genera, and about 270 species, and include some groups that were previously placed in Dennstaedtiaceae, Hypolepidaceae, Monachosoraceae, and Pteridaceae. The classification and phylogenetic relationships among these eleven genera have been poorly understood. To explore the deep relationships within suborder Dennstaedtiineae and estimate the early diversification of this morphologically heterogeneous group, we analyzed complete plastomes of 57 samples representing all eleven genera of suborder Dennstaedtiineae using maximum likelihood and Bayesian inference. Results The phylogenetic relationships of all the lineages in the bracken fern family Dennstaedtiaceae were well resolved with strong support values. All six genera of Hypolepidoideae were recovered as forming a monophyletic group with full support, and Pteridium was fully supported as sister to all the other genera in Hypolepidoideae. Dennstaedtioideae (Dennstaedtia s.l.) fell into four clades with full support: the Microlepia clade, the northern Dennstaedtia clade, the Dennstaedtia globulifera clade, and the Dennstaedtia s.s. clade. Monachosorum was strongly resolved as sister to all the remaining genera of suborder Dennstaedtiineae. Based on the well resolved relationships among genera, the divergence between Monachosorum and other groups of suborder Dennstaedtiineae was estimated to have occurred in the Early Cretaceous, and all extant genera (and clades) in Dennstaedtiineae, were inferred to have diversified since the Late Oligocene. Conclusion This study supports reinstating a previously published family Monachosoraceae as a segregate from Dennstaedtiaceae, based on unique morphological evidence, the shady habitat, and the deep evolutionary divergence from its closest relatives.</t>
  </si>
  <si>
    <t>Lu, Jin-Mei</t>
  </si>
  <si>
    <t>[Lu, Jin-Mei; Du, Xin-Yu; Zuo, Zheng-Yu; Li, De-Zhu] Chinese Acad Sci, Kunming Inst Bot, Germplasm Bank Wild Species, 132 Lanhei Rd, Kunming 650201, Yunnan, Peoples R China; [Kuo, Li-Yaung] Natl Tsing Hua Univ, Inst Mol &amp; Cellular Biol, Hsinchu 30013, Taiwan; [Ebihara, Atsushi] Natl Museum Nat &amp; Sci, Dept Bot, 4-1-1 Amakubo, Tsukuba, Ibaraki 3050005, Japan; [Perrie, Leon R.] Museum New Zealand Papa Tongarewa, Cable St, Wellington 6011, New Zealand; [Shang, Hui] Chinese Acad Sci, Shanghai Chenshan Plant Sci Res Ctr, Shanghai Chenshan Bot Garden, Shanghai 201602, Peoples R China; [Chang, Yi-Han] Taiwan Forestry Res Inst, Taipei 10066, Taiwan</t>
  </si>
  <si>
    <t>Chinese Academy of Sciences; Kunming Institute of Botany, CAS; National Tsing Hua University; National Museum of Nature and Science; Chinese Academy of Sciences; Shanghai Institutes for Biological Sciences, CAS</t>
  </si>
  <si>
    <t>Lu, JM; Li, DZ (通讯作者)，Chinese Acad Sci, Kunming Inst Bot, Germplasm Bank Wild Species, 132 Lanhei Rd, Kunming 650201, Yunnan, Peoples R China.</t>
  </si>
  <si>
    <t>lujinmei@mail.kib.ac.cn; dzl@mail.kib.ac.cn</t>
  </si>
  <si>
    <t>National Natural Science Foundation of China [31970232]; Large-scale Scientific Facilities of the Chinese Academy of Sciences [2017-LSF-GBOWS-02]</t>
  </si>
  <si>
    <t>National Natural Science Foundation of China(National Natural Science Foundation of China (NSFC)); Large-scale Scientific Facilities of the Chinese Academy of Sciences</t>
  </si>
  <si>
    <t>The study was supported by the National Natural Science Foundation of China (31970232) and the Large-scale Scientific Facilities of the Chinese Academy of Sciences (2017-LSF-GBOWS-02).</t>
  </si>
  <si>
    <t>10.1186/s12870-022-03886-1</t>
  </si>
  <si>
    <t>5W1SJ</t>
  </si>
  <si>
    <t>WOS:000877701300002</t>
  </si>
  <si>
    <t>Han, ZD; Wu, Y; Bernhardt, P; Wang, H; Ren, ZX</t>
  </si>
  <si>
    <t>Han, Zhou-Dong; Wu, You; Bernhardt, Peter; Wang, Hong; Ren, Zong-Xin</t>
  </si>
  <si>
    <t>Observations on the pollination and breeding systems of two Corybas species (Diurideae; Orchidaceae) by fungus gnats (Mycetophilidae) in southwestern Yunnan, China</t>
  </si>
  <si>
    <t>Fly pollination; Fungus mimicry; Deception; Pollinator; Cross-pollination</t>
  </si>
  <si>
    <t>FLOWERS</t>
  </si>
  <si>
    <t>Modes of floral presentation in some angiosperms attract flies that eat and/or oviposit on seasonal fruiting bodies of fungi. Mushroom mimesis by orchid flowers has been speculated in the geoflorous, Indo-Malaysian-Australasian, genus Corybas s.l. for decades but most studies remain fragmentary and are often inconclusive. Here we report the roles of fungus gnats as pollinators of Corybas geminigibbus and C. shanlinshiensis in southwestern Yunnan, China, combining results of field observations, lab analyses, and manipulative experiments. Hand pollination experiments suggested both species were self-compatible but incapable of mechanical self-pollination, thereby requiring pollinators for fruit production. A female of a Phthinia sp. (Mycetophilidae) carried a pollinarium of C. geminigibbus dorsally on its thorax. Two females and one male of Exechia sp. (Mycetophilidae) visiting flowers of C. shanlinshiensis carried dorsal depositions of pollinaria on their thoraces. Mycetophilid eggs were not found in the flowers of either species. The comparative fragrance analyses of these flowers and three co-fruiting mushroom species did not suggest that either orchid species was a brood-site mimic. This is the first confirmation of the dispersal of pollinaria of Corybas species by fungus gnats in subtropical-temperate Asia.</t>
  </si>
  <si>
    <t>Han, Zhou-Dong</t>
  </si>
  <si>
    <t>[Han, Zhou-Dong; Wu, You; Wang, Hong; Ren, Zong-Xin] Chinese Acad Sci, Kunming Inst Bot, CAS Key Lab Plant Divers &amp; Biogeog East Asia, Kunming, Yunnan, Peoples R China; [Han, Zhou-Dong; Wu, You; Wang, Hong; Ren, Zong-Xin] Univ Chinese Acad Sci, Beijing, Peoples R China; [Bernhardt, Peter] Missouri Bot Garden, St Louis, MO USA; [Wang, Hong; Ren, Zong-Xin] Lijiang Forest Biodivers Natl Observat &amp; Res Stn, Lijiang, Peoples R China</t>
  </si>
  <si>
    <t>Chinese Academy of Sciences; Kunming Institute of Botany, CAS; Chinese Academy of Sciences; University of Chinese Academy of Sciences, CAS; Missouri Botanical Gardens</t>
  </si>
  <si>
    <t>Wang, H; Ren, ZX (通讯作者)，Chinese Acad Sci, Kunming Inst Bot, CAS Key Lab Plant Divers &amp; Biogeog East Asia, Kunming, Yunnan, Peoples R China.;Wang, H; Ren, ZX (通讯作者)，Univ Chinese Acad Sci, Beijing, Peoples R China.;Wang, H; Ren, ZX (通讯作者)，Lijiang Forest Biodivers Natl Observat &amp; Res Stn, Lijiang, Peoples R China.</t>
  </si>
  <si>
    <t>Strategic Priority Research Program of the Chinese Academy of Sciences [XDB31000000]; Special Foundation for National Science and Technology Basic Research Program of China [2021FY100200]; National Natural Science Foundation of China [31971570]; Natural Science Foundation of Yunnan Province [2019FB035]; Yunlin Scholarship of Yunnan Province [YLXL20170001]</t>
  </si>
  <si>
    <t>Strategic Priority Research Program of the Chinese Academy of Sciences(Chinese Academy of Sciences); Special Foundation for National Science and Technology Basic Research Program of China; National Natural Science Foundation of China(National Natural Science Foundation of China (NSFC)); Natural Science Foundation of Yunnan Province(Natural Science Foundation of Yunnan Province); Yunlin Scholarship of Yunnan Province</t>
  </si>
  <si>
    <t>This study was supported by the Strategic Priority Research Program of the Chinese Academy of Sciences (XDB31000000), the Special Foundation for National Science and Technology Basic Research Program of China (2021FY100200), the National Natural Science Foundation of China (31971570), the Natural Science Foundation of Yunnan Province (2019FB035) and the Yunlin Scholarship of Yunnan Province (YLXL20170001).</t>
  </si>
  <si>
    <t>SEP 2</t>
  </si>
  <si>
    <t>10.1186/s12870-022-03816-1</t>
  </si>
  <si>
    <t>4G0FB</t>
  </si>
  <si>
    <t>WOS:000848881800001</t>
  </si>
  <si>
    <t>Liu, J; Lindstrom, AJ; Gong, X</t>
  </si>
  <si>
    <t>Liu, Jian; Lindstrom, Anders J.; Gong, Xun</t>
  </si>
  <si>
    <t>Towards the plastome evolution and phylogeny of Cycas L. (Cycadaceae): molecular-morphology discordance and gene tree space analysis</t>
  </si>
  <si>
    <t>Cycads; Cycas; Gene tree discordance; Plastid phylogenomics; Plastome evolution</t>
  </si>
  <si>
    <t>CHLOROPLAST GENOME; REARRANGEMENTS; ANNOTATION; SOFTWARE; RESOLVES; REPEATS; SUPPORT; MODEL</t>
  </si>
  <si>
    <t>Background Plastid genomes (plastomes) present great potential in resolving multiscale phylogenetic relationship but few studies have focused on the influence of genetic characteristics of plastid genes, such as genetic variation and phylogenetic discordance, in resolving the phylogeny within a lineage. Here we examine plastome characteristics of Cycas L., the most diverse genus among extant cycads, and investigate the deep phylogenetic relationships within Cycas by sampling 47 plastomes representing all major clades from six sections. Results All Cycas plastomes shared consistent gene content and structure with only one gene loss detected in Philippine species C. wadei. Three novel plastome regions (psbA-matK, trnN-ndhF, chlL-trnN) were identified as containing the highest nucleotide variability. Molecular evolutionary analysis showed most of the plastid protein-coding genes have been under purifying selection except ndhB. Phylogenomic analyses that alternatively included concatenated and coalescent methods, both identified four clades but with conflicting topologies at shallow nodes. Specifically, we found three species-rich Cycas sections, namely Stangerioides, Indosinenses and Cycas, were not or only weakly supported as monophyly based on plastomic phylogeny. Tree space analyses based on different tree-inference methods both revealed three gene clusters, of which the cluster with moderate genetic properties showed the best congruence with the favored phylogeny. Conclusions Our exploration in plastomic data for Cycas supports the idea that plastid protein-coding genes may exhibit discordance in phylogenetic signals. The incongruence between molecular phylogeny and morphological classification reported here may largely be attributed to the uniparental attribute of plastid, which cannot offer sufficient information to resolve the phylogeny. Contrasting to a previous consensus that genes with longer sequences and a higher proportion of variances are superior for phylogeny reconstruction, our result implies that the most effective phylogenetic signals could come from loci that own moderate variation, GC content, sequence length, and underwent modest selection.</t>
  </si>
  <si>
    <t>Liu, Jian</t>
  </si>
  <si>
    <t>[Liu, Jian; Gong, Xun] Chinese Acad Sci, Kunming Inst Bot, CAS Key Lab Plant Divers &amp; Biogeog East Asia, Kunming 650201, Yunnan, Peoples R China; [Liu, Jian; Gong, Xun] Chinese Acad Sci, Kunming Inst Bot, Dept Econ Plants &amp; Biotechnol, Yunnan Key Lab Wild Plant Resources, Kunming 650201, Yunnan, Peoples R China; [Lindstrom, Anders J.] Global Biodivers Conservancy, 144-124 Moo3, Sattahip 20250, Chonburi, Thailand; [Gong, Xun] Univ Chinese Acad Sci, Beijing 100049, Peoples R China</t>
  </si>
  <si>
    <t>Gong, X (通讯作者)，Chinese Acad Sci, Kunming Inst Bot, CAS Key Lab Plant Divers &amp; Biogeog East Asia, Kunming 650201, Yunnan, Peoples R China.;Gong, X (通讯作者)，Chinese Acad Sci, Kunming Inst Bot, Dept Econ Plants &amp; Biotechnol, Yunnan Key Lab Wild Plant Resources, Kunming 650201, Yunnan, Peoples R China.;Lindstrom, AJ (通讯作者)，Global Biodivers Conservancy, 144-124 Moo3, Sattahip 20250, Chonburi, Thailand.;Gong, X (通讯作者)，Univ Chinese Acad Sci, Beijing 100049, Peoples R China.</t>
  </si>
  <si>
    <t>ajlindstrom71@gmail.com; gongxun@mail.kib.ac.cn</t>
  </si>
  <si>
    <t>National Natural Science Foundation of China [31900184, 31970230]; Natural Science Foundation of Yunnan Province [202001AT070072, 2019FD057]; West Light Foundation of the Chinese Academy of Sciences [Y8246811W1]</t>
  </si>
  <si>
    <t>National Natural Science Foundation of China(National Natural Science Foundation of China (NSFC)); Natural Science Foundation of Yunnan Province(Natural Science Foundation of Yunnan Province); West Light Foundation of the Chinese Academy of Sciences(Chinese Academy of Sciences)</t>
  </si>
  <si>
    <t>This work is supported by the National Natural Science Foundation of China (No. 31900184 and 31970230), the Natural Science Foundation of Yunnan Province (202001AT070072 &amp; 2019FD057), and the West Light Foundation of the Chinese Academy of Sciences (Y8246811W1).</t>
  </si>
  <si>
    <t>10.1186/s12870-022-03491-2</t>
  </si>
  <si>
    <t>ZT9IW</t>
  </si>
  <si>
    <t>WOS:000769463200004</t>
  </si>
  <si>
    <t>Amenu, SG; Wei, N; Wu, L; Oyebanji, O; Hu, GW; Zhou, YD; Wang, QF</t>
  </si>
  <si>
    <t>Amenu, Sara Getachew; Wei, Neng; Wu, Lei; Oyebanji, Oyetola; Hu, Guangwan; Zhou, Yadong; Wang, Qingfeng</t>
  </si>
  <si>
    <t>Phylogenomic and comparative analyses of Coffeeae alliance (Rubiaceae): deep insights into phylogenetic relationships and plastome evolution</t>
  </si>
  <si>
    <t>Coffeeae alliance; Phylogenomic; Plastome; Plastome structural variations (PSVs); Rubiaceae</t>
  </si>
  <si>
    <t>COMPLETE CHLOROPLAST GENOME; CODON USAGE BIAS; INVERTED REPEAT; SEQUENCE; ALIGNMENT; GENE; SUBFAMILIES; CONTRACTION; ANGIOSPERMS; EXPANSION</t>
  </si>
  <si>
    <t>Background The large and diverse Coffeeae alliance clade of subfamily Ixoroideae (Rubiaceae) consists of 10 tribes, &gt; 90 genera, and &gt; 2000 species. Previous molecular phylogenetics using limited numbers of markers were often unable to fully resolve the phylogenetic relationships at tribal and generic levels. Also, the structural variations of plastomes (PSVs) within the Coffeeae alliance tribes have been poorly investigated in previous studies. To fully understand the phylogenetic relationships and PSVs within the clade, highly reliable and sufficient sampling with superior next-generation analysis techniques is required. In this study, 71 plastomes (40 newly sequenced and assembled and the rest from the GenBank) were comparatively analyzed to decipher the PSVs and resolve the phylogenetic relationships of the Coffeeae alliance using four molecular data matrices. Results All plastomes are typically quadripartite with the size ranging from 153,055 to 155,908 bp and contained 111 unique genes. The inverted repeat (IR) regions experienced multiple contraction and expansion; five repeat types were detected but the most abundant was SSR. The size of the Coffeeae alliance clade plastomes and its elements are affected by the IR boundary shifts and the repeat types. However, the emerging PSVs had no taxonomic and phylogenetic implications. Eight highly divergent regions were identified within the plastome regions ndhF, ccsA, ndhD, ndhA, ndhH, ycf1, rps16-trnQ-UUG, and psbM-trnD. These highly variable regions may be potential molecular markers for further species delimitation and population genetic analyses for the clade. Our plastome phylogenomic analyses yielded a well-resolved phylogeny tree with well-support at the tribal and generic levels within the Coffeeae alliance. Conclusions Plastome data could be indispensable in resolving the phylogenetic relationships of the Coffeeae alliance tribes. Therefore, this study provides deep insights into the PSVs and phylogenetic relationships of the Coffeeae alliance and the Rubiaceae family as a whole.</t>
  </si>
  <si>
    <t>Amenu, Sara Getachew</t>
  </si>
  <si>
    <t>[Amenu, Sara Getachew; Wei, Neng; Hu, Guangwan; Zhou, Yadong; Wang, Qingfeng] Chinese Acad Sci, Wuhan Bot Garden, Key Lab Plant Germplasm Enhancement &amp; Specialty A, Wuhan 430074, Hubei, Peoples R China; [Amenu, Sara Getachew; Wei, Neng; Oyebanji, Oyetola] Univ Chinese Acad Sci, Beijing 100049, Peoples R China; [Wu, Lei] Cent South Univ Forestry &amp; Technol, Coll Forestry, Changsha 410004, Hunan, Peoples R China; [Oyebanji, Oyetola] Chinese Acad Sci, Kunming Inst Bot, Germplasm Bank Wild Species, Kunming 650201, Yunnan, Peoples R China; [Oyebanji, Oyetola] Univ Lagos, Fac Sci, Dept Bot, Lagos, Nigeria; [Hu, Guangwan; Zhou, Yadong; Wang, Qingfeng] Chinese Acad Sci, Core Bot Gardens, Ctr Conservat Biol, Wuhan 430074, Hubei, Peoples R China; [Hu, Guangwan; Zhou, Yadong; Wang, Qingfeng] Chinese Acad Sci, Sino Africa Joint Res Ctr SAJOREC, Wuhan 430074, Hubei, Peoples R China</t>
  </si>
  <si>
    <t>Chinese Academy of Sciences; Wuhan Botanical Garden, CAS; Chinese Academy of Sciences; University of Chinese Academy of Sciences, CAS; Central South University of Forestry &amp; Technology; Chinese Academy of Sciences; Kunming Institute of Botany, CAS; University of Lagos; Chinese Academy of Sciences; Chinese Academy of Sciences</t>
  </si>
  <si>
    <t>Zhou, YD; Wang, QF (通讯作者)，Chinese Acad Sci, Wuhan Bot Garden, Key Lab Plant Germplasm Enhancement &amp; Specialty A, Wuhan 430074, Hubei, Peoples R China.;Zhou, YD; Wang, QF (通讯作者)，Chinese Acad Sci, Core Bot Gardens, Ctr Conservat Biol, Wuhan 430074, Hubei, Peoples R China.;Zhou, YD; Wang, QF (通讯作者)，Chinese Acad Sci, Sino Africa Joint Res Ctr SAJOREC, Wuhan 430074, Hubei, Peoples R China.</t>
  </si>
  <si>
    <t>zhouyd@wbgcas.cn; qfwang@wbgcas.cn</t>
  </si>
  <si>
    <t>Wei, Neng/0000-0002-0313-3912</t>
  </si>
  <si>
    <t>National Science Foundation of China [31961143026, 31800176]; Sino-Africa Joint Research Center, CAS, China [Y323771W07, SAJC201322]</t>
  </si>
  <si>
    <t>National Science Foundation of China(National Natural Science Foundation of China (NSFC)); Sino-Africa Joint Research Center, CAS, China</t>
  </si>
  <si>
    <t>The authors acknowledge the financial support from the National Science Foundation of China (31961143026&amp; 31800176) and the Sino-Africa Joint Research Center, CAS, China (Y323771W07&amp;SAJC201322).</t>
  </si>
  <si>
    <t>FEB 26</t>
  </si>
  <si>
    <t>10.1186/s12870-022-03480-5</t>
  </si>
  <si>
    <t>ZI0PN</t>
  </si>
  <si>
    <t>WOS:000761329100002</t>
  </si>
  <si>
    <t>Li, YP; Liu, XY; Zhang, SQ; Wang, LL; Zhang, L; Zuo, ZL</t>
  </si>
  <si>
    <t>Li, Yaping; Liu, Xingyong; Zhang, Shuqun; Wang, Liangliang; Zhang, Li; Zuo, Zhili</t>
  </si>
  <si>
    <t>Computational simulation studies on the binding selectivity of Wee1 and Checkpoint kinase 1 by molecular dynamics simulation combined with free energy calculations</t>
  </si>
  <si>
    <t>JOURNAL OF BIOMOLECULAR STRUCTURE &amp; DYNAMICS</t>
  </si>
  <si>
    <t>Wee1 kinase; Checkpoint kinase 1; selectivity; molecular dynamics simulation; binding free energy</t>
  </si>
  <si>
    <t>STRUCTURAL BASIS; PROTEIN-KINASE; CHK1; INHIBITORS; MECHANICS; DOCKING; MK-1775; PATHWAY; GROMACS; COMPLEX</t>
  </si>
  <si>
    <t>Wee1 kinase and Checkpoint kinase 1 (Chk1) kinase, which are well known to be involved in cancer, are promising targets for cancer therapy. Most of developed Wee1 inhibitors can inhibit activity of Chk1 kinase to different degrees as well. The poor selectivity brought side effects and selective inhibitor is needed. However, the selective mechanisms of Wee1 versus Chk1 are not clear. Therefore, the design of selective Wee1 and Chk1 inhibitors would provide a meaningful starting for the development of anticancer drugs with optimal efficacy. In this study, Wee1 inhibitors with different selectivity over Chk1 were chosen to analyze the selectivity mechanism by means of molecular docking, molecular dynamics simulations and binding free energy calculations. Two key residues of Wee1 kinase and two critical residues of Chk1 were mutated to detect their effect on ligand binding into protein. The results indicated that these residues play a pivotal role in the binding interactions of ligands to receptors through hydrogen bond and hydrophobic interaction with inhibitors. This may provide a better understanding of the selective mechanism of Wee1 and Chk1. It would be beneficial to the discovery and optimization of selective Wee1 and Chk1 inhibitors. Communicated by Ramaswamy H. Sarma</t>
  </si>
  <si>
    <t>Li, Yaping</t>
  </si>
  <si>
    <t>[Li, Yaping; Liu, Xingyong; Zhang, Li; Zuo, Zhili] Sichuan Univ Sci &amp; Engn, Sch Chem Engn, Zigong, Peoples R China; [Li, Yaping; Zhang, Shuqun; Wang, Liangliang; Zuo, Zhili] Chinese Acad Sci, Kunming Inst Bot, State Key Lab Phytochem &amp; Plant Resources West Ch, Kunming, Yunnan, Peoples R China; [Li, Yaping; Zhang, Shuqun; Wang, Liangliang; Zuo, Zhili] Yunnan Key Lab Nat Med Chem, Kunming, Yunnan, Peoples R China; [Li, Yaping; Zhang, Shuqun; Wang, Liangliang; Zuo, Zhili] Univ Chinese Acad Sci, Beijing, Peoples R China</t>
  </si>
  <si>
    <t>Sichuan University of Science &amp; Engineering; Chinese Academy of Sciences; Kunming Institute of Botany, CAS; Chinese Academy of Sciences; University of Chinese Academy of Sciences, CAS</t>
  </si>
  <si>
    <t>Zuo, ZL (通讯作者)，Sichuan Univ Sci &amp; Engn, Sch Chem Engn, Zigong, Peoples R China.;Zuo, ZL (通讯作者)，Chinese Acad Sci, Kunming Inst Bot, State Key Lab Phytochem &amp; Plant Resources West Ch, Kunming, Yunnan, Peoples R China.;Zuo, ZL (通讯作者)，Yunnan Key Lab Nat Med Chem, Kunming, Yunnan, Peoples R China.;Zuo, ZL (通讯作者)，Univ Chinese Acad Sci, Beijing, Peoples R China.</t>
  </si>
  <si>
    <t>zuozhili@mail.kib.ac.cn</t>
  </si>
  <si>
    <t>State Key Laboratory of Phytochemistry and Plant Resources in West China [P2017-KF07]; Grant of Sichuan Science and Technology Program [19ZDYF1034]; Strategic Priority Research Program of the Chinese Academy of Sciences [XDA12030206]</t>
  </si>
  <si>
    <t>State Key Laboratory of Phytochemistry and Plant Resources in West China; Grant of Sichuan Science and Technology Program; Strategic Priority Research Program of the Chinese Academy of Sciences(Chinese Academy of Sciences)</t>
  </si>
  <si>
    <t>This project was financially supported by the State Key Laboratory of Phytochemistry and Plant Resources in West China (No.P2017-KF07), Grant of Sichuan Science and Technology Program (No.19ZDYF1034) and the Strategic Priority Research Program of the Chinese Academy of Sciences (Grant No. XDA12030206).</t>
  </si>
  <si>
    <t>TAYLOR &amp; FRANCIS INC</t>
  </si>
  <si>
    <t>PHILADELPHIA</t>
  </si>
  <si>
    <t>530 WALNUT STREET, STE 850, PHILADELPHIA, PA 19106 USA</t>
  </si>
  <si>
    <t>0739-1102</t>
  </si>
  <si>
    <t>1538-0254</t>
  </si>
  <si>
    <t>J BIOMOL STRUCT DYN</t>
  </si>
  <si>
    <t>J. Biomol. Struct. Dyn.</t>
  </si>
  <si>
    <t>FEB 2</t>
  </si>
  <si>
    <t>10.1080/07391102.2020.1823882</t>
  </si>
  <si>
    <t>OCT 2020</t>
  </si>
  <si>
    <t>Biochemistry &amp; Molecular Biology; Biophysics</t>
  </si>
  <si>
    <t>YP8QE</t>
  </si>
  <si>
    <t>WOS:000575222300001</t>
  </si>
  <si>
    <t>Hu, BY; Zhao, YL; Ma, DY; Xiang, ML; Zhao, LX; Luo, XD</t>
  </si>
  <si>
    <t>Hu, Bin-Yuan; Zhao, Yun-Li; Ma, Dan-Yu; Xiang, Mei-Ling; Zhao, Li-Xing; Luo, Xiao-Dong</t>
  </si>
  <si>
    <t>Anti-hyperuricemic bioactivity of Alstonia scholaris and its bioactive triterpenoids in vivo and in vitro</t>
  </si>
  <si>
    <t>JOURNAL OF ETHNOPHARMACOLOGY</t>
  </si>
  <si>
    <t>Alstonia scholaris (L.) R.Br; Anti-hyperuricemic activity; Ursane-triterpenoids; Oleanane-triterpenoids</t>
  </si>
  <si>
    <t>URSANE-TYPE TRITERPENES; INDOLE ALKALOIDS; LEAVES; ACID</t>
  </si>
  <si>
    <t>Ethnopharmacology relevance: One folk use of Alstonia scholaris (L.) R. Br. in Dai ethno-medicine system is to treat gouty arthritis, which might be caused by hyperuricemia, but anti-hyperuricemic investigation of A. scholaris were rarely reported. Aim of the study: To verify anti-hyperuricemic property of A. scholaris, and explore its bioactive compounds in vivo and in vitro. Materials and methods: The anti-hyperuricemic bioactivity of the non-alkaloids fraction and compounds were evaluated with potassium oxonate (PO) induced hyperuricemia mice model in vivo, and monosodium urate (MSU) induced human renal tubular epithelial cells (HK-2) was selected to test in vitro, respectively, with benzobromarone as the positive control. 11 triterpenoids were isolated by phytochemical methods and their structures were elucidated by spectroscopic analysis and ECD calculation. Results: The non-alkaloids fraction of A. scholaris decreased the serum uric acid (UA) level in mice model significantly at the doses of 100 mg/kg and 200 mg/kg, and then nine ursane-and two oleanane-triterpenoids including four new compounds (1-3 and 10) were isolated from the bioactive fraction, in which compounds 1, 4, 5, 6 and 10 exhibited better anti-hyperuricemic tendency in vitro by promoting the excretion of UA in MSUinduced HK-2 cell model at a concentration of 5 mu M. Furthermore, compounds 1 and 4 were proved to reduce the serum UA level in mice significantly at 5 mg/kg in vivo. Conclusions: The results supported the traditional use of A. scholaris in treating gouty arthritis, and also provided new bioactive triterpenoids for further chemical and pharmacological investigation.</t>
  </si>
  <si>
    <t>Hu, Bin-Yuan</t>
  </si>
  <si>
    <t>[Hu, Bin-Yuan; Zhao, Yun-Li; Ma, Dan-Yu; Xiang, Mei-Ling; Zhao, Li-Xing; Luo, Xiao-Dong] Yunnan Univ, Yunnan Prov Ctr Res &amp; Dev Nat Prod, Sch Chem Sci &amp; Technol, Key Lab Med Chem Nat Resource,Minist Educ, Kunming 650091, Peoples R China; [Luo, Xiao-Dong] Chinese Acad Sci, Kunming Inst Bot, State Key Lab Phytochem &amp; Plant Resources West Ch, Kunming 650201, Peoples R China</t>
  </si>
  <si>
    <t>Luo, XD (通讯作者)，Yunnan Univ, Yunnan Prov Ctr Res &amp; Dev Nat Prod, Sch Chem Sci &amp; Technol, Key Lab Med Chem Nat Resource,Minist Educ, Kunming 650091, Peoples R China.</t>
  </si>
  <si>
    <t>Second Tibetan Plateau Scientific Expedition and Research (STEP) program [2019QZKK0502]; Yunnan Science and Technology Project [2019FY003004, 202105AE160006]</t>
  </si>
  <si>
    <t>Authors are grateful to the Second Tibetan Plateau Scientific Expedition and Research (STEP) program (2019QZKK0502), Yunnan Science and Technology Project (2019FY003004 and 202105AE160006) for financial support. Authors thank Advanced Analysis and Measurement Center of Yunnan University for the sample testing service.</t>
  </si>
  <si>
    <t>0378-8741</t>
  </si>
  <si>
    <t>1872-7573</t>
  </si>
  <si>
    <t>J ETHNOPHARMACOL</t>
  </si>
  <si>
    <t>J. Ethnopharmacol.</t>
  </si>
  <si>
    <t>MAY 23</t>
  </si>
  <si>
    <t>10.1016/j.jep.2022.115049</t>
  </si>
  <si>
    <t>http://dx.doi.org/10.1016/j.jep.2022.115049</t>
  </si>
  <si>
    <t>7V6NB</t>
  </si>
  <si>
    <t>WOS:000912929600001</t>
  </si>
  <si>
    <t>Liu, Y; Li, XR; Wu, XY; Luo, XY; Yan, BC; Mo, CF; Guo, HJ; Yang, SX; Wang, YT; Lai, Y; Puno, P; Li, LM</t>
  </si>
  <si>
    <t>Liu, Yang; Li, Xingren; Wu, Xiuyin; Luo, Xingyan; Yan, Bingchao; Mo, Chunfen; Guo, Huijie; Yang, Shuxia; Wang, Yantang; Lai, Yi; Puno, Pematenzin; Li, Limei</t>
  </si>
  <si>
    <t>Sis-25, a meroditerpenoid derivative with a cyclobutane scaffold, inhibits activated T cell proliferation by targeting GSK3 beta in vitro and in vivo</t>
  </si>
  <si>
    <t>EUROPEAN JOURNAL OF PHARMACOLOGY</t>
  </si>
  <si>
    <t>Immunosuppressive effect; Sis-25; T cell proliferation; GSK3? inhibitor</t>
  </si>
  <si>
    <t>IMMUNOSUPPRESSIVE DRUGS; PSORIASIS; LITHIUM</t>
  </si>
  <si>
    <t>A series of novel scopariusicide derivatives were designed and synthesized starting from the main diterpenoid from the aerial parts of Isodon scoparius. Sis-25 was the most effective compound among them. The potential mechanism(s) of its immunosuppressive activity in vitro, as well as its effects on delayed type hypersensitivity (DTH) reaction and imiquimod-induced dermatitis in vivo were investigated in this study. Sis-25 inhibited anti-CD3/anti-CD28 mAbs, PHA or alloantigen-induced T cell proliferation without obvious cytotoxicity. Sis-25 was a highly selective inhibitor of GSK3-beta and inhibited the mTOR/p70S6K pathway but not the PI3K/Akt, p38 MAPK/ ERK 1/2 and JAK3/STAT5 pathways. Furthermore, Sis-25 significantly inhibited IFN-gamma, IL-6 and IL-17 expression but not IL-10 expression in activated T cells. Finally, Sis-25 treatment mitigated the DNFB-induced DTH reaction and ameliorated imiquimod-induced dermatitis. In summary, Sis-25 exerted significant immunosuppressive activity by targeting GSK3 beta in vitro and in vivo. Sis-25 may guide the design of new drugs for more effective and safer treatments of autoimmune diseases and provide new insight into developing utilizations of Isodon scoparius.</t>
  </si>
  <si>
    <t>[Liu, Yang] Chengdu Med Coll, Dept Gastroenterol, Affiliated Hosp 1, Chengdu 610500, Sichuan, Peoples R China; [Liu, Yang; Wu, Xiuyin; Luo, Xingyan; Mo, Chunfen; Guo, Huijie; Yang, Shuxia; Wang, Yantang; Lai, Yi] Chengdu Med Coll, Res Ctr, Chengdu 610500, Sichuan, Peoples R China; [Li, Xingren; Yan, Bingchao; Puno, Pematenzin] Chinese Acad Sci, Kunming Inst Bot, State Key Lab Phytochem &amp; Plant Resources West Chi, Kunming 650201, Yunnan, Peoples R China; [Li, Limei] Southwest Minzu Univ, Coll Pharm, Chengdu 610225, Sichuan, Peoples R China; [Puno, Pematenzin] Kunming Inst Bot, State Key Lab Phytochem &amp; Plant Resources West Chi, 132 Lanhei Rd, Kunming 650201, Yunnan, Peoples R China; [Li, Limei] Southwest Minzu Univ, Coll Pharm, 168 Wenxing Sect,Dajian Rd, Chengdu 610225, Sichuan, Peoples R China</t>
  </si>
  <si>
    <t>Chengdu Medical College; Chengdu Medical College; Chinese Academy of Sciences; Kunming Institute of Botany, CAS; Southwest Minzu University; Chinese Academy of Sciences; Kunming Institute of Botany, CAS; Southwest Minzu University</t>
  </si>
  <si>
    <t>Puno, P (通讯作者)，Kunming Inst Bot, State Key Lab Phytochem &amp; Plant Resources West Chi, 132 Lanhei Rd, Kunming 650201, Yunnan, Peoples R China.;Li, LM (通讯作者)，Southwest Minzu Univ, Coll Pharm, 168 Wenxing Sect,Dajian Rd, Chengdu 610225, Sichuan, Peoples R China.</t>
  </si>
  <si>
    <t>punopematenzin@mail.kib.ac.cn; limeili@swun.edu.cn</t>
  </si>
  <si>
    <t>Li, Xing-Ren/0000-0003-2454-4232; Liu, Yang/0000-0003-4316-8885</t>
  </si>
  <si>
    <t>National Natural Science Foundation of China [81673329, 31870341, 81871300]; Sichuan Science and Technology Program [22NSFSC1606]; Yunnan Science Fund for Distinguished Young Scholars [2019FJ002]; State Key Laboratory of Phytochemistry and Plant Resources in West China [P2018-KF03]; Disciplinary Construction Innovation Team Foundation of Chengdu Medical College [CMC-XK-2103]; Project of Chengdu Health and Family Planning Commission [2021076]; Foundation of Development and Regeneration Key Laboratory of Sichuan Province [SYS20-08]; CAS Light of West China Program</t>
  </si>
  <si>
    <t>National Natural Science Foundation of China(National Natural Science Foundation of China (NSFC)); Sichuan Science and Technology Program; Yunnan Science Fund for Distinguished Young Scholars; State Key Laboratory of Phytochemistry and Plant Resources in West China; Disciplinary Construction Innovation Team Foundation of Chengdu Medical College; Project of Chengdu Health and Family Planning Commission; Foundation of Development and Regeneration Key Laboratory of Sichuan Province; CAS Light of West China Program</t>
  </si>
  <si>
    <t>The authors declare that this work was supported by National Natural Science Foundation of China (No.81673329, 31870341, 81871300) , Sichuan Science and Technology Program (No.22NSFSC1606) , the CAS Light of West China Program (Pema-Tenzin Puno) , the Yunnan Science Fund for Distinguished Young Scholars (No.2019FJ002) , the State Key Laboratory of Phytochemistry and Plant Resources in West China (No.P2018-KF03) , Disciplinary Construction Innovation Team Foundation of Chengdu Medical College (No.CMC-XK-2103) , Project of Chengdu Health and Family Planning Commission (No.2021076) and the Foundation of Development and Regeneration Key Laboratory of Sichuan Province (No.SYS20-08) .</t>
  </si>
  <si>
    <t>0014-2999</t>
  </si>
  <si>
    <t>1879-0712</t>
  </si>
  <si>
    <t>EUR J PHARMACOL</t>
  </si>
  <si>
    <t>Eur. J. Pharmacol.</t>
  </si>
  <si>
    <t>AUG 15</t>
  </si>
  <si>
    <t>10.1016/j.ejphar.2022.175151</t>
  </si>
  <si>
    <t>3R4AY</t>
  </si>
  <si>
    <t>WOS:000838859000002</t>
  </si>
  <si>
    <t>Liu, DW; Ye, YS; Huang, CG; Lu, Q; Yang, L; Wang, Q; Wang, H; Liu, X; Jing, CB; Xu, G; Xiong, WY</t>
  </si>
  <si>
    <t>Liu, Dao-Wei; Ye, Yan-Song; Huang, Chao-Guang; Lu, Qian; Yang, Ling; Wang, Qian; Wang, Huan; Liu, Xia; Jing, Chuan-Bo; Xu, Gang; Xiong, Wen-Yong</t>
  </si>
  <si>
    <t>Sampsonione F suppresses adipogenesis via activating p53 pathway during the mitotic clonal expansion progression of adipocyte differentiation</t>
  </si>
  <si>
    <t>PPAPs; Adipogenesis; Mitotic clonal expansion; P53; 3T3-L1</t>
  </si>
  <si>
    <t>CELL-CYCLE ARREST; STEM-CELL; INHIBITION; WHITE</t>
  </si>
  <si>
    <t>The abnormal proliferation and hypertrophy of adipocytes mediate the expansion of adipose tissue and then cause obesity-related diseases. Theoretically, an approach for preventing and curing obesity is to inhibit cell proliferation during the mitotic clonal expansion (MCE) progression of adipocyte differentiation. Polycyclic polyprenylated acylphlomglucinols (PPAPs) are mainly found from Hypericum and Garcinia genus, which have been reported to have various biological activities such as anti-depressant, anti-oxidant, and anti-tumor. Previously, our group has reported that adamantane-type PPAPs exhibited blunting activity in adipogenesis. In this study, another six adamantane PPAPs were screened to investigate their anti-adipogenesis activities and then discussed the structure-activity relationship. Particularly, sampsonione F, one of the PPAPs dramatically suppressed adipogenesis dose-dependently in vitro, along with decreased expressions of C/EBP beta, C/EBP alpha, PPAR gamma, FABP4, and FAS. Moreover, sampsonione F upregulated the expression of p27 by activating p53 pathway and then downregulated the expressions of key regulators during Gl/S phase arrest. Our data support that sampsonione F suppressed adipogenesis by activating p53 pathway, regulating cyclins, and resulting in G1/S phase arrest during the MCE progression of adipogenesis. This work provides a new adamantane-type PPAPs in the regulation of adipogenesis and extends our knowledges on the mechanism of the type PPAPs in regulation of adipogenesis.</t>
  </si>
  <si>
    <t>Liu, Dao-Wei</t>
  </si>
  <si>
    <t>[Liu, Dao-Wei; Huang, Chao-Guang; Lu, Qian; Yang, Ling; Wang, Qian; Xiong, Wen-Yong] Yunnan Univ, Yunnan Prov Ctr Res &amp; Dev Nat Prod, Sch Chem Sci &amp; Technol, Minist Educ,Key Lab Med Chem Nat Resource, Kunming 650091, Yunnan, Peoples R China; [Ye, Yan-Song; Wang, Qian; Wang, Huan; Liu, Xia; Xu, Gang; Xiong, Wen-Yong] Chinese Acad Sci, Kunming Inst Bot, State Key Lab Phytochem &amp; Plant Resources West Ch, Kunming 650201, Yunnan, Peoples R China; [Jing, Chuan-Bo] Shandong First Med Univ, Peoples Hosp Jinan 4, Dept Radiol, Affiliated Hosp 3, Jinan 250031, Peoples R China</t>
  </si>
  <si>
    <t>Yunnan University; Chinese Academy of Sciences; Kunming Institute of Botany, CAS; Shandong First Medical University &amp; Shandong Academy of Medical Sciences</t>
  </si>
  <si>
    <t>Xiong, WY (通讯作者)，2 Cuihu Rd, Kunming 650091, Yunnan, Peoples R China.;Xu, G (通讯作者)，32 Lanhei Rd, Kunming 650201, Yunnan, Peoples R China.</t>
  </si>
  <si>
    <t>xugang008@mail.kib.ac.cn; xwy@ynu.edu.cn</t>
  </si>
  <si>
    <t>Yunnan University [CZ21623201]; National Key R&amp;D Program of China [2019YFE0109200]</t>
  </si>
  <si>
    <t>Yunnan University; National Key R&amp;D Program of China</t>
  </si>
  <si>
    <t>This study was supported by start funding of Yunnan University (CZ21623201) , the National Key R&amp;D Program of China (2019YFE0109200) .</t>
  </si>
  <si>
    <t>10.1016/j.ejphar.2022.175002</t>
  </si>
  <si>
    <t>3G9GT</t>
  </si>
  <si>
    <t>WOS:000831654900007</t>
  </si>
  <si>
    <t>Chen, XL; Geng, YJ; Li, F; Hu, WY; Zhang, RP</t>
  </si>
  <si>
    <t>Chen, Xing-Long; Geng, Yi-Juan; Li, Fei; Hu, Wei-Yan; Zhang, Rong-Ping</t>
  </si>
  <si>
    <t>Cytotoxic terpenoids from Tripterygium hypoglaucum against human pancreatic cancer cells SW1990 by increasing the expression of Bax protein</t>
  </si>
  <si>
    <t>Tripterygium hypoglaucum; Terpenoids; Cytotoxicity; Pancreatic cancer; Bax protein</t>
  </si>
  <si>
    <t>ABIETANE DITERPENOIDS; MEDICINAL CHEMISTRY; TRIPTOLIDE; DEATH; INHIBITION; ACTIVATION; WILFORDII; APOPTOSIS; GROWTH; DEGRADATION</t>
  </si>
  <si>
    <t>Ethnopharmacological relevance: Tripterygium hypoglaucum (Kunmingshanhaitang in Chinese) is a plant of the genus Tripterygium which have been used as anti-tumor folk medicines in Yi and Bai ethnic groups in Yunnan province, China for hundreds of years. Terpenoids from T. hypoglaucum presented therapeutic effects on multiple tumors. But there were few studies about pancreatic cancer treatment of these terpenoids. Pancreatic cancer is an aggressive malignancy and lacked of specific drugs. Currently, anti-tumor drugs have poor therapeutic effect and prognosis for pancreatic cancer. Aim of the study: This study aimed to elucidate the terpenoids from T. hypoglaucum and illuminate their anti-pancreatic cancer bioactivities. Material and methods: Terpenoids were obtained through sequential chromatographic methods including silica gel, MCI gel, Sephadex LH-20, and preparative HPLC. Their structures were determined by HRESIMS, 1D and 2D NMR spectroscopic analysis. The absolute configurations of some new diterpenoids were assigned through comparison of experimental and calculated circular dichroism spectra. The cytotoxicity of isolates was measured using the MIT method on human pancreatic cancer cells SW1990. The effects on expressions of AKT, Erk1/2, p-AKT, p-Erk1/2, and Bax proteins in human pancreatic cancer cells SW1990 of these compounds were determined by western blotting assays. Results: Eleven new (compounds 1 similar to 11) and fourteen known terpenoids (compounds 12 similar to 25) were isolated from the underground parts of T. hypoglaucum. These compounds were belonged to abietane diterpenoids, isoprimara diterpenoids, ent-kaurane diterpenoids, oleanane triterpenoids, and friedelane triterpenoids. Compounds 5, 7, 8, 9, 16, 18, 22, 24, and 25 possessed significant cytotoxicity against SW1990 cells with IC50 values of 19.28 +/- 4.39, 9.91 +/- 2.23, 27.32 +/- 5.89, 56.43 +/- 6.92, 0.16 +/- 0.05, 0.58 +/- 0.15, 0.81 +/- 0.04, 0.48 +/- 0.11, and 10.01 +/- 1.39 mu M respectively. After compounds 16, 22, and 24 been treated with the pancreatic cancer cells in medium and high doses, the protein expressions of AKT, p-AKT, Erk, and p-Erk were not remarkably reduced and the expressions of Bax protein were significantly increased. Conclusion: This study indicated that terpenoids from T. hypoglaucum could inhibit human pancreatic cancer cells SW1990. Especially, compounds 16, 22, and 24 possessed significant cytotoxicity against SW1990 cells with low IC50 values and could increase the expressions of Bax protein. These compounds shared a wide variety of structural characteristics which provided us more candidate molecules for the development of anti-pancreatic cancer drugs and further prompted us to investigate their anti-pancreatic mechanisms.</t>
  </si>
  <si>
    <t>Chen, Xing-Long</t>
  </si>
  <si>
    <t>[Chen, Xing-Long; Zhang, Rong-Ping] Yunnan Univ Chinese Med, Sch Chinese Mat Med, Kunming 650500, Yunnan, Peoples R China; [Chen, Xing-Long; Zhang, Rong-Ping] Yunnan Univ Chinese Med, Yunnan Key Lab Southern Med Utilizat, Kunming 650500, Yunnan, Peoples R China; [Geng, Yi-Juan; Hu, Wei-Yan] Kunming Med Univ, Sch Pharmaceut Sci, Kunming 650500, Yunnan, Peoples R China; [Geng, Yi-Juan; Hu, Wei-Yan] Kunming Med Univ, Yunnan Key Lab Pharmacol Nat Prod, Kunming 650500, Yunnan, Peoples R China; [Li, Fei] Chinese Acad Sci, Kunming Inst Bot, State Key Lab Phytochem &amp; Plant Resources West Ch, Kunming 650201, Yunnan, Peoples R China</t>
  </si>
  <si>
    <t>Zhang, RP (通讯作者)，Yunnan Univ Chinese Med, Sch Chinese Mat Med, Kunming 650500, Yunnan, Peoples R China.;Zhang, RP (通讯作者)，Yunnan Univ Chinese Med, Yunnan Key Lab Southern Med Utilizat, Kunming 650500, Yunnan, Peoples R China.;Hu, WY (通讯作者)，Kunming Med Univ, Sch Pharmaceut Sci, Kunming 650500, Yunnan, Peoples R China.;Hu, WY (通讯作者)，Kunming Med Univ, Yunnan Key Lab Pharmacol Nat Prod, Kunming 650500, Yunnan, Peoples R China.</t>
  </si>
  <si>
    <t>huweiyan2004@163.com; zhrpkm@163.com</t>
  </si>
  <si>
    <t>National Natural Science Foundation of China [32160107, 81960666]; Applied Basic Research Programs of Yunnan Province; Program of Yunling Scholarship; Program of Innovative Research Team in Science and Technology in Yunnan Province [202005AE160004]; Open Foundation of Yunnan Key Laboratory of Southern Medicine Utilization [202005AG070157-YZ202107]</t>
  </si>
  <si>
    <t>National Natural Science Foundation of China(National Natural Science Foundation of China (NSFC)); Applied Basic Research Programs of Yunnan Province; Program of Yunling Scholarship; Program of Innovative Research Team in Science and Technology in Yunnan Province; Open Foundation of Yunnan Key Laboratory of Southern Medicine Utilization</t>
  </si>
  <si>
    <t>This study was financed by the National Natural Science Foundation of China (No. 32160107 and 81960666), the Applied Basic Research Programs of Yunnan Province, the Program of Yunling Scholarship, the Program of Innovative Research Team in Science and Technology in Yunnan Province (No. 202005AE160004), and the Open Foundation of Yunnan Key Laboratory of Southern Medicine Utilization (No. 202005AG070157-YZ202107).</t>
  </si>
  <si>
    <t>MAY 10</t>
  </si>
  <si>
    <t>10.1016/j.jep.2022.115010</t>
  </si>
  <si>
    <t>2R7YK</t>
  </si>
  <si>
    <t>WOS:000821323200003</t>
  </si>
  <si>
    <t>Dai, MY; Peng, W; Zhang, T; Zhao, Q; Ma, XF; Cheng, Y; Wang, CY; Li, F</t>
  </si>
  <si>
    <t>Dai, Manyun; Peng, Wan; Zhang, Ting; Zhao, Qi; Ma, Xiaofang; Cheng, Yan; Wang, Chunyan; Li, Fei</t>
  </si>
  <si>
    <t>Metabolomics reveals the role of PPAR alpha in Tripterygium Wilfordii-induced liver injury</t>
  </si>
  <si>
    <t>Tripterygium wilfordii; Liver injury; PPAR alpha; IL6-STAT3; Metabolomics</t>
  </si>
  <si>
    <t>DRUG-DRUG INTERACTIONS; LIPID-METABOLISM; FATTY-ACIDS; INFLAMMATION; TRIPTOLIDE; MICE; MODULATION; MECHANISMS; CELASTROL; GENE</t>
  </si>
  <si>
    <t>Ethnopharmacological relevance: Tripterygium glycosides tablets (TGT) and Tripterygium wilfordii tablets (TWT) have been used to treat autoimmune diseases clinically, however, the side effects of TWT are higher than TGT, especially for hepatotoxicity. The aim of the study: This study aims to determine the mechanism of TWT-induced liver injury. Materials and methods: We performed metabolomic analysis of samples from mice with liver injury induced by TGT and TWT. Ppara-null mice were used to determine the role of PPAR alpha in TWT-induced liver injury. Results: The results indicated that TWT induced the accumulation of medium- and long-chain carnitines metabolism, which was associated with the disruption of PPAR alpha-IL6-STAT3 axis. PPAR alpha agonists fenofibrate could reverse the liver injury from TWT and TP/Cel, and its protective role could be attenuated in Ppara-null mice. The toxicity difference of TWT and TGT was due to the different ratio of triptolide (TP) and celastrol (Cel) in the tablet in which TP/Cel was lower in TWT than TGT. The hepatotoxicity induced by TP and Cel also inhibited PPAR alpha and upregulated IL6-STAT3 axis, which could be alleviated following by PPAR alpha activation. Conclusions: These results indicated that PPAR alpha plays an important role in the hepatotoxicity of Tripterygium wilfordii, and PPAR alpha activation may offer a promising approach to prevent hepatotoxicity induced by the preparations of Tripterygium wilfordii.</t>
  </si>
  <si>
    <t>Dai, Manyun</t>
  </si>
  <si>
    <t>[Dai, Manyun; Peng, Wan; Zhang, Ting; Li, Fei] Chinese Acad Sci, Kunming Inst Bot, State Key Lab Phytochem &amp; Plant Resources West Ch, Kunming 650201, Yunnan, Peoples R China; [Dai, Manyun; Peng, Wan; Zhang, Ting] Univ Chinese Acad Sci, Beijing 100049, Peoples R China; [Dai, Manyun; Peng, Wan; Zhang, Ting; Zhao, Qi; Ma, Xiaofang; Cheng, Yan; Wang, Chunyan; Li, Fei] Sichuan Univ, West China Hosp, Frontiers Sci Ctr Dis Related Mol Network, Lab Metabol &amp; Drug Induced Liver Injury, Chengdu 610041, Peoples R China; [Peng, Wan] Sichuan Univ, Inst Rare Dis, West China Hosp, Chengdu 610041, Peoples R China; [Li, Fei] Sichuan Univ, Sichuan Univ Univ Oxford Huaxi Joint Ctr Gastroin, West China Hosp, Frontiers Sci Ctr Dis Related Mol Network,Dept Ga, Chengdu 610041, Peoples R China</t>
  </si>
  <si>
    <t>Chinese Academy of Sciences; Kunming Institute of Botany, CAS; Chinese Academy of Sciences; University of Chinese Academy of Sciences, CAS; Sichuan University; Sichuan University; Sichuan University</t>
  </si>
  <si>
    <t>Li, F (通讯作者)，Sichuan Univ, West China Hosp, Frontiers Sci Ctr Dis Related Mol Network, Lab Metabol &amp; Drug Induced Liver Injury, Chengdu 610041, Peoples R China.</t>
  </si>
  <si>
    <t>feili@wchscu.cn</t>
  </si>
  <si>
    <t>Dai, Manyun/GZB-0789-2022</t>
  </si>
  <si>
    <t>National Natural Science Foundation of China [81360509]; National Key Research and Development Program of China [2017YFC1700906, 2017YFC1702900]; 1.3.5 Project for Disciplines of Excellence, West China Hospital, Sichuan University</t>
  </si>
  <si>
    <t>National Natural Science Foundation of China(National Natural Science Foundation of China (NSFC)); National Key Research and Development Program of China; 1.3.5 Project for Disciplines of Excellence, West China Hospital, Sichuan University</t>
  </si>
  <si>
    <t>This study was supported by National Natural Science Foundation of China (81360509), the National Key Research and Development Program of China (2017YFC1700906, 2017YFC1702900), and 1.3.5 Project for Disciplines of Excellence, West China Hospital, Sichuan University.</t>
  </si>
  <si>
    <t>10.1016/j.jep.2022.115090</t>
  </si>
  <si>
    <t>2D2NF</t>
  </si>
  <si>
    <t>WOS:000811389800006</t>
  </si>
  <si>
    <t>Jin, Q; Zhao, YL; Liu, YP; Zhang, RS; Zhu, PF; Zhao, LQ; Qin, XJ; Luo, XD</t>
  </si>
  <si>
    <t>Jin, Qiong; Zhao, Yun-Li; Liu, Ya-Ping; Zhang, Ruo-Song; Zhu, Pei-Feng; Zhao, Lan-Qin; Qin, Xu-Jie; Luo, Xiao-Dong</t>
  </si>
  <si>
    <t>Anti-inflammatory and analgesic monoterpenoid indole alkaloids of Kopsia officinalis</t>
  </si>
  <si>
    <t>Kopsia officinalis; Monoterpenoid indole alkaloids; Anti-inflammatory and analgesic effects</t>
  </si>
  <si>
    <t>ASPIDOFRACTININE ALKALOIDS</t>
  </si>
  <si>
    <t>Ethnopharmacological relevance: Ya gai , an important part of Dai medical theory, is traditionally recognized as an antidote. Kopsia officinalis Tsiang et P. T. Li is a Ya gai  related medicine and has been widely used by Dai people for the treatment of pain and inflammation. Previous literature on title species suggested that mono-terpenoid indole alkaloids (MIAs) could be its main bioactive components. However, the specific bioactive ingredients for inflammation-related treatment are still unrevealed, which inspired us to conduct a phytochemical and pharmacological investigation related to its traditional use. Aim of the study: To support the traditional use of K. officinalis by assessing the anti-inflammatory and analgesic effects of its purified MIAs. Material and methods: Compounds were isolated and purified from the barks and leaves of K. officinalis using diverse chromatographic methods. The structures were established by means of extensive spectroscopic analyses and quantum computational technique. The anti-inflammatory activities of the purified MIAs were evaluated in vitro based on the suppression of lipopolysaccharide-activated inflammatory mediators (COX-2, IL-1 beta, and TNF-alpha) in RAW 264.7 macrophage cells. Anti-inflammatory and analgesic activities in vivo were assessed with carrageenan-induced paw edema and acetic acid-stimulated writhing in mice models. Results: 23 MIAs including four new compounds were obtained and structurally established. Most of isolates showed significant anti-inflammatory effects in vitro by inhibiting inflammatory mediators (COX-2, IL-1 beta, and TNF-alpha). Further pharmacological evaluation in vivo revealed that 12-hydroxy-19(R)-hydroxy-ibophyllidine (1) and 11,12-methylenedioxykopsinaline N-4-oxide (5) remarkably decreased the number of writhing, while kop-sinic acid (8), (-)-kopsinilam (12), and normavacurine-21-one (20) significantly relieved paw edema, respectively, even better than the positive control aspirin. Conclusions: The in vitro and in vivo findings supported the traditional use of K. officinalis with respect to its anti-inflammatory and analgesic effect, as well as provided potent bioactive MIAs for further chemical modification and pharmacological investigation.</t>
  </si>
  <si>
    <t>Jin, Qiong</t>
  </si>
  <si>
    <t>[Jin, Qiong; Liu, Ya-Ping; Zhang, Ruo-Song; Zhu, Pei-Feng; Zhao, Lan-Qin; Qin, Xu-Jie; Luo, Xiao-Dong] Chinese Acad Sci, Kunming Inst Bot, State Key Lab Phytochem &amp; Plant Resources West Ch, Kunming 650201, Yunnan, Peoples R China; [Zhao, Yun-Li; Luo, Xiao-Dong] Yunnan Univ, Sch Chem Sci &amp; Technol, Key Lab Med Chem Nat Resource, Minist Educ &amp; Yunnan Prov, Kunming 650091, Yunnan, Peoples R China; [Jin, Qiong; Zhang, Ruo-Song; Zhu, Pei-Feng; Zhao, Lan-Qin; Qin, Xu-Jie] Univ Chinese Acad Sci, Beijing 100049, Peoples R China</t>
  </si>
  <si>
    <t>Qin, XJ; Luo, XD (通讯作者)，Chinese Acad Sci, Kunming Inst Bot, State Key Lab Phytochem &amp; Plant Resources West Ch, Kunming 650201, Yunnan, Peoples R China.</t>
  </si>
  <si>
    <t>qinxujie@mail.kib.ac.cn; xdluo@mail.kib.ac.cn</t>
  </si>
  <si>
    <t>Second Tibetan Plateau Scientific Expedition and Research (STEP) program [2019QZKK0502]; Yunnan Science and Technology Project of China [2019ZF003, 2019FY003004]</t>
  </si>
  <si>
    <t>Second Tibetan Plateau Scientific Expedition and Research (STEP) program; Yunnan Science and Technology Project of China</t>
  </si>
  <si>
    <t>Acknowledgments The authors are grateful to the Second Tibetan Plateau Scientific Expedition and Research (STEP) program (2019QZKK0502) and Yunnan Science and Technology Project of China (2019ZF003 and 2019FY003004) for the partly financial support. We are also appreciated China Scientific Computing Grid (http:// www.scgrid.cn) for the assis-tance of ECD calculations.</t>
  </si>
  <si>
    <t>10.1016/j.jep.2021.114848</t>
  </si>
  <si>
    <t>1W6FY</t>
  </si>
  <si>
    <t>WOS:000806869500005</t>
  </si>
  <si>
    <t>Xie, TZ; Zhao, YL; Wang, H; Chen, YC; Wei, X; Wang, ZJ; He, YJ; Zhao, LX; Luo, XD</t>
  </si>
  <si>
    <t>Xie, Tian-Zhen; Zhao, Yun-Li; Wang, Huan; Chen, Yi-Chi; Wei, Xin; Wang, Zhao-Jie; He, Ying-Jie; Zhao, Li-Xing; Luo, Xiao-Dong</t>
  </si>
  <si>
    <t>New steroidal alkaloids with anti-inflammatory and analgesic effects from Veratrum grandiflorum</t>
  </si>
  <si>
    <t>Veratrum grandiflorum; Steroidal alkaloids; Anti-inflammatory and analgesic effects</t>
  </si>
  <si>
    <t>CONSTITUENTS; RHIZOMES; PLANTS; CORE</t>
  </si>
  <si>
    <t>Ethnopharmacological relevance: Li-Lu, the roots and rhizomes of Veratrum grandiflorum (Melianthiaceae), has been historically used as a traditional folk medicine for the treatment of wrist pain, fractures, sores, and inflammation in Yunnan Province, China. However, the anti-inflammatory and analgesic studies of this plant have seldom reported. Aim of the study: To evaluate the anti-inflammatory and analgesic properties related to the traditional usage of V. grandiflorum both in vitro and in vivo, and further explore the accurate bioactive compounds from the medicinal plant. Materials and methods: Phytochemical investigation was carried out by chromatographic methods and their structures were established based on extensive spectra and comparison with corresponding data in the reported literatures. Anti-inflammatory activities were assessed by the suppression of lipopolysaccharide-activated inflammatory mediators in RAW 264.7 macrophage cells in vitro. Furthermore, anti-inflammatory and analgesic effects were evaluated based on carrageenan-induced paw edema and acetic acid-stimulated writhing in mice. Results: The methanol extract (ME) of V. grandiflorum significantly alleviated the paw edema caused by carrageenan and the writhing numbers induced by acetic acid. Subsequent phytochemical investigation led to isolated of 21 steroidal alkaloids, including seven new compounds, veragranines C-I (1-7). Anti-inflammatory test indicated that steroidal alkaloids could decrease the expression of cyclooxygenase-2 (COX-2), interleukin-1 beta (IL1 beta), and tumor necrosis factor alpha (TNF-alpha) in lipopolysaccharide (LPS)-stimulated RAW 264.7 macrophage cells at a concentration of 5.0 mu g/ml in vitro, comparable to DXM. Moreover, five new steroidal alkaloids (2, 4, 5, 6, and 7) and two major steroidal alkaloids (9 and 13) significantly decreased the numbers of writhing in mice at the doses of 0.5 and/or 1.0 mg/kg (p &lt; 0.01/0.05), roughly comparable to DolantinTM at 10.0 mg/kg. Conclusions: The investigation supported the traditional use of V. grandiflorum and provided new steroidal alkaloids as potent analgesic agents.</t>
  </si>
  <si>
    <t>[Xie, Tian-Zhen; Zhao, Yun-Li; Wang, Huan; Chen, Yi-Chi; Wang, Zhao-Jie; He, Ying-Jie; Zhao, Li-Xing; Luo, Xiao-Dong] Yunnan Univ, Sch Chem Sci &amp; Technol, Key Lab Med Chem Nat Resource, Minist Educ &amp; Yunnan Prov, Kunming 650091, Yunnan, Peoples R China; [Wei, Xin; Luo, Xiao-Dong] Chinese Acad Sci, Kunming Inst Bot, State Key Lab Phytochem &amp; Plant Resources West Ch, Kunming 650201, Yunnan, Peoples R China</t>
  </si>
  <si>
    <t>Luo, XD (通讯作者)，Yunnan Univ, Sch Chem Sci &amp; Technol, Key Lab Med Chem Nat Resource, Minist Educ &amp; Yunnan Prov, Kunming 650091, Yunnan, Peoples R China.</t>
  </si>
  <si>
    <t>The authors are grateful to the Second Tibetan Plateau Scientific Expedition and Research (STEP) program (2019QZKK0502), and Yunnan Science and Technology Project (2019FY003004 and 202105AE160006) for partial financial support. The authors thank the Advanced Analysis and Measurement Center of Yunnan University for the sample testing service.</t>
  </si>
  <si>
    <t>10.1016/j.jep.2022.115290</t>
  </si>
  <si>
    <t>1F2EG</t>
  </si>
  <si>
    <t>WOS:000794985100003</t>
  </si>
  <si>
    <t>Arunachalm, K; Yang, XF; San, TT</t>
  </si>
  <si>
    <t>Arunachalm, Karuppusamy; Yang, Xuefei; San, Thae Thae</t>
  </si>
  <si>
    <t>Tinospora cordifolia (Willd.) Miers: Protection mechanisms and strategies against oxidative stress-related diseases</t>
  </si>
  <si>
    <t>Tinospora cordifolia; Traditional medicine; Antioxidant; Reactive oxygen species; Immunomodulatory effect; COVID-19</t>
  </si>
  <si>
    <t>CLERODANE FURANO-DITERPENE; INDIAN MEDICINAL-PLANTS; IN-VITRO ANTIOXIDANT; EX HOOK F; FREE-RADICALS; LIPID-PEROXIDATION; ETHANOLIC EXTRACT; AYURVEDIC FORMULATION; ALCOHOLIC EXTRACT; CARDIOPROTECTIVE ACTIVITY</t>
  </si>
  <si>
    <t>Ethnopharmacological relevance: Tinospora cordifolia (Willd.) Miers (Menispermaceae) is a Mediterranean herb, used in Ayurvedic, Siddha, Unani, and folk medicines. The herb is also used in conventional medicine to treat oxidative stress-related diseases and conditions, including inflammation, pain, diarrhea, asthma, respiratory infections, cancer, diabetes, and gastrointestinal disorders. Aim of the review: The taxonomy, botanical classification, geographical distribution, and ethnobotanical uses of T. cordifolia, as well as the phytochemical compounds found in the herb, the toxicology of and pharmacological and clinical studies on the effects of T. cordifolia are all covered in this study. Materials and methods: To gather information on T. cordifolia, we used a variety of scientific databases, including Scopus, Google Scholar, PubMed, and Science Direct. The information discussed focuses on biologically active compounds found in T. cordifolia, and common applications and pharmacological activity of the herb, as well as toxicological and clinical studies on its properties. Results: The findings of this study reveal a connection between the use of T. cordifolia in conventional medicine and its antioxidant, anti-inflammatory, antihypertensive, antidiabetic, anticancer, immunomodulatory, and other biological effects. The entire plant, stem, leaves, root, and extracts of T. cordifolia have been shown to have a variety of biological activities, including antioxidant, antimicrobial, antiviral, antiparasitic, antidiabetic, anticancer, anti-inflammatory, analgesic and antipyretic, hepatoprotective, and cardioprotective impact. Toxicological testing demonstrated that this plant may have medicinal applications. T. cordifolia contains a variety of biologically active compounds from various chemical classes, including alkaloids, terpenoids, sitosterols, flavonoids, and phenolic acids. Based on the reports researched for this review, we believe that chemicals in T. cordifolia may activate Nrf2, which leads to the overexpression of antioxidant enzymes such as CAT, GPx, GST, and GR, and thereby induces the adaptive response to oxidative stress. T. cordifolia is also able to reduce NF-kappa B signalling by inhibiting PI3K/Akt, activating AMPK and sirtuins, and downregulating PI3K/Akt. Conclusions: Our findings indicate that the pharmacological properties displayed by T. cordifolia back up its conventional uses. Antimicrobial, antiviral, antioxidant, anticancer, anti-inflammatory, antimutagenic, antidiabetic, nephroprotective, gastroprotective, hepatoprotective, and cardioprotective activities were all demonstrated in T. cordifolia stem extracts. To validate pharmacodynamic targets, further research is needed to evaluate the molecular mechanisms of the known compounds against gastrointestinal diseases, inflammatory processes, and microbial infections, as immunostimulants, and in chemotherapy. The T. cordifolia safety profile was confirmed in a toxicological analysis, which prompted pharmacokinetic assessment testing to confirm its bioavailability.</t>
  </si>
  <si>
    <t>Arunachalm, Karuppusamy</t>
  </si>
  <si>
    <t>[Arunachalm, Karuppusamy; Yang, Xuefei; San, Thae Thae] Chinese Acad Sci, Kunming Inst Bot, Key Lab Econ Plants &amp; Biotechnol, Kunming 650201, Yunnan, Peoples R China; [Arunachalm, Karuppusamy; Yang, Xuefei; San, Thae Thae] Chinese Acad Sci, Kunming Inst Bot, Yunnan Key Lab Wild Plant Resources, Kunming 650201, Yunnan, Peoples R China; [Arunachalm, Karuppusamy; Yang, Xuefei; San, Thae Thae] Chinese Acad Sci, Southeast Asia Biodivers Res Inst, Yezin 05282, Nay Pyi Taw, Myanmar</t>
  </si>
  <si>
    <t>Arunachalm, K; Yang, XF (通讯作者)，Chinese Acad Sci, Kunming Inst Bot, Key Lab Econ Plants &amp; Biotechnol, Kunming 650201, Yunnan, Peoples R China.;Arunachalm, K; Yang, XF (通讯作者)，Chinese Acad Sci, Kunming Inst Bot, Yunnan Key Lab Wild Plant Resources, Kunming 650201, Yunnan, Peoples R China.</t>
  </si>
  <si>
    <t>Chinese Academy of Sciences [2020PB0112]; Inventory and Database Construction Project of Herbal Medicine [2018FY100700]; Southeast Asia Biodiversity Research Institute, Chinese Academy of Sciences, Peoples Republic, China [2015CASE-ABRIRG001, Y4ZK111B01]</t>
  </si>
  <si>
    <t>Chinese Academy of Sciences(Chinese Academy of Sciences); Inventory and Database Construction Project of Herbal Medicine; Southeast Asia Biodiversity Research Institute, Chinese Academy of Sciences, Peoples Republic, China</t>
  </si>
  <si>
    <t>KA acknowledges the Chinese Academy of Sciences, President's International Fellowship for his Postdoctoral Research (Reference no. 2020PB0112) . This work was financially supported by the Inventory and Database Construction Project of Herbal Medicine, along with the Belt and Road Countries (grant number 2018FY100700) , and the Southeast Asia Biodiversity Research Institute, Chinese Academy of Sciences, Peoples Republic, China (grant numbers 2015CASE-ABRIRG001 and Y4ZK111B01) .</t>
  </si>
  <si>
    <t>JAN 30</t>
  </si>
  <si>
    <t>10.1016/j.jep.2021.114540</t>
  </si>
  <si>
    <t>WW6OJ</t>
  </si>
  <si>
    <t>WOS:000718033100003</t>
  </si>
  <si>
    <t>Nguse, M; Yang, Y; Fu, ZL; Xu, JC; Ma, L; Bu, DP</t>
  </si>
  <si>
    <t>Nguse, Mebrahtom; Yang, Yi; Fu, Zilin; Xu, Jianchu; Ma, Lu; Bu, Dengpan</t>
  </si>
  <si>
    <t>Phyllanthus emblica (Amla) Fruit Powder as a Supplement to Improve Preweaning Dairy Calves' Health: Effect on Antioxidant Capacity, Immune Response, and Gut Bacterial Diversity</t>
  </si>
  <si>
    <t>BIOLOGY-BASEL</t>
  </si>
  <si>
    <t>Phyllanthus emblica; Amla; tannins; oxidative stress; antioxidant; immune response</t>
  </si>
  <si>
    <t>OXIDATIVE STRESS; HYDROLYZABLE TANNINS; OFFICINALIS; EXTRACT; MICROBIOTA; SEQUENCES; DIARRHEA; SYSTEM; GROWTH; INJURY</t>
  </si>
  <si>
    <t>Simple Summary Disease is among the leading problems in calf rearing, and Amla fruit powder could be a good candidate to improve calf immunity and resistance against infections due to its antioxidant, antimicrobial, and immunomodulatory effects. The aim of this study was to evaluate the effect of Amla fruit powder supplementation on antioxidant capacity, immune response, and gut microbial diversity of preweaning dairy calves. Supplementation of Amla fruit powder at 5 g per day improved the antioxidant capacity and immune response of preweaning dairy calves, while higher doses (20 and 40 g per day) negatively affected the antioxidant capacity and immune response. Ten grams per day supplementation showed comparable results to the control. Thus, 5 g per day Amla supplementation could be recommended for preweaning dairy calves. Disease is the main reason for the use of antimicrobials in calf rearing, and antibiotics are commonly used to treat calves, including for unknown diseases. This leads to antimicrobial resistance, which is a challenge to the livestock industry and public health. Plant products containing high levels of phytochemicals may improve the immunity and resistance of calves against infections, thereby reducing the use of antimicrobials. This study aimed to investigate the effect of Phyllanthus emblica (Amla) fruit powder (PE) supplementation on antioxidant capacity and immune response of preweaning dairy calves. One hundred, 2-day-old, male Holstein calves were randomly assigned into five treatment groups receiving 0, 5, 10, 20, and 40 g/d PE supplementation. Antioxidant and immune indices and pro- and anti-inflammatory cytokines were analyzed from serum samples, whereas 16S rRNA was analyzed from rumen fluid and fecal samples. PE supplementation, at 5 g/d, protected calves against oxidative stress and improved antioxidant enzymes and immune and anti-inflammatory responses, showing its immunity-enhancing and protective roles against infections. However, the antioxidant capacity and immune response decreased with increasing PE levels, illustrating the adverse effects of PE supplementation at higher doses. The analysis of ruminal and fecal bacterial community abundance detected higher proportions of Firmicutes at an early age, and a higher Bacteroidetes to Firmicutes ratio at weaning, in calves supplemented with 5 g/d PE. This contributed to the development of the immune system in early life, and improved immune and anti-inflammatory responses at a later age. The overall results suggest that PE could be supplemented at 5 g/d for preweaning dairy calves to protect against oxidative stress and infections while maintaining normal gut microbial hemostasis.</t>
  </si>
  <si>
    <t>Nguse, Mebrahtom</t>
  </si>
  <si>
    <t>[Nguse, Mebrahtom; Yang, Yi; Fu, Zilin; Ma, Lu; Bu, Dengpan] Chinese Acad Agr Sci CAAS, Inst Anim Sci IAS, State Key Lab Anim Nutr, Beijing 100193, Peoples R China; [Nguse, Mebrahtom] Mekelle Univ, Coll Dryland Agr &amp; Nat Resources, Dept Anim Sci ARWS, POB 231, Mekelle, Ethiopia; [Xu, Jianchu] World Agroforestry Ctr, East &amp; Cent Asia, Kunming 650201, Peoples R China; [Xu, Jianchu; Bu, Dengpan] Chinese Acad Agr Sci CAAS, Ethiopian Inst Agr Res EIAR &amp; World Agroforestry C, Joint Lab Integrated Crop Tree Livestock Syst, Beijing 100193, Peoples R China</t>
  </si>
  <si>
    <t>Chinese Academy of Agricultural Sciences; Mekelle University; Chinese Academy of Agricultural Sciences</t>
  </si>
  <si>
    <t>Ma, L; Bu, DP (通讯作者)，Chinese Acad Agr Sci CAAS, Inst Anim Sci IAS, State Key Lab Anim Nutr, Beijing 100193, Peoples R China.;Bu, DP (通讯作者)，Chinese Acad Agr Sci CAAS, Ethiopian Inst Agr Res EIAR &amp; World Agroforestry C, Joint Lab Integrated Crop Tree Livestock Syst, Beijing 100193, Peoples R China.</t>
  </si>
  <si>
    <t>malu.nmg@163.com; budengpan@caas.cn</t>
  </si>
  <si>
    <t>National Key Research and Development Program of China; Key Research and Development Program of the Ningxia Hui Autonomous Region; Agriculture Science and Technology Innovation Program; Beijing Dairy Industry Innovation Team;  [2018YFE0101400];  [2021BEF02018];  [ASTIP-IAS07-1];  [BAIC06-2022]</t>
  </si>
  <si>
    <t xml:space="preserve">National Key Research and Development Program of China; Key Research and Development Program of the Ningxia Hui Autonomous Region; Agriculture Science and Technology Innovation Program; Beijing Dairy Industry Innovation Team; ; ; ; </t>
  </si>
  <si>
    <t>This research was funded by the National Key Research and Development Program of China (2018YFE0101400), Key Research and Development Program of the Ningxia Hui Autonomous Region: 2021BEF02018, the Agriculture Science and Technology Innovation Program (ASTIP-IAS07-1), and the Beijing Dairy Industry Innovation Team (BAIC06-2022).</t>
  </si>
  <si>
    <t>2079-7737</t>
  </si>
  <si>
    <t>Biology-Basel</t>
  </si>
  <si>
    <t>10.3390/biology11121753</t>
  </si>
  <si>
    <t>7D6GL</t>
  </si>
  <si>
    <t>WOS:000900586300001</t>
  </si>
  <si>
    <t>Ren, GC; Wanasinghe, DN; de Farias, ARG; Hyde, KD; Yasanthika, E; Xu, JC; Balasuriya, A; Chethana, KWT; Gui, H</t>
  </si>
  <si>
    <t>Ren, Guangcong; Wanasinghe, Dhanushka N.; de Farias, Antonio Roberto Gomes; Hyde, Kevin D. D.; Yasanthika, Erandi; Xu, Jianchu; Balasuriya, Abhaya; Chethana, Kandawatte Wedaralalage Thilini; Gui, Heng</t>
  </si>
  <si>
    <t>Taxonomic Novelties of Woody Litter Fungi (Didymosphaeriaceae, Pleosporales) from the Greater Mekong Subregion</t>
  </si>
  <si>
    <t>new taxa; Ascomycota; new genus; saprobic; taxonomy; phylogenetic</t>
  </si>
  <si>
    <t>SP. NOV. DIDYMOSPHAERIACEAE; BAYESIAN PHYLOGENETIC INFERENCE; SAPROBIC FUNGI; GEN. NOV; DIVERSITY; OUTLINE; RECORDS; SPEGAZZINIA; MASSARINEAE; THAILAND</t>
  </si>
  <si>
    <t>Simple Summary The Greater Mekong Subregion (GMS) has a diverse geographic landscape, and due to its varied environmental conditions, it harbors numerous florae, fauna, and microorganisms. Thus, the biodiversity in this region is exceptionally high. Over recent decades, the number of studies on microfungal diversity in the GMS increased rapidly. However, in the GMS the fungi of terrestrial habitats such as woody litter is still poorly researched. This paper introduces one monotypic genus, five novel species, and two new host records in Didymosphaeriaceae-inhabiting woody plant litter from the GMS and provides morpho-molecular justifications. The Greater Mekong Subregion (GMS) is known as a diverse geographic landscape and one of the richest biodiversity hotspots in the world with a high fungal diversity. Collections were carried out in terrestrial habitats to determine the diversity of woody litter fungi in the GMS, with an emphasis on northern Thailand and the Yunnan Province of China. Morphological characteristics and multigene phylogenetic analyses of combined SSU, LSU, ITS, and tef1-alpha supported the placement of the new isolates in the family Didymosphaeriaceae. The phylogenetic affinities of our isolates are illustrated through maximum likelihood and Bayesian inference analyses. Seven species of woody litter fungi were identified, comprising a new monotypic genus, Septofusispora; five novel species (Chromolaenicola sapindi, Dictyoarthrinium thailandicum, Karstenula lancangensis, Septofusispora thailandica, and Spegazzinia jinghaensis); and new host records of two species (Austropleospora archidendri, and Montagnula donacina). Furthermore, this study provides a synopsis of the Montagnula aff. donacina species based on their morphological characteristics, which can be useful in the species-level identifications in this genus.</t>
  </si>
  <si>
    <t>Ren, Guangcong</t>
  </si>
  <si>
    <t>[Ren, Guangcong; Hyde, Kevin D. D.; Yasanthika, Erandi; Balasuriya, Abhaya; Chethana, Kandawatte Wedaralalage Thilini] Mae Fah Luang Univ, Sch Sci, Chiang Rai 57100, Thailand; [Ren, Guangcong; de Farias, Antonio Roberto Gomes; Hyde, Kevin D. D.; Yasanthika, Erandi; Chethana, Kandawatte Wedaralalage Thilini] Mae Fah Luang Univ, Ctr Excellence Fungal Res, Chiang Rai 57100, Thailand; [Ren, Guangcong] Guiyang Nursing Vocat Coll, Sch Pharm, Guiyang 550081, Peoples R China; [Wanasinghe, Dhanushka N.; Hyde, Kevin D. D.; Xu, Jianchu; Gui, Heng] Chinese Acad Sci, Kunming Inst Bot, Dept Econ Plants &amp; Biotechnol, Yunnan Key Lab Wild Plant Resources, Kunming 650201, Peoples R China; [Wanasinghe, Dhanushka N.; Xu, Jianchu; Gui, Heng] Chinese Acad Sci, Kunming Inst Bot, Ctr Mt Futures, Honghe 654400, Peoples R China</t>
  </si>
  <si>
    <t>Mae Fah Luang University; Mae Fah Luang University; Chinese Academy of Sciences; Kunming Institute of Botany, CAS; Chinese Academy of Sciences; Kunming Institute of Botany, CAS</t>
  </si>
  <si>
    <t>Chethana, KWT (通讯作者)，Mae Fah Luang Univ, Sch Sci, Chiang Rai 57100, Thailand.;Chethana, KWT (通讯作者)，Mae Fah Luang Univ, Ctr Excellence Fungal Res, Chiang Rai 57100, Thailand.;Gui, H (通讯作者)，Chinese Acad Sci, Kunming Inst Bot, Dept Econ Plants &amp; Biotechnol, Yunnan Key Lab Wild Plant Resources, Kunming 650201, Peoples R China.;Gui, H (通讯作者)，Chinese Acad Sci, Kunming Inst Bot, Ctr Mt Futures, Honghe 654400, Peoples R China.</t>
  </si>
  <si>
    <t>kandawatte.thi@mfu.ac.th; guiheng@mail.kib.ac.cn</t>
  </si>
  <si>
    <t>Kandawatte, Thilini Chethana/AAE-8036-2019; Wanasinghe, Dhanushka Nadeeshan/P-1693-2017</t>
  </si>
  <si>
    <t>Kandawatte, Thilini Chethana/0000-0002-5816-9269; Wanasinghe, Dhanushka Nadeeshan/0000-0003-1759-3933; ren, guangcong/0000-0001-9923-2626</t>
  </si>
  <si>
    <t>National Science Foundation of China; Youth Innovation Promotion Association of CAS, China [32001296]; Thailand Research Fund [2022396]; High-End Foreign Experts in the High-Level Talent 318 Recruitment Plan of Yunnan Province, 2021, CAS President's International Fellowship Initiative [RDG6130001]; National Science Foundation of China (NSFC) [2021FYB0005]; Postdoctoral Fund from Human Resources and Social Security Bureau of Yun-nan Province [32150410362]; Onsite Visiting Scholars for World Class Research Collaboration Programme under Reinventing University System Project-Ministry of Higher Education, Science, Research, and Innovation, Thailand; National Research Council of Thailand-NRCT;  [N42A650547]</t>
  </si>
  <si>
    <t xml:space="preserve">National Science Foundation of China(National Natural Science Foundation of China (NSFC)); Youth Innovation Promotion Association of CAS, China; Thailand Research Fund(Thailand Research Fund (TRF)); High-End Foreign Experts in the High-Level Talent 318 Recruitment Plan of Yunnan Province, 2021, CAS President's International Fellowship Initiative; National Science Foundation of China (NSFC)(National Natural Science Foundation of China (NSFC)); Postdoctoral Fund from Human Resources and Social Security Bureau of Yun-nan Province; Onsite Visiting Scholars for World Class Research Collaboration Programme under Reinventing University System Project-Ministry of Higher Education, Science, Research, and Innovation, Thailand; National Research Council of Thailand-NRCT(National Research Council of Thailand (NRCT)); </t>
  </si>
  <si>
    <t>This research was funded by the National Science Foundation of China (Grant No.: 32001296), the Youth Innovation Promotion Association of CAS, China (Grant No.: 2022396), the Thailand Research Fund (Grant No. RDG6130001), the High-End Foreign Experts in the High-Level Talent 318 Recruitment Plan of Yunnan Province, 2021, CAS President's International Fellowship Initiative (Grant No. 2021FYB0005), the National Science Foundation of China (NSFC) (Grant No. 32150410362), the Postdoctoral Fund from Human Resources and Social Security Bureau of Yun-nan Province, the Onsite Visiting Scholars for World Class Research Collaboration Programme under the Reinventing University System Project sponsored by the Ministry of Higher Education, Science, Research, and Innovation, Thailand, and the National Research Council of Thailand-NRCT (Grant No. N42A650547).</t>
  </si>
  <si>
    <t>10.3390/biology11111660</t>
  </si>
  <si>
    <t>6U9LS</t>
  </si>
  <si>
    <t>WOS:000894682400001</t>
  </si>
  <si>
    <t>Wang, P; Peng, XR; Hou, T; Xu, FF; Zhou, H; Yu, YC; Qiu, MH; Liu, YF; Zhao, YP; Guo, ZM; Wang, JX; Liang, XM</t>
  </si>
  <si>
    <t>Wang, Pan; Peng, Xingrong; Hou, Tao; Xu, Fangfang; Zhou, Han; Yu, Yancheng; Qiu, Minghua; Liu, Yanfang; Zhao, Yaopeng; Guo, Zhimou; Wang, Jixia; Liang, Xinmiao</t>
  </si>
  <si>
    <t>Discovery and characterization of novel ATP citrate lyase inhibitors from natural products by a luminescence-based assay</t>
  </si>
  <si>
    <t>CHEMICO-BIOLOGICAL INTERACTIONS</t>
  </si>
  <si>
    <t>ACLY inhibitor; High-throughput screening; Natural products; Inhibition profiles</t>
  </si>
  <si>
    <t>LIPOGENIC ENZYMES; HYDROXYCITRATE; DERIVATIVES; ACTIVATION; TARGETS; GLUCOSE; DESIGN; ACID</t>
  </si>
  <si>
    <t>ATP citrate lyase (ACLY) is a key enzyme in glucolipid metabolism with therapeutic prospect for treating hyperlipidemia and various cancers. Much effort has been put into discovering ACLY inhibitors. However, current screening approaches have limitations in sensitivity, portability and high-throughput. To develop a general screening assay, we investigated series of conditions affecting the enzymatic reaction based on the ADP-Glo luminescence assay. Bovine serum albumin (0.001%) added triggered strong and stable fluorescence signal. The optimized assay was validated and applied to screen our natural product library. Two novel inhibitors were identified with IC50 values of 3.86 +/- 0.62 mu M (2) and 15.48 +/- 2.51 mu M (4). Their aggregations and target specificities were also examined. 2 was characterized as a noncompetitive inhibitor of ACLY, while 4 was a competitive inhibitor of CoA, which was also elucidated by docking studies. In anticancer activity evaluation, 2 with higher inhibition potency did not exhibit anticancer effect, probably owing to its insufficient cell -permeability. 4 showed moderate inhibition in the proliferation of A549 and PC3 cells. This study not only developed a general approach for ACLY inhibitor discovery, but also identified a new scaffold ACLY inhibitor, which could be served as a hit compound in drug design.</t>
  </si>
  <si>
    <t>Wang, Pan</t>
  </si>
  <si>
    <t>[Wang, Pan; Hou, Tao; Zhou, Han; Liu, Yanfang; Zhao, Yaopeng; Guo, Zhimou; Wang, Jixia; Liang, Xinmiao] Chinese Acad Sci, Dalian Inst Chem Phys, CAS Key Lab Separat Sci Anal Chem, Dalian 116023, Peoples R China; [Peng, Xingrong; Qiu, Minghua] Chinese Acad Sci, Kunming Inst Bot, State Key Lab Phytochem &amp; Plant Resources West Chi, Kunming 650201, Peoples R China; [Wang, Pan] Univ Chinese Acad Sci, Beijing 100000, Peoples R China; [Hou, Tao; Xu, Fangfang; Zhou, Han; Yu, Yancheng; Liu, Yanfang; Zhao, Yaopeng; Guo, Zhimou; Wang, Jixia] Ganjiang Chinese Med Innovat Ctr, Jiangxi Provincial Key Lab Pharmacodynam Mat Basis, Nanchang 330000, Peoples R China; [Hou, Tao; Xu, Fangfang; Qiu, Minghua; Liu, Yanfang; Zhao, Yaopeng; Guo, Zhimou; Wang, Jixia; Liang, Xinmiao] Chinese Acad Sci, Kunming Inst Bot, Yunnan Key Lab Nat Med Chem, Kunming 650201, Peoples R China</t>
  </si>
  <si>
    <t>Chinese Academy of Sciences; Dalian Institute of Chemical Physics, CAS; Chinese Academy of Sciences; Kunming Institute of Botany, CAS; Chinese Academy of Sciences; University of Chinese Academy of Sciences, CAS; Chinese Academy of Sciences; Kunming Institute of Botany, CAS</t>
  </si>
  <si>
    <t>Wang, JX; Liang, XM (通讯作者)，Chinese Acad Sci, Dalian Inst Chem Phys, CAS Key Lab Separat Sci Anal Chem, Dalian 116023, Peoples R China.;Wang, JX (通讯作者)，Ganjiang Chinese Med Innovat Ctr, Jiangxi Provincial Key Lab Pharmacodynam Mat Basis, Nanchang 330000, Peoples R China.</t>
  </si>
  <si>
    <t>jxwang@dicp.ac.cn; liangxm@dicp.ac.cn</t>
  </si>
  <si>
    <t>Project of National Natural Science Foundation of China [82173962]; Liaoning Province Xingliao Talent Program Project [XLYC1908035]; innovation program of science and research from DICP, CAS (DICP) [CAS018]</t>
  </si>
  <si>
    <t>Project of National Natural Science Foundation of China(National Natural Science Foundation of China (NSFC)); Liaoning Province Xingliao Talent Program Project; innovation program of science and research from DICP, CAS (DICP)</t>
  </si>
  <si>
    <t>This work was supported by Project of National Natural Science Foundation of China (82173962), Liaoning Province Xingliao Talent Program Project (XLYC1908035) and the innovation program of science and research from DICP, CAS (DICP, CAS018).</t>
  </si>
  <si>
    <t>0009-2797</t>
  </si>
  <si>
    <t>1872-7786</t>
  </si>
  <si>
    <t>CHEM-BIOL INTERACT</t>
  </si>
  <si>
    <t>Chem.-Biol. Interact.</t>
  </si>
  <si>
    <t>10.1016/j.cbi.2022.110199</t>
  </si>
  <si>
    <t>Biochemistry &amp; Molecular Biology; Pharmacology &amp; Pharmacy; Toxicology</t>
  </si>
  <si>
    <t>5I4MJ</t>
  </si>
  <si>
    <t>WOS:000868332500002</t>
  </si>
  <si>
    <t>Wanasinghe, DN; Mortimer, PE</t>
  </si>
  <si>
    <t>Wanasinghe, Dhanushka N.; Mortimer, Peter E.</t>
  </si>
  <si>
    <t>Taxonomic and Phylogenetic Insights into Novel Ascomycota from Forest Woody Litter</t>
  </si>
  <si>
    <t>anamorph; Greater Mekong Subregion; Pleosporales; teleomorph; Yunnan</t>
  </si>
  <si>
    <t>FRESH-WATER FUNGI; INHABITING FUNGI; SOUTHERN CHINA; SEQUENCE ALIGNMENT; YUNNAN PROVINCE; POLYPORES; FAMILY; DIDYMOSPHAERIACEAE; EXPLORATION; ENDOPHYTES</t>
  </si>
  <si>
    <t>Simple Summary Studies suggest that fungi belonging to Ascomycota are sensitive to environmental changes which are disrupting ecosystems globally, with numerous extinction events, imbuing fungal diversity research with a sense of urgency. Thus, it is crucial we assess the diversity of Ascomycota across different habitats and substrates, and include programs to seek out novel taxa within Ascomycota. Our study provides some insights into the woody-based saprotrophic microfungi in Yunnan, China by introducing two novel Ascomycota species. Furthermore, these species were discovered by a 5-year-old boy, thus highlighting how young enthusiasts can be involved in field studies and make a significant impact. While surveying the mycobiomes of dead woody litter in Yunnan Province, China, numerous isolates with affinity to Pleosporales (Dothideomycetes, Ascomycota) were recovered. The present work characterizes two species associated with dead woody twigs found in terrestrial habitats in the Kunming area of Yunnan. The novel taxa were recognized based on a polyphasic approach, including morphological examination and multiple gene phylogenetic analyses (non-translated loci and protein-coding regions). Neokalmusia jonahhulmei sp. nov. is introduced in Didymosphaeriaceae (Pleosporales) as a woody-based saprobic ascomycete that possesses multiloculate ascostromata immersed under a black clypeus-like structure, and three-septate, brown, fusiform, guttulate ascospores. Thyridaria jonahhulmei (Thyridariaceae) is introduced with teleomorphic and anamorphic (coelomycetous) characteristics. The teleomorph has the following characteristics: globose to subglobose ascomata with an ostiolum, a pruinose layer of yellow to reddish- or orange-brown material appearing around the top of the ostiolar necks, and brown, ellipsoid to fusoid, two-to-three-septate, euseptate, rough-walled ascospores; the anamorph features pycnidial conidiomata, phialidic, ampulliform to doliiform, conidiogenous cells, and brown, guttulate, ellipsoidal, aseptate conidia.</t>
  </si>
  <si>
    <t>[Wanasinghe, Dhanushka N.; Mortimer, Peter E.] Chinese Acad Sci, Kunming Inst Bot, Ctr Mt Futures, Honghe 654400, Peoples R China; [Wanasinghe, Dhanushka N.; Mortimer, Peter E.] Chinese Acad Sci, Kunming Inst Bot, Dept Econ Plants &amp; Biotechnol, Yunnan Key Lab Wild Plant Resources, Kunming 650201, Yunnan, Peoples R China</t>
  </si>
  <si>
    <t>Wanasinghe, DN; Mortimer, PE (通讯作者)，Chinese Acad Sci, Kunming Inst Bot, Ctr Mt Futures, Honghe 654400, Peoples R China.;Wanasinghe, DN; Mortimer, PE (通讯作者)，Chinese Acad Sci, Kunming Inst Bot, Dept Econ Plants &amp; Biotechnol, Yunnan Key Lab Wild Plant Resources, Kunming 650201, Yunnan, Peoples R China.</t>
  </si>
  <si>
    <t>wanasinghe@mail.kib.ac.cn; peter@mail.kib.ac.cn</t>
  </si>
  <si>
    <t>High-End Foreign Experts in the High-Level Talent 318 Recruitment Plan of Yunnan Province; CAS President's International Fellowship Initiative [2021FYB0005]; National Science Foundation of China (NSFC) [32150410362]; Postdoctoral Fund from Human Resources and Social Security Bureau of Yunnan Province</t>
  </si>
  <si>
    <t>High-End Foreign Experts in the High-Level Talent 318 Recruitment Plan of Yunnan Province; CAS President's International Fellowship Initiative; National Science Foundation of China (NSFC)(National Natural Science Foundation of China (NSFC)); Postdoctoral Fund from Human Resources and Social Security Bureau of Yunnan Province</t>
  </si>
  <si>
    <t>Funding was provided by the High-End Foreign Experts in the High-Level Talent 318 Recruitment Plan of Yunnan Province, 2021; the CAS President's International Fellowship Initiative (number 2021FYB0005); the National Science Foundation of China (NSFC) under the project code 32150410362; and the Postdoctoral Fund from Human Resources and Social Security Bureau of Yunnan Province.</t>
  </si>
  <si>
    <t>10.3390/biology11060889</t>
  </si>
  <si>
    <t>2N2EX</t>
  </si>
  <si>
    <t>WOS:000818200200001</t>
  </si>
  <si>
    <t>Wang, C; Zhu, MH; Sun, N; Shen, W; Jiang, N; Zhao, QS; Zhang, YX; Huang, Y; Zhou, WX</t>
  </si>
  <si>
    <t>Wang, Chen; Zhu, Ming-Hao; Sun, Na; Shen, Wei; Jiang, Ning; Zhao, Qin-Shi; Zhang, Yong-Xiang; Huang, Yan; Zhou, Wen-Xia</t>
  </si>
  <si>
    <t>Isorhynchophylline ameliorates stress-induced emotional disorder and cognitive impairment with modulation of NMDA receptors</t>
  </si>
  <si>
    <t>FRONTIERS IN NEUROSCIENCE</t>
  </si>
  <si>
    <t>isorhynchophylline (PubChem CID; 3037048); corticosterone; long-term potentiation; chronic unpredictable mild stress; D-serine; NMDA receptors</t>
  </si>
  <si>
    <t>CHRONIC MILD STRESS; DEPRESSION-LIKE BEHAVIORS; SYNAPTIC PLASTICITY; HIPPOCAMPAL PLASTICITY; DENTATE GYRUS; CORTICOSTERONE; MEMORY; BRAIN; RHYNCHOPHYLLINE; IMPROVES</t>
  </si>
  <si>
    <t>IntroductionIsorhynchophylline is one of the main active ingredients from Uncaria rhynchophylla, the effects and mechanisms of isorhynchophylline on stress-induced emotional disorders and cognitive impairment remain unclear. MethodsLong-term potentiation (LTP) in vivo was used for synaptic plasticity evaluation; chronic unpredictable mild stress (CUMS) model was used to evaluate the effect of isorhynchophylline on stress induced emotional disorders and cognitive impairment; sucrose preference test (SPT), open field test (OFT), and elevated plus maze (EPM) were used to evaluate emotional disorders; morris water maze (MWM) test was used to evaluate cognitive impairment; Western blotting (WB) was used to the expression of proteins; high performance liquid chromatography (HPLC) was used to quantify neurotransmitters; Nissl staining was used to identify pathological changes induced by stress. ResultsIn this study, we found that isorhynchophylline improved corticosterone-induced in vivo LTP impairment significantly, indicating positive effects on stress. Therefore, 28-day CUMS model was adopted to evaluate the anti-stress effects of isorhynchophylline. The results showed that isorhynchophylline improved CUMS-induced weight loss, anxiety- and depression-like behaviors, and spatial memory impairment. Isorhynchophylline reduced CUMS-induced corticosterone elevation. N-methyl-D-aspartic acid (NMDA) receptors play an important role in the process of emotion and memory. Glutamate and the expression of GluN2B increased in the CUMS mice, while D-serine and the expression of serine racemase (SR) decreased significantly, and isorhynchophylline restored these changes to normal level. ConclusionThese results indicated that isorhynchophylline ameliorated stress-induced emotional disorders and cognitive impairment, modulating NMDA receptors might be one of the underlying mechanisms.</t>
  </si>
  <si>
    <t>Wang, Chen</t>
  </si>
  <si>
    <t>[Wang, Chen; Zhu, Ming-Hao; Sun, Na; Shen, Wei; Jiang, Ning; Zhang, Yong-Xiang; Huang, Yan; Zhou, Wen-Xia] Beijing Inst Pharmacol &amp; Toxicol, State Key Lab Toxicol &amp; Med Countermeasures, Beijing, Peoples R China; [Zhao, Qin-Shi] Chinese Acad Sci, Kunming Inst Bot, State Key Lab Phytochemistry &amp; Plant Resources Wes, Kunming, Peoples R China</t>
  </si>
  <si>
    <t>Academy of Military Medical Sciences - China; Chinese Academy of Sciences; Kunming Institute of Botany, CAS</t>
  </si>
  <si>
    <t>Huang, Y; Zhou, WX (通讯作者)，Beijing Inst Pharmacol &amp; Toxicol, State Key Lab Toxicol &amp; Med Countermeasures, Beijing, Peoples R China.</t>
  </si>
  <si>
    <t>huangyan023@163.com; zhouwx@bmi.ac.cn</t>
  </si>
  <si>
    <t>1662-453X</t>
  </si>
  <si>
    <t>FRONT NEUROSCI-SWITZ</t>
  </si>
  <si>
    <t>Front. Neurosci.</t>
  </si>
  <si>
    <t>10.3389/fnins.2022.1071068</t>
  </si>
  <si>
    <t>Neurosciences</t>
  </si>
  <si>
    <t>Neurosciences &amp; Neurology</t>
  </si>
  <si>
    <t>7K7YT</t>
  </si>
  <si>
    <t>WOS:000905494700001</t>
  </si>
  <si>
    <t>Chen, K; Burgess, KS; He, FL; Yang, XY; Gao, LM; Li, DZ</t>
  </si>
  <si>
    <t>Chen, Kai; Burgess, Kevin S.; He, Fangliang; Yang, Xiang-Yun; Gao, Lian-Ming; Li, De-Zhu</t>
  </si>
  <si>
    <t>Seed traits and phylogeny explain plants' geographic distribution</t>
  </si>
  <si>
    <t>BIOGEOSCIENCES</t>
  </si>
  <si>
    <t>RANGE SIZE; MASS; DISPERSAL; HERITABILITY; CONSTRAINTS; PLASTICITY; ALLOCATION; MORPHOLOGY; EVOLUTION; PATTERNS</t>
  </si>
  <si>
    <t>Understanding the mechanisms that shape the geographic distribution of plant species is a central theme of biogeography. Although seed mass, seed dispersal mode and phylogeny have long been suspected to affect species distribution, the link between the sources of variation in these attributes and their effects on the distribution of seed plants are poorly documented. This study aims to quantify the joint effects of key seed traits and phylogeny on species distribution. We collected the seed mass and seed dispersal mode from 1426 species of seed plants representing 501 genera of 122 families and used 4 138 851 specimens to model species distributional range size. Phylogenetic generalized least-squares regression and variation partitioning were performed to estimate the effects of seed mass, seed dispersal mode and phylogeny on species distribution. We found that species distributional range size was significantly constrained by phylogeny. Seed mass and its intraspecific variation were also important in limiting species distribution, but their effects were different among species with different dispersal modes. Variation partitioning revealed that seed mass, seed mass variability, seed dispersal mode and phylogeny together explained 46.82 % of the variance in species range size. Although seed traits are not typically used to model the geographic distributions of seed plants, our study provides direct evidence showing seed mass, seed dispersal mode and phylogeny are important in explaining species geographic distribution. This finding underscores the necessity to include seed traits and the phylogenetic history of species in climate-based niche models for predicting the response of plant geographic distribution to climate change.</t>
  </si>
  <si>
    <t>Chen, Kai</t>
  </si>
  <si>
    <t>[Chen, Kai; Yang, Xiang-Yun; Li, De-Zhu] Chinese Acad Sci, Kunming Inst Bot, Germplasm Bank Wild Species, Kunming 650201, Yunnan, Peoples R China; [Chen, Kai; Gao, Lian-Ming; Li, De-Zhu] Chinese Acad Sci, Kunming Inst Bot, CAS Key Lab Plant Divers &amp; Biogeog East Asia, Kunming 650201, Yunnan, Peoples R China; [Burgess, Kevin S.] Columbus State Univ, Univ Syst Georgia, Coll Letters &amp; Sci, Dept Biol, Columbus, GA 31907 USA; [He, Fangliang] Univ Alberta, Dept Renewable Resources, Edmonton, AB TG6 2R3, Canada; [Gao, Lian-Ming] Chinese Acad Sci, Kunming Inst Bot, Lijiang Forest Biodivers Natl Observat &amp; Res Stn, Lijiang 674100, Yunnan, Peoples R China; [Li, De-Zhu] Univ Chinese Acad Sci, Kunming Coll Life Sci, Kunming 650201, Yunnan, Peoples R China; [Chen, Kai] Baoshan Univ, Key Lab Insect Resources Conservat &amp; Utilizat Wes, Baoshan 678000, Yunnan, Peoples R China</t>
  </si>
  <si>
    <t>Chinese Academy of Sciences; Kunming Institute of Botany, CAS; Chinese Academy of Sciences; Kunming Institute of Botany, CAS; University System of Georgia; Columbus State University; University of Alberta; Chinese Academy of Sciences; Kunming Institute of Botany, CAS; Chinese Academy of Sciences; University of Chinese Academy of Sciences, CAS; Baoshan University</t>
  </si>
  <si>
    <t>Li, DZ (通讯作者)，Chinese Acad Sci, Kunming Inst Bot, Germplasm Bank Wild Species, Kunming 650201, Yunnan, Peoples R China.;Gao, LM; Li, DZ (通讯作者)，Chinese Acad Sci, Kunming Inst Bot, CAS Key Lab Plant Divers &amp; Biogeog East Asia, Kunming 650201, Yunnan, Peoples R China.;Gao, LM (通讯作者)，Chinese Acad Sci, Kunming Inst Bot, Lijiang Forest Biodivers Natl Observat &amp; Res Stn, Lijiang 674100, Yunnan, Peoples R China.;Li, DZ (通讯作者)，Univ Chinese Acad Sci, Kunming Coll Life Sci, Kunming 650201, Yunnan, Peoples R China.</t>
  </si>
  <si>
    <t>gaolm@mail.kib.ac.cn; dzl@mail.kib.ac.cn</t>
  </si>
  <si>
    <t>Gao, Lian-Ming/H-4527-2011</t>
  </si>
  <si>
    <t>Gao, Lian-Ming/0000-0001-9047-2658</t>
  </si>
  <si>
    <t>Strategic Priority Research Program of the Chinese Academy of Sciences [XDB31000000]; International Partnership Program of the Chinese Academy of Sciences [151853KYSB20190027]; National Natural Science Foundation of China [32160078]; National Basic Research Program of China [2014CB954100]</t>
  </si>
  <si>
    <t>Strategic Priority Research Program of the Chinese Academy of Sciences(Chinese Academy of Sciences); International Partnership Program of the Chinese Academy of Sciences; National Natural Science Foundation of China(National Natural Science Foundation of China (NSFC)); National Basic Research Program of China(National Basic Research Program of China)</t>
  </si>
  <si>
    <t>This study was supported by the Strategic Priority Research Program of the Chinese Academy of Sciences (XDB31000000), the International Partnership Program of the Chinese Academy of Sciences (151853KYSB20190027), the National Natural Science Foundation of China (32160078) and the National Basic Research Program of China (2014CB954100).</t>
  </si>
  <si>
    <t>COPERNICUS GESELLSCHAFT MBH</t>
  </si>
  <si>
    <t>GOTTINGEN</t>
  </si>
  <si>
    <t>BAHNHOFSALLEE 1E, GOTTINGEN, 37081, GERMANY</t>
  </si>
  <si>
    <t>1726-4170</t>
  </si>
  <si>
    <t>1726-4189</t>
  </si>
  <si>
    <t>Biogeosciences</t>
  </si>
  <si>
    <t>OCT 12</t>
  </si>
  <si>
    <t>10.5194/bg-19-4801-2022</t>
  </si>
  <si>
    <t>Ecology; Geosciences, Multidisciplinary</t>
  </si>
  <si>
    <t>Environmental Sciences &amp; Ecology; Geology</t>
  </si>
  <si>
    <t>5F2MK</t>
  </si>
  <si>
    <t>Green Submitted, gold</t>
  </si>
  <si>
    <t>WOS:000866153900001</t>
  </si>
  <si>
    <t>Ling, JW; Chan, BCL; Tsang, MSM; Gao, X; Leung, PC; Lam, CWK; Hu, JM; Wong, CK</t>
  </si>
  <si>
    <t>Ling, Jiawei; Chan, Ben Chung-Lap; Tsang, Miranda Sin-Man; Gao, Xun; Leung, Ping Chung; Lam, Christopher Wai-Kei; Hu, Jiang-Miao; Wong, Chun Kwok</t>
  </si>
  <si>
    <t>Current Advances in Mechanisms and Treatment of Dry Eye Disease: Toward Anti-inflammatory and Immunomodulatory Therapy and Traditional Chinese Medicine</t>
  </si>
  <si>
    <t>FRONTIERS IN MEDICINE</t>
  </si>
  <si>
    <t>inflammation; signaling pathways; immunomodulatory therapy; traditional Chinese medicine; dry eye disease</t>
  </si>
  <si>
    <t>CHRONIC INFLAMMATORY LESIONS; MEIBOMIAN GLAND DYSFUNCTION; OCULAR-SURFACE; OPHTHALMIC SOLUTION; TEAR FILM; SJOGRENS-SYNDROME; ORAL DOXYCYCLINE; MATRIX METALLOPROTEINASES; TOPICAL CORTICOSTEROIDS; CATARACT-SURGERY</t>
  </si>
  <si>
    <t>Dry eye is currently one of the most common ocular surface disease. It can lead to ocular discomfort and even cause visual impairment, which greatly affects the work and quality of life of patients. With the increasing incidence of dry eye disease (DED) in recent years, the disease is receiving more and more attention, and has become one of the hot research fields in ophthalmology research. Recently, with the in-depth research on the etiology, pathogenesis and treatment of DED, it has been shown that defects in immune regulation is one of the main pathological mechanisms of DED. Since the non-specific and specific immune response of the ocular surface are jointly regulated, a variety of immune cells and inflammatory factors are involved in the development of DED. The conventional treatment of DED is the application of artificial tears for lubricating the ocular surface. However, for moderate-to-severe DED, treatment with anti-inflammatory drugs is necessary. In this review, the immunomodulatory mechanisms of DED and the latest research progress of its related treatments including Chinese medicine will be discussed.</t>
  </si>
  <si>
    <t>[Ling, Jiawei; Chan, Ben Chung-Lap; Tsang, Miranda Sin-Man; Leung, Ping Chung; Wong, Chun Kwok] Chinese Univ Hong Kong, Inst Chinese Med, Hong Kong, Peoples R China; [Tsang, Miranda Sin-Man; Gao, Xun; Wong, Chun Kwok] Chinese Univ Hong Kong, State Key Lab Res Bioact &amp; Clin Applicat Med Plan, Hong Kong, Peoples R China; [Lam, Christopher Wai-Kei] Chinese Univ Hong Kong, Prince Wales Hosp, Dept Chem Pathol, Hong Kong, Peoples R China; [Lam, Christopher Wai-Kei] Macau Univ Sci &amp; Technol, Fac Med, Macau, Macau, Peoples R China; [Lam, Christopher Wai-Kei] Macau Univ Sci &amp; Technol, State Key Lab Qual Res Chinese Med, Macau, Macau, Peoples R China; [Hu, Jiang-Miao] Chinese Acad Sci, Kunming Inst Bot, State Key Lab Phytochem &amp; Plant Resources West Ch, Kunming, Yunnan, Peoples R China; [Wong, Chun Kwok] Chinese Univ Hong Kong, Li Dak Sum Yip Yio Chin R&amp;D Ctr Chinese Med, Hong Kong, Peoples R China</t>
  </si>
  <si>
    <t>Chinese University of Hong Kong; Chinese University of Hong Kong; Chinese University of Hong Kong; Prince of Wales Hospital; Macau University of Science &amp; Technology; Macau University of Science &amp; Technology; Chinese Academy of Sciences; Kunming Institute of Botany, CAS; Chinese University of Hong Kong</t>
  </si>
  <si>
    <t>Wong, CK (通讯作者)，Chinese Univ Hong Kong, Inst Chinese Med, Hong Kong, Peoples R China.;Wong, CK (通讯作者)，Chinese Univ Hong Kong, State Key Lab Res Bioact &amp; Clin Applicat Med Plan, Hong Kong, Peoples R China.;Wong, CK (通讯作者)，Chinese Univ Hong Kong, Li Dak Sum Yip Yio Chin R&amp;D Ctr Chinese Med, Hong Kong, Peoples R China.</t>
  </si>
  <si>
    <t>ling, jiawei/0000-0002-7252-217X; Hu, Jiang-Miao/0000-0002-9013-8489; Tsang, Miranda Sin-Man/0000-0003-2416-0714</t>
  </si>
  <si>
    <t>State Key Laboratory of Research on Bioactivities and Clinical Applications of Medicinal Plants; CUHK from Innovation and Technology Commission, Hong Kong; Li Dak Sum Yip Yio Chin R&amp;D Center for Chinese Medicine, the Chinese University of Hong Kong</t>
  </si>
  <si>
    <t>&amp; nbsp;This study was supported by State Key Laboratory of Research on Bioactivities and Clinical Applications of Medicinal Plants, CUHK from Innovation and Technology Commission, Hong Kong and funding from Li Dak Sum Yip Yio Chin R &amp; D Center for Chinese Medicine, the Chinese University of Hong Kong.</t>
  </si>
  <si>
    <t>2296-858X</t>
  </si>
  <si>
    <t>FRONT MED-LAUSANNE</t>
  </si>
  <si>
    <t>Front. Med.</t>
  </si>
  <si>
    <t>JAN 17</t>
  </si>
  <si>
    <t>10.3389/fmed.2021.815075</t>
  </si>
  <si>
    <t>Medicine, General &amp; Internal</t>
  </si>
  <si>
    <t>General &amp; Internal Medicine</t>
  </si>
  <si>
    <t>YR3EG</t>
  </si>
  <si>
    <t>WOS:000749877100001</t>
  </si>
  <si>
    <t>Ji, YH; Landis, JB; Yang, J; Wang, SY; Zhou, N; Luo, Y; Liu, HY</t>
  </si>
  <si>
    <t>Ji, Yunheng; Landis, Jacob B.; Yang, Jin; Wang, Shuying; Zhou, Nian; Luo, Yan; Liu, Haiyang</t>
  </si>
  <si>
    <t>Phylogeny and evolution of Asparagaceae subfamily Nolinoideae: new insights from plastid phylogenomics</t>
  </si>
  <si>
    <t>ANNALS OF BOTANY</t>
  </si>
  <si>
    <t>Ancient hybridization; Convallarieae; incomplete lineage sorting; plastome; phylogeny; Polygonateae; Theropogon</t>
  </si>
  <si>
    <t>RUSCACEAE SENSU-LATO; CHROMOSOME EVOLUTION; DIVERSIFICATION; FAMILIES; GENES; CLASSIFICATION; COMBINATIONS; ANGIOSPERMS; RESOLVES; PLATFORM</t>
  </si>
  <si>
    <t>Background and aims Asparagaceae subfamily Nolinoideae is an economically important plant group, but the deep relationships and evolutionary history of the lineage remain poorly understood. Based on a large data set including 37 newly sequenced samples and publicly available plastomes, this study aims to better resolve the inter-tribal relationships of Nolinoideae, and to rigorously examine the tribe-level monophyly of Convallarieae, Ophiopogoneae and Polygonateae. Methods Maximum likelihood (ML) and Bayesian inference (BI) methods were used to infer phylogenetic relationships of Nolinoideae at the genus level and above. The diversification history of Nolinoideae was explored using molecular dating. Key results Both ML and BI analyses identically recovered five clades within Nolinoideae, respectively corresponding to Dracaeneae + Rusceae, Polygonateae + Theropogon, Ophiopogoneae, Nolineae, and Convallarieae excluding Theropogon, and most deep nodes were well supported. As Theropogon was embedded in Polygonateae, the plastome phylogeny failed to resolve Convallarieae and Polygonateae as reciprocally monophyletic. Divergence time estimation showed that the origins of most Nolinoideae genera were dated to the Miocene and Pliocene. The youthfulness of Nolinoideae genera is well represented in the three herbaceous tribes (Convallarieae, Ophiopogoneae and Polygonateae) chiefly distributed in temperate areas of the Northern Hemisphere, as the median stem ages of all 14 genera currently belonging to them were estimated at Conclusions This study recovered a robust backbone phylogeny, providing new insights for better understanding the evolution and classification of Nolinoideae. Compared with the deep relationships recovered by a previous study based on transcriptomic data, our data suggest that ancient hybridization or incomplete lineage sorting may have occurred in the early diversification of Nolinoideae. Our findings will provide important reference for further study of the evolutionary complexity of Nolinoideae using nuclear genomic data. The recent origin of these herbaceous genera currently belonging to Convallarieae, Ophiopogoneae and Polygonateae provides new evidence to support the hypothesis that the global expansion of temperate habitats caused by the climate cooling over the past 15 million years may have dramatically driven lineage diversification and speciation in the Northern Hemisphere temperate flora.</t>
  </si>
  <si>
    <t>[Ji, Yunheng; Yang, Jin; Wang, Shuying; Zhou, Nian] Chinese Acad Sci, Kunming Inst Bot, CAS Key Lab Plant Divers &amp; Biogeog East Asia, Kunming 650201, Yunnan, Peoples R China; [Ji, Yunheng] Chinese Acad Sci, Kunming Inst Bot, Yunnan Key Lab Integrat Conservat Plant Species Ex, Kunming 650201, Yunnan, Peoples R China; [Landis, Jacob B.] Cornell Univ, Sch Integrat Plant Sci, Sect Plant Biol, LH Bailey Hortorium, Ithaca, NY 14850 USA; [Landis, Jacob B.] Boyce Thompson Inst Plant Res, BTI Computat Biol Ctr, Ithaca, NY 14853 USA; [Zhou, Nian] Univ Chinese Acad Sci, Beijing 100049, Peoples R China; [Luo, Yan] Chinese Acad Sci, Chinese Acad Sci &amp; Ctr Integrat Conservat, Southeast Asia Biodivers Res Inst, Xishuangbanna Trop Bot Garden, Yunnan 666303, Peoples R China; [Liu, Haiyang] Chinese Acad Sci, Kunming Inst Bot, State Key Lab Phytochemistry &amp; Plant Resources Wes, Kunming 650201, Yunnan, Peoples R China</t>
  </si>
  <si>
    <t>Chinese Academy of Sciences; Kunming Institute of Botany, CAS; Chinese Academy of Sciences; Kunming Institute of Botany, CAS; Cornell University; Cornell University; Boyce Thompson Institute for Plant Research; Chinese Academy of Sciences; University of Chinese Academy of Sciences, CAS; Chinese Academy of Sciences; Xishuangbanna Tropical Botanical Garden, CAS; Chinese Academy of Sciences; Kunming Institute of Botany, CAS</t>
  </si>
  <si>
    <t>Ji, YH (通讯作者)，Chinese Acad Sci, Kunming Inst Bot, CAS Key Lab Plant Divers &amp; Biogeog East Asia, Kunming 650201, Yunnan, Peoples R China.;Ji, YH (通讯作者)，Chinese Acad Sci, Kunming Inst Bot, Yunnan Key Lab Integrat Conservat Plant Species Ex, Kunming 650201, Yunnan, Peoples R China.;Liu, HY (通讯作者)，Chinese Acad Sci, Kunming Inst Bot, State Key Lab Phytochemistry &amp; Plant Resources Wes, Kunming 650201, Yunnan, Peoples R China.</t>
  </si>
  <si>
    <t>jiyh@mail.kib.ac.cn; haiyangliu@mail.kib.ac.cn</t>
  </si>
  <si>
    <t>0305-7364</t>
  </si>
  <si>
    <t>1095-8290</t>
  </si>
  <si>
    <t>ANN BOT-LONDON</t>
  </si>
  <si>
    <t>Ann. Bot.</t>
  </si>
  <si>
    <t>10.1093/aob/mcac144</t>
  </si>
  <si>
    <t>7K4IW</t>
  </si>
  <si>
    <t>WOS:000905249200001</t>
  </si>
  <si>
    <t>Mo, ZQ; Fu, CN; Zhu, MS; Milne, RI; Yang, JB; Cai, J; Qin, HT; Zheng, W; Hollingsworth, PM; Li, DZ; Gao, LM</t>
  </si>
  <si>
    <t>Mo, Zhi-Qiong; Fu, Chao-Nan; Zhu, Ming-Shu; Milne, Richard, I; Yang, Jun-Bo; Cai, Jie; Qin, Han-Tao; Zheng, Wei; Hollingsworth, Peter M.; Li, De-Zhu; Gao, Lian-Ming</t>
  </si>
  <si>
    <t>Resolution, conflict and rate shifts: insights from a densely sampled plastome phylogeny for Rhododendron (Ericaceae)</t>
  </si>
  <si>
    <t>Himalaya-Hengduan Mountains; Rhododendron; genome skimming; plastid genome; phylogenomics; diversification; recent radiation</t>
  </si>
  <si>
    <t>NATURAL HYBRIDIZATION; SECTIONAL RELATIONSHIPS; SPECIES ERICACEAE; DIVERSIFICATION; LIKELIHOOD; PATTERNS; YUNNAN; ORIGIN; BIOGEOGRAPHY; ANGIOSPERMS</t>
  </si>
  <si>
    <t>Background and Aims Rhododendron is a species-rich and taxonomically challenging genus due to recent adaptive radiation and frequent hybridization. A well-resolved phylogenetic tree would help to understand the diverse history of Rhododendron in the Himalaya-Hengduan Mountains where the genus is most diverse. Methods We reconstructed the phylogeny based on plastid genomes with broad taxon sampling, covering 161 species representing all eight subgenera and all 12 sections, including similar to 45 % of the Rhododendron species native to the Himalaya-Hengduan Mountains. We compared this phylogeny with nuclear phylogenies to elucidate reticulate evolutionary events and clarify relationships at all levels within the genus. We also estimated the timing and diversification history of Rhododendron, especially the two species-rich subgenera Rhododendron and Hymenanthes that comprise &gt;90 % of Rhododendron species in the Himalaya-Hengduan Mountains. Key Results The full plastid dataset produced a well-resolved and supported phylogeny of Rhododendron. We identified 13 clades that were almost always monophyletic across all published phylogenies. The conflicts between nuclear and plastid phylogenies suggested strongly that reticulation events may have occurred in the deep lineage history of the genus. Within Rhododendron, subgenus Therorhodion diverged first at 56 Mya, then a burst of diversification occurred from 23.8 to 17.6 Mya, generating ten lineages among the component 12 clades of core Rhododendron. Diversification in subgenus Rhododendron accelerated c. 16.6 Mya and then became fairly continuous. Conversely, Hymenanthes diversification was slow at first, then accelerated very rapidly around 5 Mya. In the Himalaya-Hengduan Mountains, subgenus Rhododendron contained one major Glade adapted to high altitudes and another to low altitudes, whereas most clades in Hymenanthes contained both low- and high-altitude species, indicating greater ecological plasticity during its diversification. Conclusions The 13 clades proposed here may help to identify specific ancient hybridization events. This study will help to establish a stable and reliable taxonomic framework for Rhododendron, and provides insight into what drove its diversification and ecological adaption. Denser sampling of taxa, examining both organelle and nuclear genomes, is needed to better understand the divergence and diversification history of Rhododendron.</t>
  </si>
  <si>
    <t>Mo, Zhi-Qiong</t>
  </si>
  <si>
    <t>[Mo, Zhi-Qiong; Fu, Chao-Nan; Zhu, Ming-Shu; Milne, Richard, I; Qin, Han-Tao; Zheng, Wei; Li, De-Zhu; Gao, Lian-Ming] Chinese Acad Sci, Kunming Inst Bot, CAS Key Lab Plant Divers &amp; Biogeog East Asia, Kunming 650201, Yunnan, Peoples R China; [Mo, Zhi-Qiong; Fu, Chao-Nan; Yang, Jun-Bo; Cai, Jie; Li, De-Zhu] Chinese Acad Sci, Kunming Inst Bot, Germplasm Bank Wild Species, Kunming 650201, Yunnan, Peoples R China; [Mo, Zhi-Qiong; Zhu, Ming-Shu; Qin, Han-Tao; Zheng, Wei; Li, De-Zhu] Univ Chinese Acad Sci, Beijing 100049, Peoples R China; [Milne, Richard, I] Univ Edinburgh, Sch Biol Sci, Inst Mol Plant Sci, Edinburgh EH9 3JH, Midlothian, Scotland; [Hollingsworth, Peter M.] Royal Bot Garden Edinburgh, Edinburgh EH3 5LR, Midlothian, Scotland; [Gao, Lian-Ming] Chinese Acad Sci, Kunming Inst Bot, Lijiang Forest Biodivers Natl Observat &amp; Res Stn, Lijiang 674100, Yunnan, Peoples R China</t>
  </si>
  <si>
    <t>Li, DZ; Gao, LM (通讯作者)，Chinese Acad Sci, Kunming Inst Bot, CAS Key Lab Plant Divers &amp; Biogeog East Asia, Kunming 650201, Yunnan, Peoples R China.;Li, DZ (通讯作者)，Chinese Acad Sci, Kunming Inst Bot, Germplasm Bank Wild Species, Kunming 650201, Yunnan, Peoples R China.;Li, DZ (通讯作者)，Univ Chinese Acad Sci, Beijing 100049, Peoples R China.;Gao, LM (通讯作者)，Chinese Acad Sci, Kunming Inst Bot, Lijiang Forest Biodivers Natl Observat &amp; Res Stn, Lijiang 674100, Yunnan, Peoples R China.</t>
  </si>
  <si>
    <t>dzl@mail.kib.ac.cn; gaolm@mail.kib.ac.cn</t>
  </si>
  <si>
    <t>Strategic Priority Research Program of Chinese Academy of Sciences [XDB31000000]; Large-scale Scientific Facilities of the Chinese Academy of Sciences [2017-LSFGBOWS-02]; National Natural Science Foundation of China [32000173, 91631101, 31670213]; Key Basic Research program of Yunnan Province, China [202101BC070003]; Postdoctoral Directional Training Foundation of Yunnan Province [E132711261]</t>
  </si>
  <si>
    <t>Strategic Priority Research Program of Chinese Academy of Sciences(Chinese Academy of Sciences); Large-scale Scientific Facilities of the Chinese Academy of Sciences; National Natural Science Foundation of China(National Natural Science Foundation of China (NSFC)); Key Basic Research program of Yunnan Province, China; Postdoctoral Directional Training Foundation of Yunnan Province</t>
  </si>
  <si>
    <t>This study was supported by the Strategic Priority Research Program of Chinese Academy of Sciences (XDB31000000), the Large-scale Scientific Facilities of the Chinese Academy of Sciences (2017-LSFGBOWS-02), the National Natural Science Foundation of China (32000173, 91631101, 31670213), the Key Basic Research program of Yunnan Province, China (202101BC070003), and the Postdoctoral Directional Training Foundation of Yunnan Province (E132711261).</t>
  </si>
  <si>
    <t>10.1093/aob/mcac114</t>
  </si>
  <si>
    <t>6J1TU</t>
  </si>
  <si>
    <t>WOS:000864758400001</t>
  </si>
  <si>
    <t>Zhao, L; Yang, YY; Qu, XJ; Ma, H; Hu, Y; Li, HT; Yi, TS; Li, DZ</t>
  </si>
  <si>
    <t>Zhao, Lei; Yang, Ying-Ying; Qu, Xiao-Jian; Ma, Hong; Hu, Yi; Li, Hong-Tao; Yi, Ting-Shuang; Li, De-Zhu</t>
  </si>
  <si>
    <t>Phylotranscriptomic analyses reveal multiple whole-genome duplication events, the history of diversification and adaptations in the Araceae</t>
  </si>
  <si>
    <t>Araceae; diversification; phylogenomics; WGDs; adaptation</t>
  </si>
  <si>
    <t>TRAIT-DEPENDENT SPECIATION; GENE DUPLICATION; ANGIOSPERM DIVERSIFICATION; PHYLOGENOMIC ANALYSES; NUCLEAR GENES; POLYPLOIDY; EVOLUTIONARY; FAMILY; RATES; TOOL</t>
  </si>
  <si>
    <t>Background and Aims The Araceae are one of the most diverse monocot families with numerous morphological and ecological novelties. Plastid and mitochondrial genes have been used to investigate the phylogeny and to interpret shifts in the pollination biology and biogeography of the Araceae. In contrast, the role of whole-genome duplication (WGD) in the evolution of eight subfamilies remains unclear. Methods New transcriptomes or low-depth whole-genome sequences of 65 species were generated through Illumina sequencing. We reconstructed the phylogenetic relationships of Araceae using concatenated and species tree methods, and then estimated the age of major clades using TreePL. We inferred the WGD events by Ks and gene tree methods. We investigated the diversification patterns applying time-dependent and trait-dependent models. The expansions of gene families and functional enrichments were analysed using CAFE and InterProScan. Key Results Gymnostachydoideae was the earliest diverging lineage followed successively by Orontioideae, Lemnoideae and Lasioideae. In turn, they were followed by the clade of 'bisexual climbers' comprised of Pothoideae and Monsteroideae, which was resolved as the sister to the unisexual flowers clade of Zamioculcadoideae and Aroideae. A special WGD event psi (psi) shared by the True-Araceae clade occurred in the Early Cretaceous. Net diversification rates first declined and then increased through time in the Araceae. The best diversification rate shift along the stem lineage of the True-Araceae clade was detected, and net diversification rates were enhanced following the psi-WGD. Functional enrichment analyses revealed that some genes, such as those encoding heat shock proteins, glycosyl hydrolase and cytochrome P450, expanded within the True-Araceae clade. Conclusions Our results improve our understanding of aroid phylogeny using the large number of single-/low-copy nuclear genes. In contrast to the Proto-Araceae group and the lemnoid clade adaption to aquatic environments, our analyses of WGD, diversification and functional enrichment indicated that WGD may play a more important role in the evolution of adaptations to tropical, terrestrial environments in the True-Araceae clade. These insights provide us with new resources to interpret the evolution of the Araceae.</t>
  </si>
  <si>
    <t>Zhao, Lei</t>
  </si>
  <si>
    <t>[Zhao, Lei; Yang, Ying-Ying; Li, Hong-Tao; Yi, Ting-Shuang; Li, De-Zhu] Chinese Acad Sci, Kunming Inst Bot, Germplasm Bank Wild Species, Kunming 650201, Yunnan, Peoples R China; [Zhao, Lei; Yang, Ying-Ying] Univ Chinese Acad Sci, Kunming Coll Life Sci, Kunming 650201, Yunnan, Peoples R China; [Qu, Xiao-Jian] Shandong Normal Univ, Coll Life Sci, Shandong Prov Key Lab Plant Stress Res, Jinan 250014, Shandong, Peoples R China; [Ma, Hong; Hu, Yi] Penn State Univ, Huck Inst Life Sci, Dept Biol, University Pk, PA 16802 USA</t>
  </si>
  <si>
    <t>Chinese Academy of Sciences; Kunming Institute of Botany, CAS; Chinese Academy of Sciences; University of Chinese Academy of Sciences, CAS; Shandong Normal University; Pennsylvania Commonwealth System of Higher Education (PCSHE); Pennsylvania State University; Pennsylvania State University - University Park</t>
  </si>
  <si>
    <t>Yi, TS; Li, DZ (通讯作者)，Chinese Acad Sci, Kunming Inst Bot, Germplasm Bank Wild Species, Kunming 650201, Yunnan, Peoples R China.</t>
  </si>
  <si>
    <t>tingshuangyi@mail.kib.ac.cn; dzl@mail.kib.ac.cn</t>
  </si>
  <si>
    <t>Li, De-Zhu/0000-0002-4990-724X; Zhao, Lei/0000-0002-2253-5319</t>
  </si>
  <si>
    <t>Strategic Priority Research Program of the Chinese Academy of Sciences, China [XDB31000000]; Program of Science and Technology Talents Training of Yunnan Province, China [2017HA014]; National Natural Science Foundation of China key international (regional) cooperative research project [31720103903]; Science and Technology Basic Resources Investigation Program of China [2019FY100900]; Large-scale Scientific Facilities of the Chinese Academy of Sciences [2017-LSF-GBOWS-02]; National Natural Science Foundation of China [31270274, 31570333]; Key R and D program of Yunnan Province, China [202103AC100003]; Key Basic Research program of Yunnan Province, China [202101BC070003]; 'Cross-Cooperative Team' of the Germplasm Bank of Wild Species, Kunming Institute of Botany, Chinese Academy of Sciences</t>
  </si>
  <si>
    <t>Strategic Priority Research Program of the Chinese Academy of Sciences, China; Program of Science and Technology Talents Training of Yunnan Province, China; National Natural Science Foundation of China key international (regional) cooperative research project; Science and Technology Basic Resources Investigation Program of China; Large-scale Scientific Facilities of the Chinese Academy of Sciences; National Natural Science Foundation of China(National Natural Science Foundation of China (NSFC)); Key R and D program of Yunnan Province, China; Key Basic Research program of Yunnan Province, China; 'Cross-Cooperative Team' of the Germplasm Bank of Wild Species, Kunming Institute of Botany, Chinese Academy of Sciences</t>
  </si>
  <si>
    <t>This study is supported by the Strategic Priority Research Program of the Chinese Academy of Sciences, China (grant no. XDB31000000), the Program of Science and Technology Talents Training of Yunnan Province, China (grant no. 2017HA014), the National Natural Science Foundation of China key international (regional) cooperative research project (grant no. 31720103903); the Science and Technology Basic Resources Investigation Program of China (grant no. 2019FY100900); the Large-scale Scientific Facilities of the Chinese Academy of Sciences (grant no. 2017-LSF-GBOWS-02); the National Natural Science Foundation of China (grant nos 31270274 and 31570333), the Key R and D program of Yunnan Province, China (grant no. 202103AC100003), the Key Basic Research program of Yunnan Province, China (grant no. 202101BC070003) and the open research project of the 'Cross-Cooperative Team' of the Germplasm Bank of Wild Species, Kunming Institute of Botany, Chinese Academy of Sciences.</t>
  </si>
  <si>
    <t>10.1093/aob/mcac062</t>
  </si>
  <si>
    <t>3A2TO</t>
  </si>
  <si>
    <t>WOS:000827117200001</t>
  </si>
  <si>
    <t>Liu, J; Lindstrom, AJ; Marler, TE; Gong, X</t>
  </si>
  <si>
    <t>Liu, Jian; Lindstrom, Anders J.; Marler, Thomas E.; Gong, Xun</t>
  </si>
  <si>
    <t>Not that young: combining plastid phylogenomic, plate tectonic and fossil evidence indicates a Palaeogene diversification of Cycadaceae</t>
  </si>
  <si>
    <t>Cycadaceae; Cycads; origin; Palawan; Palaeogene; plastid phylogenomics</t>
  </si>
  <si>
    <t>SOUTH CHINA SEA; EVOLUTION; CYCADS; DISPERSAL; PALAWAN; MODEL; ASIA; RECONSTRUCTIONS; BIODIVERSITY; PHILIPPINES</t>
  </si>
  <si>
    <t>Background and Aims Previous molecular dating studies revealed historical mass extinctions and recent radiations of extant cycads, but debates still exist between palaeobotanists and evolutionary biologists regarding the origin and evolution of Cycadaceae. Methods Using whole plastomic data, we revisited the phylogeny of this family and found the Palawan endemic Cycas clade was strongly related to all lineages from Southeast Eurasia, coinciding with a plate drift event occurring in the Early Oligocene. By integrating fossil and biogeographical calibrations as well as molecular data from protein-coding genes, we established different calibration schemes and tested competing evolutionary timelines of Cycadaceae. Key Results We found recent dispersal cannot explain the distribution of Palawan Cycas, yet the scenario including the tectonic calibration yielded a mean crown age of extant Cycadaceae of similar to 69-43 million years ago by different tree priors, consistent with multiple Palaeogene fossils assigned to this family. Biogeographical analyses incorporating fossil distributions revealed East Asia as the ancestral area of Cycadaceae. Conclusions Our findings challenge the previously proposed Middle-Late Miocene diversification of cycads and an Indochina origin for Cycadaceae and highlight the importance of combining phylogenetic clades, tectonic events and fossils for rebuilding the evolutionary history of lineages that have undergone massive extinctions.</t>
  </si>
  <si>
    <t>[Liu, Jian; Gong, Xun] Chinese Acad Sci, Kunming Inst Bot, CAS Key Lab Plant Divers &amp; Biogeog East Asia, Kunming 650201, Yunnan, Peoples R China; [Liu, Jian; Gong, Xun] Chinese Acad Sci, Kunming Inst Bot, Yunnan Key Lab Wild Plant Resources, Dept Econ Plants &amp; Biotechnol, Kunming 650201, Yunnan, Peoples R China; [Lindstrom, Anders J.] Global Biodivers Conservancy, 144-124 Moo3, Sattahip 20250, Chonburi, Thailand; [Marler, Thomas E.] Univ Guam, Western Pacific Trop Res Ctr, UOG Stn, Mangilao, GU 96923 USA; [Gong, Xun] Univ Chinese Acad Sci, Beijing 100049, Peoples R China</t>
  </si>
  <si>
    <t>Chinese Academy of Sciences; Kunming Institute of Botany, CAS; Chinese Academy of Sciences; Kunming Institute of Botany, CAS; University of Guam; Chinese Academy of Sciences; University of Chinese Academy of Sciences, CAS</t>
  </si>
  <si>
    <t>Liu, J; Gong, X (通讯作者)，Chinese Acad Sci, Kunming Inst Bot, CAS Key Lab Plant Divers &amp; Biogeog East Asia, Kunming 650201, Yunnan, Peoples R China.;Liu, J; Gong, X (通讯作者)，Chinese Acad Sci, Kunming Inst Bot, Yunnan Key Lab Wild Plant Resources, Dept Econ Plants &amp; Biotechnol, Kunming 650201, Yunnan, Peoples R China.;Lindstrom, AJ (通讯作者)，Global Biodivers Conservancy, 144-124 Moo3, Sattahip 20250, Chonburi, Thailand.;Gong, X (通讯作者)，Univ Chinese Acad Sci, Beijing 100049, Peoples R China.</t>
  </si>
  <si>
    <t>liujian@mail.kib.ac.cn; ajlindstrom71@gmail.com; gongxun@mail.kib.ac.cn</t>
  </si>
  <si>
    <t>Liu, Jian/0000-0003-1828-4024</t>
  </si>
  <si>
    <t>National Natural Science Foundation of China [31900184, 31800191]; West Light Foundation of the Chinese Academy of Sciences [Y8246811W1]; Natural Science Foundation of Yunnan Province [202001AT070072, Y939521261]</t>
  </si>
  <si>
    <t>National Natural Science Foundation of China(National Natural Science Foundation of China (NSFC)); West Light Foundation of the Chinese Academy of Sciences(Chinese Academy of Sciences); Natural Science Foundation of Yunnan Province(Natural Science Foundation of Yunnan Province)</t>
  </si>
  <si>
    <t>. . This work was funded by the National Natural Science Foundation of China (31900184 &amp; 31800191), the West Light Foundation of the Chinese Academy of Sciences (Y8246811W1), and the Natural Science Foundation of Yunnan Province (202001AT070072 &amp; Y939521261).</t>
  </si>
  <si>
    <t>JAN 28</t>
  </si>
  <si>
    <t>10.1093/aob/mcab118</t>
  </si>
  <si>
    <t>2S8VG</t>
  </si>
  <si>
    <t>WOS:000822064600010</t>
  </si>
  <si>
    <t>Yusupov, Z; Ergashov, I; Volis, S; Makhmudjanov, D; Dekhkonov, D; Khassanov, F; Tojibaev, K; Deng, T; Sun, H</t>
  </si>
  <si>
    <t>Yusupov, Ziyoviddin; Ergashov, Ibrokhimjon; Volis, Sergei; Makhmudjanov, Dilmurod; Dekhkonov, Davron; Khassanov, Furkat; Tojibaev, Komiljon; Deng, Tao; Sun, Hang</t>
  </si>
  <si>
    <t>Seed macro- and micromorphology in Allium (Amaryllidaceae) and its phylogenetic significance</t>
  </si>
  <si>
    <t>Seed macromorphology; seed micromorphology; phylogenetic analysis; SEM; testa cell; Allium taxonomy</t>
  </si>
  <si>
    <t>INTERNAL TRANSCRIBED SPACER; COMPLETE CHLOROPLAST GENOME; SUBG. MELANOCROMMYUM WEBB; TESTA SCULPTURES; ALLIACEAE; DNA; MORPHOLOGY; EVOLUTION; HISTORY; CLASSIFICATION</t>
  </si>
  <si>
    <t>Background and Aims Macro- and micromorphology of seeds are diagnostic characteristics of importance in delimiting taxa in Allium (Amaryllidaceae). However, there is no consensus on the phylogenetic significance of testa cell characteristics and whether they reflect the different evolutionary levels recognized in Allium. Methods Seeds of 95 species (98 samples) representing 14 subgenera and 58 sections of Allium were examined using scanning electron microscopy (SEM) for such traits as periclinal wall surface area of ten testa cells, distance between testa cells (macromorphology), testa cell shapes, and arrangement and structure of anticlinal and periclinal walls (micromorphology). The data matrix was subjected to cladistic analysis. The produced phylogenetic tree was examined against the molecular tree obtained from publically available ITS sequences. Key Results The periclinal wall surface area of ten testa cells and the distance between them, examined for the first time, were found useful for delimitation of species in Allium. Based on seed macro- and micromorphology, we present a taxonomic key and a hypothetical reconstruction of the migration routes during the early stages of evolution of Allium. Conclusions The ancestors of Allium originated in an area bounded by the Caucasus, Central Asia and Iran. The seed testa morphology-based evolutionary state of a species is determined by two parameters: the shape of the periclinal walls and curvature of the anticlinal walls.</t>
  </si>
  <si>
    <t>Yusupov, Ziyoviddin</t>
  </si>
  <si>
    <t>[Yusupov, Ziyoviddin; Makhmudjanov, Dilmurod; Deng, Tao; Sun, Hang] Chinese Acad Sci, Kunming Inst Bot, CAS Key Lab Plant Divers &amp; Biogeog East Asia, Kunming 650201, Yunnan, Peoples R China; [Yusupov, Ziyoviddin; Ergashov, Ibrokhimjon; Volis, Sergei; Makhmudjanov, Dilmurod; Dekhkonov, Davron; Khassanov, Furkat; Tojibaev, Komiljon] Acad Sci Uzbek, Inst Bot, Int Joint Lab Mol Phylogeny &amp; Biogeog, Tashkent 100125, Uzbekistan; [Yusupov, Ziyoviddin; Ergashov, Ibrokhimjon; Volis, Sergei; Makhmudjanov, Dilmurod; Khassanov, Furkat; Tojibaev, Komiljon; Deng, Tao; Sun, Hang] Chinese Acad Sci, Kunming Inst Bot, Yunnan Int Joint Lab Biodivers Cent Asia, Kunming 650201, Yunnan, Peoples R China; [Ergashov, Ibrokhimjon] Univ Chinese Acad Sci, Beijing, Peoples R China</t>
  </si>
  <si>
    <t>Chinese Academy of Sciences; Kunming Institute of Botany, CAS; Academy of Sciences of Uzbekistan; Institute of Botany, Uzbekistan; Chinese Academy of Sciences; Kunming Institute of Botany, CAS; Chinese Academy of Sciences; University of Chinese Academy of Sciences, CAS</t>
  </si>
  <si>
    <t>Deng, T; Sun, H (通讯作者)，Chinese Acad Sci, Kunming Inst Bot, CAS Key Lab Plant Divers &amp; Biogeog East Asia, Kunming 650201, Yunnan, Peoples R China.;Tojibaev, K (通讯作者)，Acad Sci Uzbek, Inst Bot, Int Joint Lab Mol Phylogeny &amp; Biogeog, Tashkent 100125, Uzbekistan.;Tojibaev, K; Deng, T; Sun, H (通讯作者)，Chinese Acad Sci, Kunming Inst Bot, Yunnan Int Joint Lab Biodivers Cent Asia, Kunming 650201, Yunnan, Peoples R China.</t>
  </si>
  <si>
    <t>ktojibaev@mail.ru; dengtao@mail.kib.ac.cn; sunhang@mail.kib.ac.cn</t>
  </si>
  <si>
    <t>Dekhkonov, Davron/CAF-9977-2022; Yusupov, Ziyoviddin/AAE-4357-2019</t>
  </si>
  <si>
    <t>Dekhkonov, Davron/0000-0002-2762-5268; Yusupov, Ziyoviddin/0000-0003-2278-542X; Sun, Hang/0000-0001-5127-4579; Ergashov, Ibrokhimjon/0000-0002-0991-1076</t>
  </si>
  <si>
    <t>International Partnership Program of Chinese Academy of Sciences [151853KYSB20180009]; Belt and Road Project of West Light Foundation of the Chinese Academy of Sciences; 'Tree of life: monocots of Uzbekistan' State Program; Foundation of the State Research Project [FZ-20200929321]; Second Tibetan Plateau Scientific Expedition and Research (STEP) Program [2019QZKK0502]; Strategic Priority Research Program of Chinese Academy of Sciences [XDA20050203]; Key Projects of the Joint Fund of the National Natural Science Foundation of China [U1802232]; Youth Innovation Promotion Association of Chinese Academy of Sciences [2019382]; Yunnan Young &amp; Elite Talents Project [YNWR-QNBJ-2019-033]</t>
  </si>
  <si>
    <t>International Partnership Program of Chinese Academy of Sciences; Belt and Road Project of West Light Foundation of the Chinese Academy of Sciences; 'Tree of life: monocots of Uzbekistan' State Program; Foundation of the State Research Project; Second Tibetan Plateau Scientific Expedition and Research (STEP) Program; Strategic Priority Research Program of Chinese Academy of Sciences(Chinese Academy of Sciences); Key Projects of the Joint Fund of the National Natural Science Foundation of China(National Natural Science Foundation of China (NSFC)); Youth Innovation Promotion Association of Chinese Academy of Sciences; Yunnan Young &amp; Elite Talents Project</t>
  </si>
  <si>
    <t>This study was supported by the International Partnership Program of Chinese Academy of Sciences (151853KYSB20180009), the Belt and Road Project of West Light Foundation of the Chinese Academy of Sciences, the 'Tree of life: monocots of Uzbekistan' State Program, the Foundation of the State Research Project (FZ-20200929321), the Second Tibetan Plateau Scientific Expedition and Research (STEP) Program (2019QZKK0502), the Strategic Priority Research Program of Chinese Academy of Sciences (XDA20050203), the Key Projects of the Joint Fund of the National Natural Science Foundation of China (U1802232), the Youth Innovation Promotion Association of Chinese Academy of Sciences (2019382) and the Yunnan Young &amp; Elite Talents Project (YNWR-QNBJ-2019-033).</t>
  </si>
  <si>
    <t>JUL 18</t>
  </si>
  <si>
    <t>10.1093/aob/mcac067</t>
  </si>
  <si>
    <t>3A4WM</t>
  </si>
  <si>
    <t>WOS:000819527400001</t>
  </si>
  <si>
    <t>Zhang, Q; Zhao, L; Folk, RA; Zhao, JL; Zamora, NA; Yang, SX; Soltis, DE; Soltis, PS; Gao, LM; Peng, H; Yu, XQ</t>
  </si>
  <si>
    <t>Zhang, Qiong; Zhao, Lei; Folk, Ryan A.; Zhao, Jian-Li; Zamora, Nelson A.; Yang, Shi-Xiong; Soltis, Douglas E.; Soltis, Pamela S.; Gao, Lian-Ming; Peng, Hua; Yu, Xiang-Qin</t>
  </si>
  <si>
    <t>Phylotranscriptomics of Theaceae: generic-level relationships, reticulation and whole-genome duplication</t>
  </si>
  <si>
    <t>Theaceae; phylogeny; transcriptome; low-copy nuclear genes; molecular dating; phylogenetic network; whole-genome duplication</t>
  </si>
  <si>
    <t>NUCLEAR GENES; PHYLOGENETIC ANALYSIS; POLYSPORA THEACEAE; YELLOW CAMELLIAS; PLANT; EVOLUTION; DIVERSIFICATION; INSIGHTS; RESOLUTION; HISTORY</t>
  </si>
  <si>
    <t>Background and Aims Theaceae, with three tribes, nine genera and more than 200 species, are of great economic and ecological importance. Recent phylogenetic analyses based on plastomic data resolved the relationships among the three tribes and the intergeneric relationships within two of those tribes. However, generic-level relationships within the largest tribe, Theeae, were not fully resolved. The role of putative whole-genome duplication (WGD) events in the family and possible hybridization events among genera within Theeae also remain to be tested further. Methods Transcriptomes or low-depth whole-genome sequencing of 57 species of Theaceae, as well as additional plastome sequence data, were generated. Using a dataset of low-copy nuclear genes, we reconstructed phylogenetic relationships using concatenated, species tree and phylogenetic network approaches. We further conducted molecular dating analyses and inferred possible WGD events by examining the distribution of the number of synonymous substitutions per synonymous site (Ks) for paralogues in each species. For plastid protein-coding sequences , phylogenies were reconstructed for comparison with the results obtained from analysis of the nuclear dataset. Results Based on the 610 low-copy nuclear genes (858 606 bp in length) investigated, Stewartieae was resolved as sister to the other two tribes. Within Theeae, the Apterosperma-Laplacea clade grouped with Pyrenaria, leaving Camellia and Polyspora as sister. The estimated ages within Theaceae were largely consistent with previous studies based mainly on plastome data. Two reticulation events within Camellia and one between the common ancestor of Gordonia and Schima were found. All members of the tea family shared two WGD events, an older At-gamma and a recent Ad-beta; both events were also shared with the outgroups (Diapensiaceae, Pentaphylacaceae, Styracaceae and Symplocaceae). Conclusions Our analyses using low-copy nuclear genes improved understanding of phylogenetic relationships at the tribal and generic levels previously proposed based on plastome data, but the phylogenetic position of the Apterosperma-Laplacea clade needs more attention. There is no evidence for extensive intergeneric hybridization within Theeae or for a Theaceae-specific WGD event. Land bridges (e.g. the Bering land bridge) during the Late Oligocene may have permitted the intercontinental plant movements that facilitated the putative ancient introgression between the common ancestor of Gordonia and Schima.</t>
  </si>
  <si>
    <t>Zhang, Qiong</t>
  </si>
  <si>
    <t>[Zhang, Qiong; Yang, Shi-Xiong; Gao, Lian-Ming; Peng, Hua; Yu, Xiang-Qin] Chinese Acad Sci, Kunming Inst Bot, CAS Key Lab Plant Divers &amp; Biogeog East Asia, Kunming 650201, Yunnan, Peoples R China; [Zhang, Qiong] Univ Chinese Acad Sci, Coll Life Sci, Beijing 100049, Peoples R China; [Zhao, Lei] Chinese Acad Sci, Kunming Inst Bot, Germplasm Bank Wild Species, Kunming 650201, Yunnan, Peoples R China; [Folk, Ryan A.] Mississippi State Univ, Dept Biol Sci, Mississippi State, MS 39762 USA; [Zhao, Jian-Li] Yunnan Univ, Yunnan Key Lab Plant Reprod Adaptat &amp; Evolutionar, Kunming 650091, Yunnan, Peoples R China; [Zamora, Nelson A.] Nat Hist Dept Natl Museum Costa Rica, Natl Herbarium Costa Rica CR, San Jose, Costa Rica; [Soltis, Douglas E.; Soltis, Pamela S.] Univ Florida, Florida Museum Nat Hist, Gainesville, FL 32611 USA; [Gao, Lian-Ming] Chinese Acad Sci, Kunming Inst Bot, Yunnan Lijiang Forest Ecosyst Natl Observat &amp; Res, Lijiang 674100, Yunnan, Peoples R China</t>
  </si>
  <si>
    <t>Chinese Academy of Sciences; Kunming Institute of Botany, CAS; Chinese Academy of Sciences; University of Chinese Academy of Sciences, CAS; Chinese Academy of Sciences; Kunming Institute of Botany, CAS; Mississippi State University; Yunnan University; State University System of Florida; University of Florida; Chinese Academy of Sciences; Kunming Institute of Botany, CAS</t>
  </si>
  <si>
    <t>Peng, H; Yu, XQ (通讯作者)，Chinese Acad Sci, Kunming Inst Bot, CAS Key Lab Plant Divers &amp; Biogeog East Asia, Kunming 650201, Yunnan, Peoples R China.</t>
  </si>
  <si>
    <t>hpeng@mail.kib.ac.cn; yuxiangqin@mail.kib.ac.cn</t>
  </si>
  <si>
    <t>Gao, Lianming/H-4527-2011; Gao, Lian-Ming/AAU-2613-2021</t>
  </si>
  <si>
    <t>Gao, Lianming/0000-0001-9047-2658; Gao, Lian-Ming/0000-0001-9047-2658; Zhao, Jian-Li/0000-0002-5137-7735; Zhao, Lei/0000-0002-2253-5319</t>
  </si>
  <si>
    <t>National Natural Science Foundation of China [32070369, 31700182]; Large-scale Scientific Facilities of the Chinese Academy of Sciences [2017-LSFGBOWS-02]; Open Research Fund of Guangxi Key Laboratory of Special Non-wood Forest Cultivation Utilization [19-B-01-03]; Youth Innovation Promotion Association CAS [2021393]; CAS `Light of West China' Program; US National Science Foundation [DEB-1442280]</t>
  </si>
  <si>
    <t>National Natural Science Foundation of China(National Natural Science Foundation of China (NSFC)); Large-scale Scientific Facilities of the Chinese Academy of Sciences; Open Research Fund of Guangxi Key Laboratory of Special Non-wood Forest Cultivation Utilization; Youth Innovation Promotion Association CAS; CAS `Light of West China' Program; US National Science Foundation(National Science Foundation (NSF))</t>
  </si>
  <si>
    <t>This work was supported by National Natural Science Foundation of China (Nos. 32070369, 31700182), the Large-scale Scientific Facilities of the Chinese Academy of Sciences (No. 2017-LSFGBOWS-02), the Open Research Fund of Guangxi Key Laboratory of Special Non-wood Forest Cultivation &amp; Utilization (No. 19-B-01-03), the Youth Innovation Promotion Association CAS (No. 2021393), the CAS `Light of West China' Program and US National Science Foundation Grant (No. DEB-1442280) to Pamela S. Soltis, Douglas E. Soltis and others.</t>
  </si>
  <si>
    <t>MAR 23</t>
  </si>
  <si>
    <t>10.1093/aob/mcac007</t>
  </si>
  <si>
    <t>ZY4YE</t>
  </si>
  <si>
    <t>WOS:000772592900008</t>
  </si>
  <si>
    <t>Wang, GY; Zhou, N; Chen, Q; Yang, Y; Yang, YP; Duan, YW</t>
  </si>
  <si>
    <t>Wang, Guangyan; Zhou, Ning; Chen, Qian; Yang, Ya; Yang, Yongping; Duan, Yuanwen</t>
  </si>
  <si>
    <t>Gradual genome size evolution and polyploidy in Allium from the Qinghai-Tibetan Plateau</t>
  </si>
  <si>
    <t>Genome size evolution; polyploidy; adaptation; ecological factors; seed mass; Allium; Qinghai-Tibetan Plateau</t>
  </si>
  <si>
    <t>NUCLEAR-DNA CONTENT; CONSTRAINT HYPOTHESIS; FLOW-CYTOMETRY; PLANT TRAITS; C-VALUE; MECHANISMS; ASTERACEAE; PHYLOGENY; AMARYLLIDACEAE; INFORMATION</t>
  </si>
  <si>
    <t>Background and Aims Genome size is an important plant trait, with substantial interspecies variation. The mechanisms and selective pressures underlying genome size evolution are important topics in evolutionary biology. There is considerable diversity in Allium from the Qinghai-Tibetan Plateau, where genome size variation and related evolutionary mechanisms are poorly understood. Methods We reconstructed the Allium phylogeny using DNA sequences from 71 species. We also estimated genome sizes of 62 species, and determined chromosome numbers in 65 species. We examined the phylogenetic signal associated with genome size variation, and tested how well the data fit different evolutionary models. Correlations between genome size variations and seed mass, altitude and 19 bioclimatic factors were determined. Key Results Allium genome sizes differed substantially between species and within diploids, triploids, tetraploids, hexaploids and octaploids. Size per monoploid genome (1Cx) tended to decrease with increasing ploidy levels. Allium polyploids tended to grow at a higher altitude than diploids. The phylogenetic tree was divided into three evolutionary branches. The genomes in Clade I were mostly close to the ancestral genome (18.781 pg) while those in Clades II and III tended to expand and contract, respectively. A weak phylogenetic signal was detected for Allium genome size. Furthermore, significant positive correlations were detected between genome size and seed mass, as well as between genome size and altitude. However, genome size was not correlated with 19 bioclimatic variables. Conclusions Allium genome size shows gradual evolution, followed by subsequent adaptive radiation. The three well-supported Allium clades are consistent with previous studies. The evolutionary patterns in different Allium clades revealed genome contraction, expansion and relative stasis. The Allium species in Clade II may follow adaptive radiation. The genome contraction in Clade III may be due to DNA loss after polyploidization. Allium genome size might be influenced by selective pressure due to the conditions on the Qinghai-Tibetan Plateau (low temperature, high UV irradiation and abundant phosphate in the soil).</t>
  </si>
  <si>
    <t>[Wang, Guangyan; Zhou, Ning; Chen, Qian; Yang, Ya; Yang, Yongping; Duan, Yuanwen] Chinese Acad Sci, Kunming Inst Bot, Germplasm Bank Wild Species, Kunming 650201, Yunnan, Peoples R China; [Wang, Guangyan; Zhou, Ning; Chen, Qian; Yang, Ya; Yang, Yongping; Duan, Yuanwen] Chinese Acad Sci, Inst Tibetan Plateau Res Kunming, Kunming 650201, Yunnan, Peoples R China</t>
  </si>
  <si>
    <t>Wang, GY (通讯作者)，Chinese Acad Sci, Kunming Inst Bot, Germplasm Bank Wild Species, Kunming 650201, Yunnan, Peoples R China.;Wang, GY (通讯作者)，Chinese Acad Sci, Inst Tibetan Plateau Res Kunming, Kunming 650201, Yunnan, Peoples R China.</t>
  </si>
  <si>
    <t>wangguangyan@mail.kib.ac.cn</t>
  </si>
  <si>
    <t>National Natural Science Foundation of China [31800189]; Natural Science Foundation of Yunnan Province [202001AU070071]; Second Tibetan Plateau Scientific Expedition and Research (STEP) programme [2019QZKK0502]</t>
  </si>
  <si>
    <t>National Natural Science Foundation of China(National Natural Science Foundation of China (NSFC)); Natural Science Foundation of Yunnan Province(Natural Science Foundation of Yunnan Province); Second Tibetan Plateau Scientific Expedition and Research (STEP) programme</t>
  </si>
  <si>
    <t>This work was supported by the National Natural Science Foundation of China (31800189), the Natural Science Foundation of Yunnan Province (202001AU070071), and the Second Tibetan Plateau Scientific Expedition and Research (STEP) programme (2019QZKK0502).</t>
  </si>
  <si>
    <t>10.1093/aob/mcab155</t>
  </si>
  <si>
    <t>ZR0DN</t>
  </si>
  <si>
    <t>WOS:000767464600001</t>
  </si>
  <si>
    <t>Yang, LE; Sun, L; Peng, DL; Chen, GJ; Sun, H; Nie, ZL</t>
  </si>
  <si>
    <t>Yang, Li-E; Sun, Lu; Peng, De-Li; Chen, Guang-Jie; Sun, Hang; Nie, Ze-Long</t>
  </si>
  <si>
    <t>The significance of recent diversification in the Northern Hemisphere in shaping the modern global flora revealed from the herbaceous tribe of Rubieae (Rubiaceae)</t>
  </si>
  <si>
    <t>MOLECULAR PHYLOGENETICS AND EVOLUTION</t>
  </si>
  <si>
    <t>Recent origin; Europe; Molecular dating; Late Miocene; Neogene</t>
  </si>
  <si>
    <t>MOLECULAR PHYLOGENY; GEOGRAPHIC RANGE; FOSSIL RECORD; EVOLUTION; PLANT; DISPERSAL; BIOGEOGRAPHY; NUCLEAR; ORIGIN; RECONSTRUCTION</t>
  </si>
  <si>
    <t>The global herbaceous flora is probably shaped by both ancient and/or recent diversification, companied with the impacts from geographic differences between the Northern and Southern Hemispheres. Therefore, its biogeographic pattern with respect to temporal and spatial divergence is far from full understanding. Tribe Rubieae, the largest herbaceous tribe in the woody-dominant Rubiaceae, provides an excellent opportunity for studying the macroevolution of worldwide colonization. Here, we aim to reconstruct the evolutionary history of Rubieae with regard to climate fluctuation and geological history in the Cenozoic. A total of 204 samples of Rubieae representing all the distribution areas of the tribe were used to infer its phylogenetic and biogeographic histories based on two nrDNA and six cpDNA regions. The ancestral area of Rubieae was reconstructed using a time-calibrated phylogeny in RASP and diversification rates were inferred using Bayesian analysis of macroevolutionary mixtures (BAMM). Our results show Rubieae probably originated in European region during the middle Oligocene, with the two subtribes separating at 26.8 million years ago (Ma). All the genera in Rubieae formed separate clades between 24.79 and 6.23 Ma. The ancestral area of the subtribe Rubiinae was the Madrean-Tethyan plant belt and the North Atlantic land bridge (NALB) provided passage between North America and Europe for Rubiinae. The subtribe Galiinae clade originated in Europe/central Asia during the late Oligocene. Two diversification shifts were detected within Rubieae in the late Neogene. Most extant Rubieae species diverged recently during the Neogene within clades that generally were established during the late Paleogene. The tribe shows complex migration/dispersal patterns within the North Hemisphere combined with multiple recent dispersals into Southern Hemisphere. Our results highlighted the important role of recent biogeographic diversification in the Northern Hemisphere in shaping the modern global herbaceous flora during the latest and rapid worldwide expansion in the Neogene.</t>
  </si>
  <si>
    <t>Yang, Li-E</t>
  </si>
  <si>
    <t>[Yang, Li-E; Sun, Lu; Sun, Hang] Chinese Acad Sci, Kunming Inst Bot, Key Lab Plant Divers &amp; Biogeog Eastern Asia, Kunming, Peoples R China; [Yang, Li-E; Chen, Guang-Jie] Yunnan Normal Univ, Fac Geog, Yunnan Key Lab Plateau Geog Proc &amp; Environm Change, Kunming 650500, Peoples R China; [Peng, De-Li] Yunnan Normal Univ, Sch Life Sci, Kunming, Peoples R China; [Nie, Ze-Long] Jishou Univ, Coll Biol &amp; Environm Sci, Key Lab Plant Resources Conservat &amp; Utilizat, Jishou, Peoples R China</t>
  </si>
  <si>
    <t>Chinese Academy of Sciences; Kunming Institute of Botany, CAS; Yunnan Normal University; Yunnan Normal University; Jishou University</t>
  </si>
  <si>
    <t>Sun, H (通讯作者)，Chinese Acad Sci, Kunming Inst Bot, Key Lab Plant Divers &amp; Biogeog Eastern Asia, Kunming, Peoples R China.;Nie, ZL (通讯作者)，Jishou Univ, Coll Biol &amp; Environm Sci, Key Lab Plant Resources Conservat &amp; Utilizat, Jishou, Peoples R China.</t>
  </si>
  <si>
    <t>sunhang@mail.kib.ac.cn; niez@jsu.edu.cn</t>
  </si>
  <si>
    <t>Key Projects of the Joint Fund of the National Natural Science Foundation of China [U1802232]; National Natural Science Foundation of China [31570211, 31370244, 30970193, 31900185]; Construct Program of the Key Discipline in Hunan Province [JSU0713]; Second Tibetan Plateau Scientific Expedition and Research (STEP) program [2019QZKK0502]; Natural Science Foundation of Yunnan Province [202001AU070092]</t>
  </si>
  <si>
    <t>Key Projects of the Joint Fund of the National Natural Science Foundation of China(National Natural Science Foundation of China (NSFC)); National Natural Science Foundation of China(National Natural Science Foundation of China (NSFC)); Construct Program of the Key Discipline in Hunan Province; Second Tibetan Plateau Scientific Expedition and Research (STEP) program; Natural Science Foundation of Yunnan Province(Natural Science Foundation of Yunnan Province)</t>
  </si>
  <si>
    <t>This study was supported by grants from the Key Projects of the Joint Fund of the National Natural Science Foundation of China (U1802232) ; the National Natural Science Foundation of China (31570211, 31370244, 30970193, 31900185) , and the Construct Program of the Key Discipline in Hunan Province (JSU0713) and the Second Tibetan Plateau Scientific Expedition and Research (STEP) program (2019QZKK0502) , the Natural Science Foundation of Yunnan Province (202001AU070092) . We thank Dr. Yang Niu and Mr. Wenbo Chen for assistance in the field and for sample collection. The first author is grateful to Dr. Zhuo Zhou for his help and constructive advice on the manuscript and Ms. Min-Shu Song for her assistance with lab work.</t>
  </si>
  <si>
    <t>1055-7903</t>
  </si>
  <si>
    <t>1095-9513</t>
  </si>
  <si>
    <t>MOL PHYLOGENET EVOL</t>
  </si>
  <si>
    <t>Mol. Phylogenet. Evol.</t>
  </si>
  <si>
    <t>10.1016/j.ympev.2022.107628</t>
  </si>
  <si>
    <t>Biochemistry &amp; Molecular Biology; Evolutionary Biology; Genetics &amp; Heredity</t>
  </si>
  <si>
    <t>5S1LL</t>
  </si>
  <si>
    <t>WOS:000874960500001</t>
  </si>
  <si>
    <t>Wu, ZY; Milne, RI; Liu, J; Slik, F; Yu, Y; Luo, YH; Monro, AK; Wang, WT; Wang, H; Kessler, PJA; Cadotte, MW; Nathan, R; Li, DZ</t>
  </si>
  <si>
    <t>Wu, Zeng-Yuan; Milne, Richard I.; Liu, Jie; Slik, Ferry; Yu, Yan; Luo, Ya-Huang; Monro, Alexandre K.; Wang, Wan-Ting; Wang, Hong; Kessler, Paul J. A.; Cadotte, Marc W.; Nathan, Ran; Li, De-Zhu</t>
  </si>
  <si>
    <t>Phylogenomics and evolutionary history of Oreocnide (Urticaceae) shed light on recent geological and climatic events in SE Asia</t>
  </si>
  <si>
    <t>Biogeography; Evolutionary history; Oreocnide; Phylogeny; SE Asia; Urticaceae</t>
  </si>
  <si>
    <t>GENETIC DIVERSITY; SOUTHEAST-ASIA; R PACKAGE; BIOGEOGRAPHY; DIVERSIFICATION; DISPERSAL; ISLAND; REFLECTS; PATTERNS; LEVEL</t>
  </si>
  <si>
    <t>Climate change and geological events have long been known to shape biodiversity, implying that these can likewise be viewed from a biological perspective. To study whether plants can shed light on this, and how they responded to climate change there, we examined Oreocnide, a genus widely distributed in SE Asia. Based on broad geographic sampling with genomic data, we employed an integrative approach of phylogenomics, molecular dating, historical biogeography, and ecological analyses. We found that Oreocnide originated in mainland East Asia and began to diversify similar to 6.06 Ma, probably in response to a distinct geographic and climatic transition in East Asia at around that time, implying that the last important geological change in mainland SE Asia might be 1 Ma older than previously suggested. Around six immigration events to the islands of Malesia followed, indicating that immigration from the mainland could be an underestimated factor in the assembly of biotic communities in the region. Two detected increases of diversification rate occurred 3.13 and 1.19 Ma, which strongly implicated climatic rather than geological changes as likely drivers of diversification, with candidates being the Pliocene intensification of the East Asian monsoons, and Pleistocene climate and sea level fluctuations. Distribution modelling indicated that Pleistocene sea level and climate fluctuations were inferred to enable inter-island dispersal followed by allopatric separation, underpinning radiation in the genus. Overall, our study, based on multiple lines of evidence, linked plant diversification to the most recent climatic and geological events in SE Asia. We highlight the importance of immigration in the assembly and diversification of the SE Asian flora, and underscore the utility of plant clades, as independent lines of evidence, for reconstructing recent climatic and geological events in the SE Asian region.</t>
  </si>
  <si>
    <t>Wu, Zeng-Yuan</t>
  </si>
  <si>
    <t>[Wu, Zeng-Yuan; Liu, Jie; Wang, Wan-Ting; Li, De-Zhu] Chinese Acad Sci, Kunming Inst Bot, Germplasm Bank Wild Species, Kunming 650201, Yunnan, Peoples R China; [Liu, Jie; Luo, Ya-Huang; Wang, Hong] Chinese Acad Sci, Kunming Inst Bot, Key Lab Plant &amp; Biodivers East Asia, Kunming 650201, Yunnan, Peoples R China; [Slik, Ferry] Univ Brunei Darussalam, Fac Sci, Environm &amp; Life Sci, Jalan Tungku Link, Gadong BE1410, Brunei; [Milne, Richard I.] Univ Edinburgh, Inst Mol Plant Sci, Sch Biol Sci, Edinburgh EH9 3JH, Scotland; [Yu, Yan] Sichuan Univ, Coll Life Sci, Key Lab Bioresources &amp; Ecoenvironm, Minist Educ, Chengdu 610207, Sichuan, Peoples R China; [Monro, Alexandre K.] Royal Bot Gardens Kew, Identificat &amp; Naming Dept, Richmond TW9 3AE, Surrey, England; [Cadotte, Marc W.] Univ Toronto, Ecol &amp; Evolutionary Biol, 25 Willcocks St, Toronto, ON M5S 3B2, Canada; [Nathan, Ran] Hebrew Univ Jerusalem, Dept Ecol Evolut &amp; Behav, Movement Ecol Lab, IL-91904 Jerusalem, Israel; [Kessler, Paul J. A.] Univ Leiden Hortus Botanicus Leiden, POB 9500, NL-2300 RA Leiden, Netherlands; [Li, De-Zhu] 132 Lanhei Rd, Kunming 650201, Yunnan, Peoples R China</t>
  </si>
  <si>
    <t>Chinese Academy of Sciences; Kunming Institute of Botany, CAS; Chinese Academy of Sciences; Kunming Institute of Botany, CAS; University Brunei Darussalam; University of Edinburgh; Sichuan University; Royal Botanic Gardens, Kew; University of Toronto; Hebrew University of Jerusalem</t>
  </si>
  <si>
    <t>Li, DZ (通讯作者)，132 Lanhei Rd, Kunming 650201, Yunnan, Peoples R China.</t>
  </si>
  <si>
    <t>Nathan, Ran/A-9380-2008; Cadotte, Marc/AAG-8147-2020; n, d/D-6071-2013; Wu, Zeng-Yuan/ABD-4758-2021; Li, De-Zhu/G-8203-2011</t>
  </si>
  <si>
    <t>Nathan, Ran/0000-0002-5733-6715; Cadotte, Marc/0000-0002-5816-7693; Li, De-Zhu/0000-0002-4990-724X</t>
  </si>
  <si>
    <t>Germplasm Bank of Wild Species, Kunming Institute of Botany, Chinese Academy of Sciences (CAS); National Natural Science Foundation of China [31970356, 42171071, 41971071]; Youth Innovation Promotion Association, CAS [2019385]; Yunnan Young and Elite Talents Project [YNWR-QNBJ-2020-293]; CAS Strategic Priority Research Program [XDB31000000]; Biological Resources Programme, Chinese Academy of Sciences [KFJ-BRP-017-34]; Germplasm Bank of Wild Species, Kunming Institute of Botany, Chinese Academy of Sciences [Y9283451Q1]; Massimo Della Pergola Chair of Life Sciences; Minerva Center for Movement Ecology; CAS President's International Fellowship Initiative [2022DB0001, 2022VBA0004]; CAS Light of West China Program</t>
  </si>
  <si>
    <t>Germplasm Bank of Wild Species, Kunming Institute of Botany, Chinese Academy of Sciences (CAS); National Natural Science Foundation of China(National Natural Science Foundation of China (NSFC)); Youth Innovation Promotion Association, CAS; Yunnan Young and Elite Talents Project; CAS Strategic Priority Research Program; Biological Resources Programme, Chinese Academy of Sciences; Germplasm Bank of Wild Species, Kunming Institute of Botany, Chinese Academy of Sciences; Massimo Della Pergola Chair of Life Sciences; Minerva Center for Movement Ecology; CAS President's International Fellowship Initiative; CAS Light of West China Program</t>
  </si>
  <si>
    <t>We thank Profs. Wen -Tsai Wang and Chia-Jui Chen for their great help in the identification of the specimens, Dr. Jian-Jun Jin, Dr. Hong-Tao Li, Dr. Xiang-Qin Yu, Dr. Chao -Nan Fu, Dr. Nir Horvitz, Mr. Guang-Fu Zhu and Miss Zhi-Qiong Mo for kind help for software. The Royal Botanic Gardens Kew is thanked for providing some DNA mate- rial. This work was facilitated by the Germplasm Bank of Wild Species, Kunming Institute of Botany, Chinese Academy of Sciences (CAS) . The study was supported by the National Natural Science Foundation of China (31970356, 42171071, 41971071) ; Youth Innovation Promotion Association, CAS (2019385) , Yunnan Young and Elite Talents Project (YNWR-QNBJ-2020-293) , CAS Strategic Priority Research Program (XDB31000000) , CAS Light of West China Program, the Biological Resources Programme, Chinese Academy of Sciences (KFJ-BRP-017-34) , and the open research project of Cross -Cooperative Team of the Germplasm Bank of Wild Species, Kunming Institute of Botany, Chinese Academy of Sciences (Y9283451Q1) . Ran Nathan thanks Adelina and Massimo Della Pergola Chair of Life Sciences and Minerva Center for Movement Ecology for the supports. Ran Nathan and Richard I. Milne also thank the CAS President's International Fellowship Initiative for its financial support (2022DB0001, 2022VBA0004) .</t>
  </si>
  <si>
    <t>10.1016/j.ympev.2022.107555</t>
  </si>
  <si>
    <t>3U6NT</t>
  </si>
  <si>
    <t>WOS:000841086300001</t>
  </si>
  <si>
    <t>Zhang, L; Zhang, LB</t>
  </si>
  <si>
    <t>Zhang, Liang; Zhang, Li-Bing</t>
  </si>
  <si>
    <t>Phylogeny, character evolution, and systematics of the fern family Ophioglossaceae based on Sanger sequence data, plastomes, and morphology</t>
  </si>
  <si>
    <t>Fern phylogeny; Fern phylogenomics; Fern plastomes; Gametophytes; Germination time of spores; Goswamia; Haukia; Whittieria</t>
  </si>
  <si>
    <t>CHROMOSOME-NUMBER; SPORE GERMINATION; GAMETOPHYTE DEVELOPMENT; YOUNG SPOROPHYTES; BOTRYCHIUM; GENUS; PTERIDOPHYTA; LIKELIHOOD; GUJARAT; NUCLEAR</t>
  </si>
  <si>
    <t>Adder's tongue ferns or Ophioglossaceae are best known among evolutionary biologists and botanists for their highest chromosome count of any known organisms, the presence of sporophores, and simple morphology. Previous studies recovered and strongly supported the monophyly of the family and the two multi-generic subfamilies, Botrychioideae and Ophioglossoideae, but the relationships among these and two other subfamilies (Helminthostachyoideae and Mankyuoideae) are not well resolved preventing us from understanding the character evolution. The monophyly of and the relationships in the species-rich genus, Ophioglossum, have not well been understood. In this study, new phylogenetic trees are reconstructed based on four datasets: Sanger sequences of eight plastid markers of 184 accessions, 22 plastomes (12 are new), 29 morphological characters, and combined Sanger and morphological data. Our major results include: (1) the relationships among the four subfamilies are well resolved and strongly supported in Bayesian and parsimony analyses based on plastomes: Mankyua is sister to the rest, followed by Ophioglossoideae which are sister to Helminthostachys + Botrychioideae; (2) Sanger data, plastomes, and combined Sanger and morphological data recovered and strongly supported the monophyly of Ophioglossum in its current circumscription (sensu lato; s.l.) in Bayesian and/or parsimony analyses; (3) within Ophioglossum s.l., four deeply diverged clades are identified and the relationships among the four clades are well resolved; (4) evolution of 34 morphological characters is analyzed in the context of the new phylogeny, among which shape of rhizomes, germination time of spores, shape of early gametophytes, and a number of other characters are found to contain interesting phylogenetic signal; and (5) based on the new phylogeny and character evolution, we propose a new classification of Ophioglossaceae in which the currently circumscribed Ophioglossum is divided into four genera including three new ones: Goswamia, Haukia, and Whittieria considering their molecular, morphological, ecological, and biogeographical distinctiveness.</t>
  </si>
  <si>
    <t>Zhang, Liang</t>
  </si>
  <si>
    <t>[Zhang, Liang] Chinese Acad Sci, Kunming Inst Bot, Key Lab Plant Divers &amp; Biogeog East Asia, Kunming 650201, Yunnan, Peoples R China; [Zhang, Liang] Chinese Acad Sci, Southeast Asia Biodivers Res Inst, Yezin 05282, Nay Pyi Taw, Myanmar; [Zhang, Li-Bing] Missouri Bot Garden, 4344 Shaw Blvd, St Louis, MO 63110 USA; [Zhang, Li-Bing] Chinese Acad Sci, Chengdu Inst Biol, POB 416, Chengdu 610041, Sichuan, Peoples R China</t>
  </si>
  <si>
    <t>Chinese Academy of Sciences; Kunming Institute of Botany, CAS; Missouri Botanical Gardens; Chinese Academy of Sciences; Chengdu Institute of Biology, CAS</t>
  </si>
  <si>
    <t>Zhang, LB (通讯作者)，Missouri Bot Garden, 4344 Shaw Blvd, St Louis, MO 63110 USA.</t>
  </si>
  <si>
    <t>Libing.Zhang@mobot.org</t>
  </si>
  <si>
    <t>Southeast Asia Biodiversity Research Institute, Chinese Academy of Sciences [Y4ZK111B01]</t>
  </si>
  <si>
    <t>Southeast Asia Biodiversity Research Institute, Chinese Academy of Sciences</t>
  </si>
  <si>
    <t>The research was partially supported by a grant from Southeast Asia Biodiversity Research Institute, Chinese Academy of Sciences (Y4ZK111B01) to L.Z. We thank Zhen-Long Liang for help with the lab work, Hit K. Goswami &amp; Indian colleagues, Ralf Knapp, Robbin Moran, Xin-Mao Zhou, and Flora of North America for sharing photos, Warren Hauk, Hit K. Goswami, Norio Sahashi, and Esteban Meza Torres for sharing references, and three anonymous reviewers for helpful comments.</t>
  </si>
  <si>
    <t>10.1016/j.ympev.2022.107512</t>
  </si>
  <si>
    <t>3F0GB</t>
  </si>
  <si>
    <t>WOS:000830351700004</t>
  </si>
  <si>
    <t>Zhou, XM; Zhao, J; Yang, JJ; Le Pechon, T; Zhang, L; He, ZR; Zhang, LB</t>
  </si>
  <si>
    <t>Zhou, Xin-Mao; Zhao, Jing; Yang, Jian-Jun; Le Pechon, Timothee; Zhang, Liang; He, Zhao-Rong; Zhang, Li-Bing</t>
  </si>
  <si>
    <t>Plastome structure, evolution, and phylogeny of Selaginella</t>
  </si>
  <si>
    <t>Conformation; Evolution of GC content; Gene loss; Lycophyte plastomes; Plastome organization; Selaginella sinensis and allies</t>
  </si>
  <si>
    <t>CHLOROPLAST GENOME SEQUENCE; NDH GENES; PHOTOOXIDATIVE STRESS; LINEAR-MOLECULES; EXTREME; DNA; LYCOPHYTE; ALIGNMENT; CLASSIFICATION; RECONSTRUCTION</t>
  </si>
  <si>
    <t>As one of the earliest land plant lineages, Selaginella is important for studying land plant evolution. It is the largest genus of lycophytes containing 700-800 species. Some unique characters of Selaginella plastomes have been reported, but based only on 20 species. There have been no plastome phylogenies of Selaginella based on a relatively large sampling, and no efforts have been made to resolve the phylogeny of the enigmatic Sinensis group whose relationships have been unclear based on small datasets. Here we investigated the structures of 59 plastomes representing 51 species covering all six subgenera and 18 sections of Selaginella except two sections and including the intriguing Sinensis group for the first time. Our major results include: (1) the plastome size of Selaginella ranges tremendously from 78,492 bp to 187,632 bp; (2) there are numerous gene losses in Selaginella comparing with other lycophytes, Isoetaceae and Lycopodiaceae; (3) the gene contents and plastome structures in Selaginella vary lineage-specifically and all infrageneric taxa are well supported in the plastome phylogeny; (4) the ndh gene family tends to lose or pseudogenize in those species with DR structure and without other short or medium repeats; (5) the short and medium repeat regions in SC mediate many conformations causing diverse and complex plastome structures, and six new conformations are discovered; (6) forty-eight species sampled have high GC content (&gt;50%) but three species in the Sinensis group have similar to 30% GC content in plastomes, similar to most vascular plants; (7) the Sinensis group is monophyletic, includes at least two subgroups, and has the smallest plastomes in land plants except some parasitic plants, and their plastomes do not contain any tRNAs; (8) the younger lineages in Selaginella tend to have higher GC content, whereas the older lineages tend to have lower GC content; and (9) because of incomplete genomic data and abnormal structures or some unknown reasons, even the concatenated plastomes could not well resolve the phylogenetic relationships in Selaginella with confidence, highlighting the difficulty in resolving the phylogeny and evolution of this particularly important land plant lineage.</t>
  </si>
  <si>
    <t>Zhou, Xin-Mao</t>
  </si>
  <si>
    <t>[Zhou, Xin-Mao; Yang, Jian-Jun] Yunnan Univ, Sch Ecol &amp; Environm Sci, Kunming 650091, Yunnan, Peoples R China; [Zhao, Jing; He, Zhao-Rong] Yunnan Univ, Sch Life Sci, East Outer Ring Rd, Kunming 650500, Yunnan, Peoples R China; [Le Pechon, Timothee] Meise Bot Garden, Nieuwelaan 38, B-1860 Meise, Belgium; [Le Pechon, Timothee] Federat Wallonie Bruxelles, Serv Gen Enseignement Super &amp; Rech Sci, 1 Rue A Lavallee, B-1080 Brussels, Belgium; [Zhang, Liang] Chinese Acad Sci, Kunming Inst Bot, Key Lab Plant Divers &amp; Biogeog East Asia, Kunming 650201, Yunnan, Peoples R China; [Zhang, Li-Bing] Missouri Bot Garden, 4344 Shaw Blvd, St Louis, MO 63110 USA; [Zhang, Li-Bing] Chinese Acad Sci, Chengdu Inst Biol, POB 416, Chengdu 610041, Sichuan, Peoples R China</t>
  </si>
  <si>
    <t>Yunnan University; Yunnan University; Chinese Academy of Sciences; Kunming Institute of Botany, CAS; Missouri Botanical Gardens; Chinese Academy of Sciences; Chengdu Institute of Biology, CAS</t>
  </si>
  <si>
    <t>He, ZR (通讯作者)，Yunnan Univ, Sch Life Sci, East Outer Ring Rd, Kunming 650500, Yunnan, Peoples R China.;Zhang, LB (通讯作者)，Missouri Bot Garden, 4344 Shaw Blvd, St Louis, MO 63110 USA.</t>
  </si>
  <si>
    <t>zhrhe@ynu.edu.cn; Libing.Zhang@mobot.org</t>
  </si>
  <si>
    <t>Zhao, Jing/0000-0001-7871-2209</t>
  </si>
  <si>
    <t>National Natural Science Foundation of China (NSFC) [31900186]; Glory Light International Fellowship for Chinese Botanists at Missouri Botanical Garden (MO)</t>
  </si>
  <si>
    <t>National Natural Science Foundation of China (NSFC)(National Natural Science Foundation of China (NSFC)); Glory Light International Fellowship for Chinese Botanists at Missouri Botanical Garden (MO)</t>
  </si>
  <si>
    <t>The research was supported by the National Natural Science Foundation of China (NSFC) to X.M. Zhou (#31900186) and the Glory Light International Fellowship for Chinese Botanists at Missouri Botanical Garden (MO) to X.M. Zhou. We thank MO for providing some materials of Selaginella from the New World. We thank Carl J. Rothfel, David Lorence, Zhen-Long Liang, Guang-Da Tang, Xue-Li Zhao, and Lin Zhou for sharing materials. We are very grateful to Jian-Jun Jin, Chang-Kun Liu and Lei Xu for their help with the plastome analysis. Two anonymous reviewers are thanked for helpful suggestions.</t>
  </si>
  <si>
    <t>10.1016/j.ympev.2022.107410</t>
  </si>
  <si>
    <t>2Q7MS</t>
  </si>
  <si>
    <t>WOS:000820603200001</t>
  </si>
  <si>
    <t>Meng, HH; Zhang, CY; Song, YG; Yu, XQ; Cao, GL; Li, L; Cai, CN; Xiao, JH; Zhou, SS; Tan, YH; Li, J</t>
  </si>
  <si>
    <t>Meng, Hong-Hu; Zhang, Can-Yu; Song, Yi-Gang; Yu, Xiang-Qin; Cao, Guan-Long; Li, Lang; Cai, Chao-Nan; Xiao, Jian-Hua; Zhou, Shi-Shun; Tan, Yun-Hong; Li, Jie</t>
  </si>
  <si>
    <t>Opening a door to the spatiotemporal history of plants from the tropical Indochina Peninsula to subtropical China</t>
  </si>
  <si>
    <t>East Asian summer monsoon; Subtropical China; Spatiotemporal history; Tropical Indochina Peninsula; Vegetation transformation</t>
  </si>
  <si>
    <t>EVERGREEN BROADLEAVED FORESTS; SUNDAIC FAUNAL TRANSITION; ASIAN MONSOON; NUCLEAR DISCORDANCE; STATISTICAL TESTS; POPULATION-GROWTH; CLIMATE; EOCENE; MITOCHONDRIAL; EVOLUTION</t>
  </si>
  <si>
    <t>The complexity of global biodiversity in the tropical Indochina Peninsula and subtropical China bioregions has fascinated biologists for decades, but little is known about the spatiotemporal patterns in these regions. Accordingly, the aims of present study were to investigate the evolutionary and distribution patterns of Engelhardia in these regions and establish a model for examining biogeographic patterns and geological events throughout the tropical Indochina Peninsula and subtropical China. The effects of geological events occurring in the area between the Indochina Peninsula and subtropical China bioregions on the two trees species (i.e., E. roxburghiana and E. fenzelii) were evaluated. A robust phylogenetic framework of 884 individuals from 79 populations was used to generate time-calibrated cytoplasmic and nuclear phylogenetic frameworks based on cpDNA, nrDNA, and nSSR data, respectively. When considered along with ancestral area reconstructions, the genetic data were also used to assess and reconstruct the species' population genetic structure and diversity. These analyses yielded important information about the (1) historical distribution relationships between the tropical and subtropical flora of China; (2) effects of the East Asian summer monsoon (EASM) on the evolutionary history of Asia's plants; and (3) importance of biogeography in conservation planning. Although cytoplasmicnuclear discordance indicated cpDNA and nrDNA were subject to distinct evolutionary mechanisms that reflected respective evolutionary histories of the plastid and nuclear genomes of prior demographic and biogeographic events. The tropical elements of Engelhardia occupied the Indochina Peninsula during the early Eocene, whereas the subtropical elements were transformed from the tropical elements during Miocene cooling and the onset of the EASM at the Oligocene-Miocene boundary, intensified during the late Miocene and Pliocene, facilitating the transformation of Engelhardia from the tropical Indochina Peninsula to subtropical China. Demographic history provided insights into prominent planning frameworks in conservation biology, namely that subtropical China functioned as a refugium during past climate oscillations and will continue to serve in this capacity in the future.</t>
  </si>
  <si>
    <t>Meng, Hong-Hu</t>
  </si>
  <si>
    <t>[Meng, Hong-Hu; Zhang, Can-Yu; Cao, Guan-Long; Li, Lang; Cai, Chao-Nan; Xiao, Jian-Hua; Li, Jie] Chinese Acad Sci, Ctr Integrat Conservat, Xishuangbanna Trop Bot Garden, Plant Phylogenet &amp; Conservat Grp, Kunming 650023, Yunnan, Peoples R China; [Zhang, Can-Yu] Yunnan Normal Univ, Kunming 650500, Yunnan, Peoples R China; [Song, Yi-Gang] Shanghai Chenshan Bot Garden, Eastern China Conservat Ctr Wild Endangered Plant, Shanghai 201602, Peoples R China; [Yu, Xiang-Qin] Chinese Acad Sci, Kunming Inst Bot, CAS Key Lab Plant Divers &amp; Biogeog East Asia, Kunming 650201, Yunnan, Peoples R China; [Meng, Hong-Hu; Zhou, Shi-Shun; Tan, Yun-Hong] Chinese Acad Sci, Southeast Asia Biodivers Res Inst, Nay Pyi Taw 05282, Myanmar; [Cai, Chao-Nan] Taizhou Univ, Sch Adv Study, Taizhou 318000, Zhejiang, Peoples R China; [Cao, Guan-Long] Univ Chinese Acad Sci, Beijing 100049, Peoples R China; [Li, Lang; Tan, Yun-Hong; Li, Jie] Chinese Acad Sci, Ctr Conservat Biol, Core Bot Gardens, Mengla 666303, Peoples R China</t>
  </si>
  <si>
    <t>Chinese Academy of Sciences; Xishuangbanna Tropical Botanical Garden, CAS; Yunnan Normal University; Chinese Academy of Sciences; Chinese Academy of Sciences; Kunming Institute of Botany, CAS; Taizhou University; Chinese Academy of Sciences; University of Chinese Academy of Sciences, CAS; Chinese Academy of Sciences</t>
  </si>
  <si>
    <t>Li, J (通讯作者)，Chinese Acad Sci, Ctr Integrat Conservat, Xishuangbanna Trop Bot Garden, Plant Phylogenet &amp; Conservat Grp, Kunming 650023, Yunnan, Peoples R China.</t>
  </si>
  <si>
    <t>jieli@xtbg.ac.cn</t>
  </si>
  <si>
    <t>Xiao, Jian/GYU-4351-2022</t>
  </si>
  <si>
    <t>National Natural Science Foundation of China [41701056, 42171063]; Southeast Asia Biodiversity Research Institute, Chinese Academy of Sciences [Y4ZK111B01]; Yunnan Fundamental Research Projects [2018FB032]; Youth Innovation Promotion Association, Chinese Academy of Sciences [2018432]; CAS Light of West China Program</t>
  </si>
  <si>
    <t>National Natural Science Foundation of China(National Natural Science Foundation of China (NSFC)); Southeast Asia Biodiversity Research Institute, Chinese Academy of Sciences; Yunnan Fundamental Research Projects; Youth Innovation Promotion Association, Chinese Academy of Sciences; CAS Light of West China Program</t>
  </si>
  <si>
    <t>This work was supported by the National Natural Science Foundation of China (No. 41701056; 42171063); Southeast Asia Biodiversity Research Institute, Chinese Academy of Sciences (No. Y4ZK111B01); Yunnan Fundamental Research Projects (No. 2018FB032); Youth Innovation Promotion Association, Chinese Academy of Sciences (No. 2018432); and the CAS Light of West China Program. Finally, the three anonymous reviewers are gratefully acknowledged for their valuable suggestions and comments.</t>
  </si>
  <si>
    <t>10.1016/j.ympev.2022.107458</t>
  </si>
  <si>
    <t>1B6ER</t>
  </si>
  <si>
    <t>WOS:000792529000002</t>
  </si>
  <si>
    <t>Fan, XP; Lu, NT; Li, CX; Knapp, R; He, H; Zhou, XM; Wan, X; Zhang, L; Gao, XF; Zhang, LB</t>
  </si>
  <si>
    <t>Fan, Xue-Ping; Ngan Thi Lu; Li, Chun-Xiang; Knapp, Ralf; He, Hai; Zhou, Xin-Mao; Wan, Xia; Zhang, Liang; Gao, Xin-Fen; Zhang, Li-Bing</t>
  </si>
  <si>
    <t>Phylogeny, biogeography, and character evolution in the fern family Hypodematiaceae</t>
  </si>
  <si>
    <t>Cryptic species; Fern phylogeny; Hair patterns; Hypodematium; Leucostegia; Old World</t>
  </si>
  <si>
    <t>ANTARCTIC PENINSULA; MAXIMUM-LIKELIHOOD; CLASSIFICATION; SEQUENCE; INFERENCE; HISTORY; PALEOCLIMATE; DAVALLIACEAE; LYCOPHYTES; JMODELTEST</t>
  </si>
  <si>
    <t>The Old World fern genera Hypodematium and Leucostegia had long been placed in the families Dryopteridaceae and Davalliaceae, respectively, before the advent of molecular phylogenetics. Recent molecular studies confirmed the recognition of the family Hypodematiaceae composed of these two genera, but the relationships within each of these two genera have been unclear. In the present study we performed phylogenetic analyses (MP, ML, BI) based on DNA data from six plastid markers (atpB, atpB-rbcL, matK, rbcL, rps4 &amp; rps4-trnS, and trnL &amp; trnL-F) of 165 accessions representing 31 species in two genera of Hypodematiaceae as the ingroup and 26 accessions representing Cystopteridaceae, Didymochlaenaceae, Dryopteridaceae, Davalliaceae, Oleandraceae, and Woodsiaceae as the outgroups. Our analyses supported the monophyly of the currently defined Hypodematiaceae only including Hypodematium and Leucostegia and found that the family to be sister to the remaining eupolypods I. Our data resolved three taxa of Leucostegia into two clades. In Hypodematium, 28 taxa are resolved into seven strongly supported clades or single-accession clades. The evolution of important morphological characters are inferred in the phylogenetic context. Our dated phylogeny suggested a latest Jurassic-earliest Cretaceous origin of the family and Upper Cretaceous origin of two genera, with Hypodematiaceae originated from East Asia; extant lineages of Hypodematium originated from East Asia and subsequently into Africa, the Indian region, the Madagascar region, and Southeast Asia; and Leucostegia originated from East Asia and/or Southeast Asia.</t>
  </si>
  <si>
    <t>Fan, Xue-Ping</t>
  </si>
  <si>
    <t>[Fan, Xue-Ping; Ngan Thi Lu; Wan, Xia; Gao, Xin-Fen; Zhang, Li-Bing] Chinese Acad Sci, Chengdu Inst Biol, CAS Key Lab Mt Ecol Restorat &amp; Bioresource Utiliz, POB 416, Chengdu 610041, Sichuan, Peoples R China; [Fan, Xue-Ping; Zhang, Liang] Chinese Acad Sci, Kunming Inst Bot, Key Lab Plant Divers &amp; Biogeog East Asia, Kunming 650201, Yunnan, Peoples R China; [Ngan Thi Lu] Vietnam Acad Sci &amp; Technol, Dept Biol, Vietnam Natl Museum Nat, 18th Hoang Quoc Viet Rd, Hanoi, Vietnam; [Li, Chun-Xiang] Chinese Acad Sci, Nanjing Inst Geol &amp; Palaeontol, State Key Lab Palaeobiol &amp; Stratig, Nanjing 210008, Peoples R China; [Knapp, Ralf] Museum Natl Hist Nat, Steigestr 78, D-69412 Eberbach, Germany; [Knapp, Ralf] MNHN, Paris, France; [He, Hai] Chongqing Normal Univ, Coll Life Sci, Chongqing 401331, Peoples R China; [Zhou, Xin-Mao] Yunnan Univ, Sch Ecol &amp; Environm Sci, Kunming 650091, Yunnan, Peoples R China; [Zhang, Li-Bing] Missouri Bot Garden, 4344 Shaw Blvd, St Louis, MO 63110 USA</t>
  </si>
  <si>
    <t>Chinese Academy of Sciences; Chengdu Institute of Biology, CAS; Chinese Academy of Sciences; Kunming Institute of Botany, CAS; Vietnam Academy of Science &amp; Technology (VAST); Chinese Academy of Sciences; Museum National d'Histoire Naturelle (MNHN); Chongqing Normal University; Yunnan University; Missouri Botanical Gardens</t>
  </si>
  <si>
    <t>Gao, XF; Zhang, LB (通讯作者)，Chinese Acad Sci, Chengdu Inst Biol, CAS Key Lab Mt Ecol Restorat &amp; Bioresource Utiliz, POB 416, Chengdu 610041, Sichuan, Peoples R China.;Zhang, L (通讯作者)，Chinese Acad Sci, Kunming Inst Bot, Key Lab Plant Divers &amp; Biogeog East Asia, Kunming 650201, Yunnan, Peoples R China.;Zhang, LB (通讯作者)，Missouri Bot Garden, 4344 Shaw Blvd, St Louis, MO 63110 USA.</t>
  </si>
  <si>
    <t>zhangliang@mail.kib.ac.cn; xfgao@cib.ac.cn; Libing.Zhang@mobot.org</t>
  </si>
  <si>
    <t>Li, Chun/HKW-1738-2023</t>
  </si>
  <si>
    <t>Chengdu Institute of Biology, Chinese Academy of Sciences; National Geographical Society of the USA; National Natural Science of China (NSFC); Glory Light International Fellowship for Chinese Botanists at Missouri Botanical Garden</t>
  </si>
  <si>
    <t>Chengdu Institute of Biology, Chinese Academy of Sciences(Chinese Academy of Sciences); National Geographical Society of the USA; National Natural Science of China (NSFC)(National Natural Science Foundation of China (NSFC)); Glory Light International Fellowship for Chinese Botanists at Missouri Botanical Garden</t>
  </si>
  <si>
    <t>The research was partially supported by a grant from Chengdu Institute of Biology, Chinese Academy of Sciences, grants from the National Geographical Society of the USA, and a grant from the National Natural Science of China (NSFC) to L.-B.Z. (#), the Glory Light International Fellowship for Chinese Botanists at Missouri Botanical Garden to X.-M.Z., the President Fellowship to N.T.L. We thank two anonymous reviewers and editors for helpful comments.</t>
  </si>
  <si>
    <t>10.1016/j.ympev.2021.107340</t>
  </si>
  <si>
    <t>WZ2GW</t>
  </si>
  <si>
    <t>WOS:000719791000001</t>
  </si>
  <si>
    <t>Zhou, D; Zhao, Y; Chen, ZL; Yan, XX; Zhao, YQ; Gao, L; Yang, LX</t>
  </si>
  <si>
    <t>Zhou, Di; Zhao, Ying; Chen, Zhilin; Yan, Xiuxiang; Zhao, Yanqiang; Gao, Lu; Yang, Lixin</t>
  </si>
  <si>
    <t>Traditional processing increases biological activities of Dendrobium offificinale Kimura et. Migo in Southeast Yunnan, China</t>
  </si>
  <si>
    <t>SCIENTIFIC REPORTS</t>
  </si>
  <si>
    <t>L-HISTIDINOL; PHYTOCHEMICAL COMPOSITION; ANTIINFLAMMATORY ACTIVITY; METABOLOMICS; ANTIOXIDANT; POLYSACCHARIDES; GINSENOSIDES; GLUCOSIDES; METABOLISM; FLAVONOIDS</t>
  </si>
  <si>
    <t>The orchid Dendrobium officinale grows throughout southeast China and southeast Asian countries and is used to treat inflammation and diabetes in traditional Chinese medicine. Tie pi feng dou is a well-known traditional Chinese medicine made from the dried D. officinale stems. Processing alters the physicochemical properties of TPFD; however, it is unclear how processing affects the quality and medicinal value of this plant. Here, we analyzed and compared the chemical composition of fresh stems of D. officinale and TPFD and explored possible explanations for the enhanced medicinal efficacy of processed D. officinale stems using qualitative and quantitative methods. To identify the components of FSD and TPFD, we used ultra-high-performance liquid chromatography combined with mass spectrometry in negative and positive ion modes and interpreted the data using the Human Metabolome Database and multivariate statistical analysis. We detected 23,709 peaks and identified 2352 metabolites; 370 of these metabolites were differentially abundant between FSD and TPFD (245 more abundant in TPFD than in FSD, and 125 less abundant), including organooxygen compounds, prenol lipids, flavonoids, carboxylic acids and their derivatives, and fatty acyls. Of these, 43 chemical markers clearly distinguished between FSD and TPFD samples, as confirmed using orthogonal partial least squares discriminant analysis. A pharmacological activity analysis showed that, compared with FSD, TPFD had significantly higher levels of some metabolites with anti-inflammatory activity, consistent with its use to treat inflammation. In addition to revealing the basis of the medicinal efficacy of TPFD, this study supports the benefits of the traditional usage of D. officinale.</t>
  </si>
  <si>
    <t>Zhou, Di</t>
  </si>
  <si>
    <t>[Zhou, Di; Zhao, Ying; Chen, Zhilin; Yan, Xiuxiang; Yang, Lixin] Chinese Acad Sci, Kunming Inst Bot, Key Lab Econ Plants &amp; Biotechnol, Kunming 650201, Yunnan, Peoples R China; [Zhao, Ying; Yan, Xiuxiang; Yang, Lixin] Chinese Acad Sci, Bioinnovat Ctr DR PLANT, Kunming Inst Bot, Kunming 650201, Yunnan, Peoples R China; [Zhao, Ying; Yang, Lixin] Ctr Biodivers &amp; Indigenous Knowledge, Kunming 650034, Yunnan, Peoples R China; [Zhao, Yanqiang] Coll Forestry &amp; Vocat Technol Yunnan, Kunming 650224, Yunnan, Peoples R China; [Zhou, Di; Gao, Lu] Yunnan Minzu Univ, Sch Ethn Med, Kunming 650504, Yunnan, Peoples R China; [Chen, Zhilin] Guizhou Univ Tradit Chinese Med, Coll Pharm, Guiyang 550025, Guizhou, Peoples R China</t>
  </si>
  <si>
    <t>Chinese Academy of Sciences; Kunming Institute of Botany, CAS; Chinese Academy of Sciences; Kunming Institute of Botany, CAS; Yunnan Minzu University; Guizhou University of Traditional Chinese Medicine</t>
  </si>
  <si>
    <t>Yang, LX (通讯作者)，Chinese Acad Sci, Kunming Inst Bot, Key Lab Econ Plants &amp; Biotechnol, Kunming 650201, Yunnan, Peoples R China.;Yang, LX (通讯作者)，Chinese Acad Sci, Bioinnovat Ctr DR PLANT, Kunming Inst Bot, Kunming 650201, Yunnan, Peoples R China.;Yang, LX (通讯作者)，Ctr Biodivers &amp; Indigenous Knowledge, Kunming 650034, Yunnan, Peoples R China.;Gao, L (通讯作者)，Yunnan Minzu Univ, Sch Ethn Med, Kunming 650504, Yunnan, Peoples R China.</t>
  </si>
  <si>
    <t>gl990@foxmail.com; Yangrattan@mail.kib.ac.cn</t>
  </si>
  <si>
    <t>Natural Science Foundation of China [31670340, 31970357]; Bio-Innovation Center of DR PLANT, Kunming Institute of Botany, Chinese Academy of Sciences; Southeast Asia Biodiversity Research Institute, Chinese Academy of Sciences [2015CASEABRIRG001]</t>
  </si>
  <si>
    <t>Natural Science Foundation of China(National Natural Science Foundation of China (NSFC)); Bio-Innovation Center of DR PLANT, Kunming Institute of Botany, Chinese Academy of Sciences; Southeast Asia Biodiversity Research Institute, Chinese Academy of Sciences</t>
  </si>
  <si>
    <t>We gratefully thank the local people and government of Wenshan, Yunnan Province, China, especially Mr. Gu, who provided us with valuable information about D. officinale. In particular, we would like to thank Mr. Shi for his technical support in metabolome detection and analysis. This study was funded by the Natural Science Foundation of China (Grant Nos. 31670340 and 31970357) and the Bio-Innovation Center of DR PLANT, Kunming Institute of Botany, Chinese Academy of Sciences. The work also supported Southeast Asia Biodiversity Research Institute, Chinese Academy of Sciences (2015CASEABRIRG001).</t>
  </si>
  <si>
    <t>2045-2322</t>
  </si>
  <si>
    <t>SCI REP-UK</t>
  </si>
  <si>
    <t>Sci Rep</t>
  </si>
  <si>
    <t>10.1038/s41598-022-17628-8</t>
  </si>
  <si>
    <t>4G7GF</t>
  </si>
  <si>
    <t>WOS:000849359400005</t>
  </si>
  <si>
    <t>Yang, N; Zhang, Y; Li, JJ; Li, XX; Ruan, HH; Bhople, P; Keiblinger, K; Mao, LF; Liu, D</t>
  </si>
  <si>
    <t>Yang, Nan; Zhang, Yan; Li, Jingji; Li, Xiuxiu; Ruan, Honghua; Bhople, Parag; Keiblinger, Katharina; Mao, Lingfeng; Liu, Dong</t>
  </si>
  <si>
    <t>Interaction among soil nutrients, plant diversity and hypogeal fungal trophic guild modifies root-associated fungal diversity in coniferous forests of Chinese Southern Himalayas</t>
  </si>
  <si>
    <t>PLANT AND SOIL</t>
  </si>
  <si>
    <t>Fungal trophic guilds; Saprophytic fungi; Fungal diversity; Root-associated fungi; Sub-alpine region</t>
  </si>
  <si>
    <t>MULTIPLE SEQUENCE ALIGNMENT; ECTOMYCORRHIZAL; MYCORRHIZAS; OXIDATION; PATTERNS; NITROGEN</t>
  </si>
  <si>
    <t>Aims This study was conducted to synthetically investigate how root-associated fungi react to the environmental variations (plant diversity and soil properties) and changes in their diversity patterns across three different coniferous forests (Pinus wallichiana, Abies spectabilis, Juniperus saltuaria) located in the subalpine-cold regions. Methods Illumina sequencing of fungal biomarker 18S rRNA was used to determine the diversity patterns and drivers of root-associated fungal communities and functional guilds interactions, along with plant diversity survey and soil properties analyses. Results The diversity patterns among fungal trophic guilds the symbiotic and saprophytic communities contrasted significantly. The least saprophytic fungal diversity (low Shannon index) occurred in forests with P. wallichiana and best predicted by the soil organic carbon contents (SOC). Whereas, in the same region, the symbiotic fungal diversity was lowest in forests where J. saltuaria tree species was abundant and closely linked with soil nitrate contents (NO3-). In N deficient soils under P. wallichiana forestation, the root-associated fungal community negatively correlated with plant diversity as indicated by the lowest Shannon index numbers. Conclusions In the investigated coniferous forest soils, the interactions among trophic guilds, plant diversity and soil nutrient conditions determined the diversity of root-associated fungal communities of the three tree species. This study contributes to a deeper understanding of the response and variability in the endemic root-associated fungal functional guilds in the sub-alpine biodiversity hotspot in Southern Himalayas of China.</t>
  </si>
  <si>
    <t>[Yang, Nan; Zhang, Yan; Li, Xiuxiu; Ruan, Honghua; Mao, Lingfeng] Nanjing Forestry Univ, Coll Biol &amp; Environm, Coinnovat Ctr Sustainable Forestry Southern China, 159 Longpan Rd, Nanjing 210037, Peoples R China; [Li, Jingji] Chengdu Univ Technol, Inst Ecol Resources &amp; Landscape Architecture, Chengdu 610059, Sichuan, Peoples R China; [Bhople, Parag] Univ Limerick, Dept Biol Sci, Sch Nat Sci, Fac Sci &amp; Engn, Limerick V94 T9PX, Ireland; [Keiblinger, Katharina] Univ Nat Resources &amp; Life Sci, Inst Soil Res, Dept Forest &amp; Soil Sci, A-1190 Vienna, Austria; [Liu, Dong] Chinese Acad Sci, Germplasm Bank Wild Species, Yunnan Key Lab Fungal Div &amp; Green Dev, Kunming Inst Bot, Kunming 650201, Yunnan, Peoples R China</t>
  </si>
  <si>
    <t>Nanjing Forestry University; Chengdu University of Technology; University of Limerick; University of Natural Resources &amp; Life Sciences, Vienna; Chinese Academy of Sciences; Kunming Institute of Botany, CAS</t>
  </si>
  <si>
    <t>Mao, LF (通讯作者)，Nanjing Forestry Univ, Coll Biol &amp; Environm, Coinnovat Ctr Sustainable Forestry Southern China, 159 Longpan Rd, Nanjing 210037, Peoples R China.;Liu, D (通讯作者)，Chinese Acad Sci, Germplasm Bank Wild Species, Yunnan Key Lab Fungal Div &amp; Green Dev, Kunming Inst Bot, Kunming 650201, Yunnan, Peoples R China.</t>
  </si>
  <si>
    <t>maolingfeng2008@163.com; liudongc@mail.kib.ac.cn</t>
  </si>
  <si>
    <t>Strategic Priority Research Program of the Chinese Academy of Sciences [XDB31000000]; National Key Research and Development Program of China [2021YFD2200403]; Natural Science Foundation of China [31870506, 41907029, 32071594]</t>
  </si>
  <si>
    <t>Strategic Priority Research Program of the Chinese Academy of Sciences(Chinese Academy of Sciences); National Key Research and Development Program of China; Natural Science Foundation of China(National Natural Science Foundation of China (NSFC))</t>
  </si>
  <si>
    <t>This study was supported by the Strategic Priority Research Program of the Chinese Academy of Sciences (No. XDB31000000), National Key Research and Development Program of China (No. 2021YFD2200403), Natural Science Foundation of China (No. 31870506, 41907029, 32071594).</t>
  </si>
  <si>
    <t>DORDRECHT</t>
  </si>
  <si>
    <t>VAN GODEWIJCKSTRAAT 30, 3311 GZ DORDRECHT, NETHERLANDS</t>
  </si>
  <si>
    <t>0032-079X</t>
  </si>
  <si>
    <t>1573-5036</t>
  </si>
  <si>
    <t>PLANT SOIL</t>
  </si>
  <si>
    <t>Plant Soil</t>
  </si>
  <si>
    <t>10.1007/s11104-022-05646-4</t>
  </si>
  <si>
    <t>Agronomy; Plant Sciences; Soil Science</t>
  </si>
  <si>
    <t>Agriculture; Plant Sciences</t>
  </si>
  <si>
    <t>3U6GF</t>
  </si>
  <si>
    <t>WOS:000841066700004</t>
  </si>
  <si>
    <t>He, MX; Wang, JL; Lin, YY; Huang, JC; Liu, AZ; Chen, F</t>
  </si>
  <si>
    <t>He, Ming-Xia; Wang, Jie-Lin; Lin, Yuan-Yuan; Huang, Jun-Chao; Liu, Ai-Zhong; Chen, Feng</t>
  </si>
  <si>
    <t>Engineering an oilseed crop for hyper-accumulation of carotenoids in the seeds without using a traditional marker gene</t>
  </si>
  <si>
    <t>PLANT CELL REPORTS</t>
  </si>
  <si>
    <t>Camelina sativa; Carotenoid; beta-Carotene; Astaxanthin; Marker gene</t>
  </si>
  <si>
    <t>9-CIS-EPOXYCAROTENOID DIOXYGENASE GENE; PHYTOENE SYNTHASE GENE; TRANSGENIC PLANTS; BETA-CAROTENE; KETOCAROTENOID BIOSYNTHESIS; CAMELINA-SATIVA; ASTAXANTHIN; CAULIFLOWER; OVEREXPRESSION; ARABIDOPSIS</t>
  </si>
  <si>
    <t>Camelina sativa (L.) Crantz is an important oil crop with many excellent agronomic traits. This model oil plant has been exploited to accumulate value-added bioproducts using genetic manipulation that depends on antibiotic- or herbicide-based selection marker genes (SMG), one of the major concerns for genetically modified foods. Here we reported metabolic engineering of C. sativa to synthesize red ketocarotenoids that could serve as a reporter to visualize transgenic events without using a traditional SMG. Overexpression of a non-native beta-carotene ketolase gene coupled with three other carotenogenous genes (phytoene synthase, beta-carotene hydroxylase, and Orange) in C. sativa resulted in production of red seeds that were visibly distinguishable from the normal yellow ones. Constitutive expression of the transgenes led to delayed plant development and seed germination. In contrast, seed-specific transformants demonstrated normal growth and seed germination despite the accumulation of up to 70-fold the level of carotenoids in the seeds compared to the controls, including significant amounts of astaxanthin and keto-lutein. As a result, the transgenic seed oils exhibited much higher antioxidant activity. No significant changes were found in the profiles of fatty acids between transgenic and control seeds. This study provided an interesting tool for metabolic engineering of seed crops without using a disputed SMG.</t>
  </si>
  <si>
    <t>He, Ming-Xia</t>
  </si>
  <si>
    <t>[He, Ming-Xia; Liu, Ai-Zhong] Southwest Forestry Univ, Kunming 650224, Yunnan, Peoples R China; [Huang, Jun-Chao; Chen, Feng] Shenzhen Univ, Inst Adv Study, Shenzhen Key Lab Marine Microbiome Engn, Shenzhen 518000, Peoples R China; [He, Ming-Xia; Wang, Jie-Lin; Lin, Yuan-Yuan] Chinese Acad Sci, Kunming Inst Bot, Dept Econ Plants &amp; Biotechnol, Yunnan Key Lab Wild Plant Resources, Kunming 650201, Yunnan, Peoples R China</t>
  </si>
  <si>
    <t>Southwest Forestry University - China; Shenzhen University; Chinese Academy of Sciences; Kunming Institute of Botany, CAS</t>
  </si>
  <si>
    <t>Liu, AZ (通讯作者)，Southwest Forestry Univ, Kunming 650224, Yunnan, Peoples R China.;Huang, JC; Chen, F (通讯作者)，Shenzhen Univ, Inst Adv Study, Shenzhen Key Lab Marine Microbiome Engn, Shenzhen 518000, Peoples R China.</t>
  </si>
  <si>
    <t>huangjc65@szu.edu.cn; livaizhong@mail.kib.ac.cn; sfchen@szu.edu.cn</t>
  </si>
  <si>
    <t>Liu, Aizhong/0000-0002-3197-5535</t>
  </si>
  <si>
    <t>Shenzhen Science and Technology RD Fund [20200813111818001]</t>
  </si>
  <si>
    <t>Shenzhen Science and Technology RD Fund</t>
  </si>
  <si>
    <t>This study was partly funded by a research grant from Shenzhen Science and Technology R&amp;D Fund (20200813111818001).</t>
  </si>
  <si>
    <t>0721-7714</t>
  </si>
  <si>
    <t>1432-203X</t>
  </si>
  <si>
    <t>PLANT CELL REP</t>
  </si>
  <si>
    <t>Plant Cell Reports</t>
  </si>
  <si>
    <t>10.1007/s00299-022-02889-4</t>
  </si>
  <si>
    <t>3C5CD</t>
  </si>
  <si>
    <t>WOS:000815412600001</t>
  </si>
  <si>
    <t>Liu, J; Milne, RI; Zhu, GF; Spicer, RA; Wambulwa, MC; Wu, ZY; Boufford, DE; Luo, YH; Provan, J; Yi, TS; Cai, J; Wang, H; Gao, LM; Li, DZ</t>
  </si>
  <si>
    <t>Liu, Jie; Milne, Richard I.; Zhu, Guang-Fu; Spicer, Robert A.; Wambulwa, Moses C.; Wu, Zeng-Yuan; Boufford, David E.; Luo, Ya-Huang; Provan, Jim; Yi, Ting-Shuang; Cai, Jie; Wang, Hong; Gao, Lian-Ming; Li, De-Zhu</t>
  </si>
  <si>
    <t>Name and scale matter: Clarifying the geography of Tibetan Plateau and adjacent mountain regions</t>
  </si>
  <si>
    <t>GLOBAL AND PLANETARY CHANGE</t>
  </si>
  <si>
    <t>Conservation; Geographical scale; Hengduan Mountains; Himalaya; Mountains of Central Asia; Pan-Tibetan Highlands; Species richness; Tibetan Plateau; Toponym</t>
  </si>
  <si>
    <t>GEOLOGICAL EVOLUTION; ECOSYSTEM SERVICES; CLIMATE-CHANGE; ASIA; BIODIVERSITY; DRIVEN; OROGEN; MASS; RESOLUTION; INVENTORY</t>
  </si>
  <si>
    <t>Geographical names and the entities they represent act as a fundamental cornerstone across numerous disciplines. However, inconsistent geographical names and arbitrarily defined regional geographical scales are common, hindering cross-disciplinary communication and synthesis. The Pan-Tibetan Highlands, comprising the Tibetan Plateau, Himalaya, Hengduan Mountains and Mountains of Central Asia, is a case in point. To rectify these inconsistencies of terminology, we employed a multi-disciplinary approach to standardize the nomenclature of the Tibetan Plateau and the three adjacent mountain regions, defining their spatial extent using historical and contemporary perspectives. A literature meta-analysis indicated that 'Tibetan Plateau', 'Himalaya' and 'Hengduan Mountains' are the most suitable names for these regions in terms of both priority (earliest use) and popularity, whereas 'Mountains of Central Asia' emerges as appropriate for the mountain chains to the west of the Tibetan Plateau. The new term 'Pan-Tibetan Highlands' is proposed to replace the less precise and arguably misleading 'High Mountain Asia' for these regions collectively. Additionally, new geographical boundaries, applicable back through time, are proposed for each region, based on geological and geomorphological features. Using these new boundaries, the Pan-Tibetan Highlands area is 3.95 x 10(6) km(2) with a mean elevation of 3824 m, while the Tibetan Plateau is smaller (1.82 x 10(6) km(2)) and higher (4465 m) than commonly assumed. Across the Pan-Tibetan Highlands, the proportion of protected areas is far below the proposed 30% anticipated in the post-2020 Global Biodiversity Framework target with only a few exceptions. Additionally, the Hengduan Mountains showed the highest vascular plant species richness and endemism, followed by Himalaya, Mountains of Central Asia and the Tibetan Plateau. The obvious conservation gap in the Pan-Tibetan Highlands calls for urgent research-based optimization of conservation networks. Our approach benefits quantitative spatial analysis by providing well-defined geographical scales for various fields, aiding cross-disciplinary comparisons and synthesis.</t>
  </si>
  <si>
    <t>Liu, Jie</t>
  </si>
  <si>
    <t>[Liu, Jie; Zhu, Guang-Fu; Wambulwa, Moses C.; Luo, Ya-Huang; Wang, Hong; Gao, Lian-Ming] Chinese Acad Sci, Kunming Inst Bot, CAS Key Lab Plant Div &amp; Biogeog East Asia, Kunming 650201, Yunnan, Peoples R China; [Liu, Jie; Zhu, Guang-Fu; Wambulwa, Moses C.; Wu, Zeng-Yuan; Luo, Ya-Huang; Yi, Ting-Shuang; Cai, Jie; Li, De-Zhu] Chinese Acad Sci, Kunming Inst Bot, Germplasm Bank Wild Species, Kunming 650201, Yunnan, Peoples R China; [Milne, Richard I.] Univ Edinburgh, Inst Mol Plant Sci, Sch Biol Sci, Edinburgh EH9 3JH, Scotland; [Zhu, Guang-Fu; Li, De-Zhu] Univ Chinese Acad Sci, Beijing 100049, Peoples R China; [Spicer, Robert A.] Chinese Acad Sci, Xishuangbanna Trop Bot Garden, CAS Key Lab Trop Forest Ecol, Xishuangbanna 666303, Yunnan, Peoples R China; [Spicer, Robert A.] Open Univ, Sch Environm Earth &amp; Ecosystem Sci, Walton Hall, Milton Keynes MK7 6AA, England; [Spicer, Robert A.] Chinese Acad Sci, Inst Tibetan Plateau Res, State Key Lab Tibetan Plateau Earth Syst Resource, Beijing 100101, Peoples R China; [Wambulwa, Moses C.] South Eastern Kenya Univ, Sch Sci &amp; Comp, Dept Life Sci, Kitui 17090200, Kenya; [Boufford, David E.] Harvard Univ, Herbaria, 22 Divin Ave, Cambridge, MA 02138 USA; [Luo, Ya-Huang; Wang, Hong; Gao, Lian-Ming; Li, De-Zhu] Chinese Acad Sci, Yunnan Lijiang Forest Biodivers Natl Observat &amp; R, Kunming Inst Bot, Lijiang 674100, Yunnan, Peoples R China; [Provan, Jim] Aberystwyth Univ, Inst Biol Environm &amp; Rural Sci, Aberystwyth SY23 3DA, Dyfed, Wales</t>
  </si>
  <si>
    <t>Chinese Academy of Sciences; Kunming Institute of Botany, CAS; Chinese Academy of Sciences; Kunming Institute of Botany, CAS; University of Edinburgh; Chinese Academy of Sciences; University of Chinese Academy of Sciences, CAS; Chinese Academy of Sciences; Xishuangbanna Tropical Botanical Garden, CAS; Open University - UK; Chinese Academy of Sciences; Institute of Tibetan Plateau Research, CAS; Harvard University; Chinese Academy of Sciences; Kunming Institute of Botany, CAS; Aberystwyth University; UK Research &amp; Innovation (UKRI); Biotechnology and Biological Sciences Research Council (BBSRC); Institute of Biological, Environmental, Rural &amp; Sciences (IBERS)</t>
  </si>
  <si>
    <t>Gao, LM; Li, DZ (通讯作者)，Chinese Acad Sci, Kunming Inst Bot, 132 Lanhei Rd, Kunming 650201, Yunnan, Peoples R China.</t>
  </si>
  <si>
    <t>Li, De-Zhu/G-8203-2011; n, d/D-6071-2013</t>
  </si>
  <si>
    <t>Li, De-Zhu/0000-0002-4990-724X; Wambulwa, Moses/0000-0002-6373-5915</t>
  </si>
  <si>
    <t>Strategic Priority Research Program of Chinese Academy of Sciences [XDB31010000]; National Natural Science Foundation of China [41971071, 32170398, 31770367]; Key Research Program of Frontier Sciences, CAS [ZDBS-LY-7001]; Top-notch Young Talents Project of Yunnan Provincial 'Ten Thousand Talents Program' [YNWRQNBJ-2018-146]; CAS Light of West China Program; International Partnership Program of Chinese Academy of Sciences; CAS President's International Fellowship Initiative [2022VBA0004]; Postdoctoral International Exchange Program of the Office of China Postdoctoral Council; Postdoctoral Targeted Funding and Postdoctoral Research Fund of Yunnan Province; UK Natural Environment Research Council/National Natural Science Foundation of China [NE/P013805/1, 41661134049]</t>
  </si>
  <si>
    <t>Strategic Priority Research Program of Chinese Academy of Sciences(Chinese Academy of Sciences); National Natural Science Foundation of China(National Natural Science Foundation of China (NSFC)); Key Research Program of Frontier Sciences, CAS; Top-notch Young Talents Project of Yunnan Provincial 'Ten Thousand Talents Program'; CAS Light of West China Program; International Partnership Program of Chinese Academy of Sciences; CAS President's International Fellowship Initiative; Postdoctoral International Exchange Program of the Office of China Postdoctoral Council; Postdoctoral Targeted Funding and Postdoctoral Research Fund of Yunnan Province; UK Natural Environment Research Council/National Natural Science Foundation of China</t>
  </si>
  <si>
    <t>We are grateful to Mr. Xue-Wen Liu, Mr. Tao Liu, Dr. Kai Chen, Miss Wang-Ting Wang for field investigation and data analysis. We thank Prof. Jed O Kaplan and three anonymous reviewers for critical and insightful comments and suggestions. We also thank professors Yin An, Dai Erfu, Zhang Guoqing, Peter Cawood, Tobias Bolch, Marc Foggin, Zhang Huiping, Yu Lupeng, Alice Hughes, Jurgen B &lt;spacing diaeresis&gt;ohner and Michael Taylor for suggestions and providing GIS files. This study was supported by the Strategic Priority Research Program of Chinese Academy of Sciences (XDB31010000), the National Natural Science Foundation of China (41971071, 32170398, 31770367), the Key Research Program of Frontier Sciences, CAS (ZDBS-LY-7001), the Top-notch Young Talents Project of Yunnan Provincial `Ten Thousand Talents Program' (YNWRQNBJ-2018-146), CAS Light of West China Program, and the International Partnership Program of Chinese Academy of Sciences (151853KYSB20190027). Richard Milne thanks the CAS President's International Fellowship Initiative (2022VBA0004). Moses Wambulwa was supported by the, Postdoctoral International Exchange Program of the Office of China Postdoctoral Council, and the Postdoctoral Targeted Funding and Postdoctoral Research Fund of Yunnan Province. Robert Spicer was supported by the UK Natural Environment Research Council (NE/P013805/1)/National Natural Science Foundation of China (41661134049) joint project, and an XTBG International Fellowship for Visiting Scientists.</t>
  </si>
  <si>
    <t>0921-8181</t>
  </si>
  <si>
    <t>1872-6364</t>
  </si>
  <si>
    <t>GLOBAL PLANET CHANGE</t>
  </si>
  <si>
    <t>Glob. Planet. Change</t>
  </si>
  <si>
    <t>10.1016/j.gloplacha.2022.103893</t>
  </si>
  <si>
    <t>Geography, Physical; Geosciences, Multidisciplinary</t>
  </si>
  <si>
    <t>Physical Geography; Geology</t>
  </si>
  <si>
    <t>4M5AR</t>
  </si>
  <si>
    <t>WOS:000853336000009</t>
  </si>
  <si>
    <t>Hu, YM; Saito, Y; Matsuo, Y; Gong, X; Tanaka, T</t>
  </si>
  <si>
    <t>Hu, Yiming; Saito, Yoshinori; Matsuo, Yosuke; Gong, Xun; Tanaka, Takashi</t>
  </si>
  <si>
    <t>New Benzofuran Oligomers from the Roots of Eupatorium heterophyllum Collected in China</t>
  </si>
  <si>
    <t>MOLECULES</t>
  </si>
  <si>
    <t>Eupatorium heterophyllum; Asteraceae; benzofuran oligomer; structure elucidation; Hengduan mountain</t>
  </si>
  <si>
    <t>OCCURRING TERPENE DERIVATIVES; AGERATINA-ADENOPHORA; ANTIFEEDANT ACTIVITY; CONSTITUENTS; DIVERSITY; SESQUITERPENOIDS; METABOLITES; DITERPENES; ALCOHOL</t>
  </si>
  <si>
    <t>The chemical constituents of two root samples of Eupatorium heterophyllum DC. collected in Yunnan Province, China, were investigated. Five new oligomeric benzofurans (1-5), nine new benzofuran/dihydrobenzofuran derivatives, and a new thymol analog were isolated, and their structures were determined using extensive spectroscopic techniques, such as 1D and 2D NMR spectroscopy and DFT calculations of the CD spectra. Most of the new compounds, including oligomeric benzofurans (1-5), were obtained from only one of the root samples. Furthermore, this is the first example that produces oligomeric benzofurans in this plant. These results imply that diversification of secondary metabolites in E. heterophyllum is ongoing. Plausible biosynthetic pathways for 1-5 are also proposed.</t>
  </si>
  <si>
    <t>Hu, Yiming</t>
  </si>
  <si>
    <t>[Hu, Yiming; Saito, Yoshinori; Matsuo, Yosuke; Tanaka, Takashi] Nagasaki Univ, Grad Sch Biomed Sci, 1-14 Bunkyo machi, Nagasaki 8528521, Japan; [Gong, Xun] Chinese Acad Sci, Kunming Inst Bot, Kunming 650201, Peoples R China</t>
  </si>
  <si>
    <t>Nagasaki University; Chinese Academy of Sciences; Kunming Institute of Botany, CAS</t>
  </si>
  <si>
    <t>Saito, Y; Tanaka, T (通讯作者)，Nagasaki Univ, Grad Sch Biomed Sci, 1-14 Bunkyo machi, Nagasaki 8528521, Japan.</t>
  </si>
  <si>
    <t>saiyoshi@nagasaki-u.ac.jp; t-tanaka@nagasaki-u.ac.jp</t>
  </si>
  <si>
    <t>Tanaka, Takashi/0000-0001-7762-7432</t>
  </si>
  <si>
    <t>JSPS [16K18897, 25303010, 20K07102]; NSFC</t>
  </si>
  <si>
    <t>JSPS(Ministry of Education, Culture, Sports, Science and Technology, Japan (MEXT)Japan Society for the Promotion of Science); NSFC(National Natural Science Foundation of China (NSFC))</t>
  </si>
  <si>
    <t>This work was partly supported by a Grant-in-Aid for Scientific Research from JSPS (grant numbers 16K18897, 25303010, and 20K07102) and the Japan-China Scientific Cooperation Program from JSPS and NSFC.</t>
  </si>
  <si>
    <t>1420-3049</t>
  </si>
  <si>
    <t>Molecules</t>
  </si>
  <si>
    <t>10.3390/molecules27248856</t>
  </si>
  <si>
    <t>7J0KW</t>
  </si>
  <si>
    <t>WOS:000904277400001</t>
  </si>
  <si>
    <t>Yue, JY; Zhang, N; Xu, T; Wang, JT; Cai, BX; Yu, Y</t>
  </si>
  <si>
    <t>Yue, Jingyi; Zhang, Nan; Xu, Tao; Wang, Jutao; Cai, Baixiang; Yu, Yang</t>
  </si>
  <si>
    <t>Phenylpropanoid Derivatives from the Tuber of Asparagus cochinchinensis with Anti-Inflammatory Activities</t>
  </si>
  <si>
    <t>phenylpropanoid; Asparagus cochinchinensis; anti-inflammatory activity</t>
  </si>
  <si>
    <t>PHENANTHRENE; EXTRACT</t>
  </si>
  <si>
    <t>Three undescribed phenylpropanoid derivatives, including two new bibenzyl constituents (1-2), one new stilbene constituent (3), together with five known compounds stilbostemin F (4), dihydropinosylvin (5), 2-(4-hydroxyphenyl)ethyl benzoate (6), 1-(4-hydroxybenzoyl)ethanone (7), and 4-hydroxy-3-prenylbenzoic acid (8), were isolated from the tuber of Asparagus cochinchinensis. The structures of 1-8 were elucidated according to UV, IR, HRMS, 1D and 2D-NMR methods together with the published literature. All of the isolated compounds were assessed for anti-inflammatory activity by acting on lipopolysaccharide (LPS)-induced RAW 264.7 macrophage cells in vitro. The results showed that compounds 2 and 5 were found to inhibit the production of nitric oxide (NO) with the IC50 value of 21.7 and 35.8 mu M, respectively. In addition, further studies found that compound 2 demonstrated concentration-dependent suppression of the protein expression of iNOS and exerted anti-inflammatory activity via the NF-kappa B signalling pathway. The present data suggest that phenylpropanoid derivatives from the tuber of A. cochinchinensis might be used as a potential source of natural anti-inflammatory agents.</t>
  </si>
  <si>
    <t>Yue, Jingyi</t>
  </si>
  <si>
    <t>[Yue, Jingyi] Wuhu Inst Technol, Wuhu Life &amp; Hlth Engn &amp; Technol Res Ctr, Wuhu 241006, Peoples R China; [Zhang, Nan] Anhui Univ Chinese Med, Dept Pharm, Affiliated Hosp 2, Hefei 230001, Peoples R China; [Xu, Tao; Cai, Baixiang] West Anhui Univ, Dept Biol &amp; Pharmaceut Engn, Luan 237012, Peoples R China; [Wang, Jutao; Yu, Yang] Anhui Univ Chinese Med, Sch Pharm, Hefei 230012, Peoples R China; [Wang, Jutao; Yu, Yang] Anhui Acad Chinese Med, Inst Med Chem, Hefei 230012, Peoples R China; [Wang, Jutao] Anhui Acad Chinese Med, Anhui Prov Key Lab Res &amp; Dev Chinese Med, Hefei 230012, Peoples R China; [Cai, Baixiang; Yu, Yang] Chinese Acad Sci, Kunming Inst Bot, State Key Lab Phytochem &amp; Plant Resources West Ch, Kunming 650201, Yunnan, Peoples R China</t>
  </si>
  <si>
    <t>Wuhu Institute of Technology; Anhui University of Chinese Medicine; West Anhui University; Anhui University of Chinese Medicine; Anhui University of Chinese Medicine; Anhui University of Chinese Medicine; Chinese Academy of Sciences; Kunming Institute of Botany, CAS</t>
  </si>
  <si>
    <t>Cai, BX (通讯作者)，West Anhui Univ, Dept Biol &amp; Pharmaceut Engn, Luan 237012, Peoples R China.;Yu, Y (通讯作者)，Anhui Univ Chinese Med, Sch Pharm, Hefei 230012, Peoples R China.;Yu, Y (通讯作者)，Anhui Acad Chinese Med, Inst Med Chem, Hefei 230012, Peoples R China.;Cai, BX; Yu, Y (通讯作者)，Chinese Acad Sci, Kunming Inst Bot, State Key Lab Phytochem &amp; Plant Resources West Ch, Kunming 650201, Yunnan, Peoples R China.</t>
  </si>
  <si>
    <t>caibx103@126.com; yuyang1@mail.kib.ac.cn</t>
  </si>
  <si>
    <t>Key Natural Science Foundation of the Wuhu Institute of Technology [wzyzrzd202210]; excellent young talents of Wuhu Vocational and Technical College (2022); Production and Education Integration Training Base of Wuhu Vocational and Technical College-Wuhu Zhanghengchun Pharmaceutical Co. LTD [2021cjrh054]; Natural Science Key Research Program of Anhui Province University [KJ2020A0915]; Foundation of Anhui Province Key Laboratory of Research and Development of Chinese Medicine [AKLPDCM202004]; Natural Science Key Research Program of Anhui University of Chinese Medicine [2021efylc10]; Natural Science Research Program of Anhui University of Chinese Medicine [2020efyzc13]</t>
  </si>
  <si>
    <t>Key Natural Science Foundation of the Wuhu Institute of Technology; excellent young talents of Wuhu Vocational and Technical College (2022); Production and Education Integration Training Base of Wuhu Vocational and Technical College-Wuhu Zhanghengchun Pharmaceutical Co. LTD; Natural Science Key Research Program of Anhui Province University; Foundation of Anhui Province Key Laboratory of Research and Development of Chinese Medicine; Natural Science Key Research Program of Anhui University of Chinese Medicine; Natural Science Research Program of Anhui University of Chinese Medicine</t>
  </si>
  <si>
    <t>This research was funded by the Key Natural Science Foundation of the Wuhu Institute of Technology (wzyzrzd202210), the excellent young talents of Wuhu Vocational and Technical College (2022),the Production and Education Integration Training Base of Wuhu Vocational and Technical College-Wuhu Zhanghengchun Pharmaceutical Co. LTD (2021cjrh054), Natural Science Key Research Program of Anhui Province University (KJ2020A0915), the Foundation of Anhui Province Key Laboratory of Research and Development of Chinese Medicine (AKLPDCM202004), the Natural Science Key Research Program of Anhui University of Chinese Medicine (2021efylc10), and the Natural Science Research Program of Anhui University of Chinese Medicine (2020efyzc13).</t>
  </si>
  <si>
    <t>10.3390/molecules27227676</t>
  </si>
  <si>
    <t>6L3XI</t>
  </si>
  <si>
    <t>WOS:000888118700001</t>
  </si>
  <si>
    <t>Rao, QR; Zhang, T; Dai, MN; Li, B; Pu, QN; Zhao, M; Cheng, Y; Yan, DM; Zhao, Q; Wu, ZNE; Li, F</t>
  </si>
  <si>
    <t>Rao, Qianru; Zhang, Ting; Dai, Manyun; Li, Bin; Pu, Qianlun; Zhao, Min; Cheng, Yan; Yan, Dongmei; Zhao, Qi; Wu, Zhanxuan E.; Li, Fei</t>
  </si>
  <si>
    <t>Comparative Metabolomic Profiling of the Metabolic Differences of Delta 9-Tetrahydrocannabinol and Cannabidiol</t>
  </si>
  <si>
    <t>cannabis; Delta 9-tetrahydrocannabinol; cannabidiol; metabolomics</t>
  </si>
  <si>
    <t>CANNABINOIDS</t>
  </si>
  <si>
    <t>More than one hundred cannabinoids have been found in cannabis. Delta 9-Tetrahydrocannabinol (THC) is the recognized addictive constituent in cannabis; however, the mechanisms underlying THC-induced toxicity remain elusive. To better understand cannabis-induced toxicity, the present study compared the metabolic pathways of THC and its isomer cannabidiol (CBD) in human and mouse liver microsomes using the metabolomic approach. Thirty-two metabolites of THC were identified, including nine undescribed metabolites. Of note, two glutathione (GSH) and two cysteine (Cys) adducts were found in THC's metabolism. Molecular docking revealed that THC conjugates have a higher affinity with GSH and Cys than with the parent compound, THC. Human recombinant cytochrome P450 enzymes, and their corresponding chemical inhibitors, demonstrated that CYP3A4 and CYP1B1 were the primary enzymes responsible for the formation of THC-GSH and THC-Cys, thus enabling conjugation to occur. Collectively, this study systematically compared the metabolism of THC with the metabolism of CBD using the metabolomic approach, which thus highlights the critical role of metabolomics in identifying novel drug metabolites. Moreover, this study also facilitates mechanistic speculation in order to expand the knowledge of drug metabolism and safety.</t>
  </si>
  <si>
    <t>Rao, Qianru</t>
  </si>
  <si>
    <t>[Rao, Qianru; Zhang, Ting; Dai, Manyun; Zhao, Min; Cheng, Yan; Zhao, Qi; Wu, Zhanxuan E.; Li, Fei] Sichuan Univ, Lab Metabol &amp; Drug Induced Liver Injury, Frontiers Sci Ctr Dis Related Mol Network, West China Hosp, Chengdu 610041, Peoples R China; [Rao, Qianru; Li, Bin; Yan, Dongmei] Jiangxi Univ Chinese Med, Academician Workstn, Nanchang 330004, Peoples R China; [Zhang, Ting; Dai, Manyun] Chinese Acad Sci, States Key Lab Phytochem &amp; Plant Resources West C, Kunming Inst Bot, Kunming 650201, Peoples R China; [Pu, Qianlun] Sichuan Univ, Adv Mass Spectrometry Ctr, Res Core Facil,West China Hosp, Frontiers Sci Ctr Dis Related Mol Network, Chengdu 610041, Peoples R China</t>
  </si>
  <si>
    <t>Sichuan University; Jiangxi University of Traditional Chinese Medicine; Chinese Academy of Sciences; Kunming Institute of Botany, CAS; Sichuan University</t>
  </si>
  <si>
    <t>Li, F (通讯作者)，Sichuan Univ, Lab Metabol &amp; Drug Induced Liver Injury, Frontiers Sci Ctr Dis Related Mol Network, West China Hosp, Chengdu 610041, Peoples R China.</t>
  </si>
  <si>
    <t>Pu, Qianlun/0000-0002-0286-9151</t>
  </si>
  <si>
    <t>National Key Research and Development Program of China [2021YFF0702000]; project for disciplines of excellence, West China Hospital, Sichuan University</t>
  </si>
  <si>
    <t>National Key Research and Development Program of China; project for disciplines of excellence, West China Hospital, Sichuan University</t>
  </si>
  <si>
    <t>This work was supported by the National Key Research and Development Program of China (2021YFF0702000), and project for disciplines of excellence, West China Hospital, Sichuan University.</t>
  </si>
  <si>
    <t>10.3390/molecules27217573</t>
  </si>
  <si>
    <t>6F4OG</t>
  </si>
  <si>
    <t>WOS:000884041700001</t>
  </si>
  <si>
    <t>Luo, L; Song, XM; Chang, X; Huang, S; Zhou, YX; Yang, SM; Zhu, Y; Zhang, LY; Wu, YS; Zhang, JY; Zhou, ZP; Wu, MY</t>
  </si>
  <si>
    <t>Luo, Lan; Song, Xuemei; Chang, Xiao; Huang, Sheng; Zhou, Yunxi; Yang, Shengmei; Zhu, Yan; Zhang, Lanyan; Wu, Yongsheng; Zhang, Junyin; Zhou, Zhipeng; Wu, Mingyi</t>
  </si>
  <si>
    <t>Detailed Structural Analysis of the Immunoregulatory Polysaccharides from the Mycobacterium Bovis BCG</t>
  </si>
  <si>
    <t>active ingredients; polysaccharide purification; glucan; mannan; immunomodulator</t>
  </si>
  <si>
    <t>BACILLUS-CALMETTE-GUERIN; (BCG)-INDUCED MACROPHAGE CYTOTOXICITY; IMMUNOMODULATORY ACTIVITY; MALDI-TOF; INTERLEUKIN-10; ACTIVATION; IMMUNITY; GLUCANS; SULFATE; MANNAN</t>
  </si>
  <si>
    <t>Bacillus Calmette-Guerin polysaccharide and nucleic acid (BCG-PSN), extracted from Mycobacterium bovis, is an immunoregulatory medicine commonly used in clinic. However, the structural characteristics and potential pharmacological efficacy of the polysaccharides from BCG-PSN remain unclear. Herein, two polysaccharides (BCG-1 and BCG-2) were purified and their structures were characterized. Monosaccharide composition analysis combined with methylation analysis and NMR data indicated that BCG-1 and BCG-2 were an alpha-D-(1 -&gt; 4)-mannan with (1 -&gt; 2)-linked branches, and an alpha-D-(1 -&gt; 4)-glucan with (1 -&gt; 6)-linked branches, respectively. Herein, the mannan from BCG-PSN was first reported. Bioactivity assays showed that BCG-1 and BCG-2 dose-dependently and potently increased the production of inflammatory mediators (NO, TNF-alpha, IL-6, IL-1 beta, and IL-10), as well as their mRNA expressions in RAW264.7 cells; both have similar or stronger effects compared with BCG-PSN injection. These data suggest that BCG-1 and BCG-2 are very likely the active ingredients of BCG-PSN.</t>
  </si>
  <si>
    <t>Luo, Lan</t>
  </si>
  <si>
    <t>[Luo, Lan; Song, Xuemei; Chang, Xiao; Zhang, Junyin; Zhou, Zhipeng; Wu, Mingyi] Chinese Acad Sci, Kunming Inst Bot, State Key Lab Phytochem &amp; Plant Resources West Ch, Kunming 650201, Yunnan, Peoples R China; [Song, Xuemei; Wu, Mingyi] Univ Chinese Acad Sci, Beijing 100049, Peoples R China; [Huang, Sheng; Zhou, Yunxi; Yang, Shengmei; Zhu, Yan; Zhang, Lanyan; Wu, Yongsheng] Hunan Jiuzhitang Siqi Biol Pharmaceut Co Ltd, Changsha 410329, Peoples R China; [Huang, Sheng; Wu, Yongsheng] Jiuzhitang Co Ltd, Changsha 410205, Peoples R China</t>
  </si>
  <si>
    <t>Wu, MY (通讯作者)，Chinese Acad Sci, Kunming Inst Bot, State Key Lab Phytochem &amp; Plant Resources West Ch, Kunming 650201, Yunnan, Peoples R China.;Wu, MY (通讯作者)，Univ Chinese Acad Sci, Beijing 100049, Peoples R China.</t>
  </si>
  <si>
    <t>wumingyi@mail.kib.ac.cn</t>
  </si>
  <si>
    <t>Special Funding for the Construction of Innovative Provinces in Hunan Province [2020SK2043]; Youth Innovation Promotion Association of Chinese Academy of Sciences [Y2021104]; CAS Light of West China Program [E1264211W1]; Ten-thousand Talents Program of Yunnan Province [YNWR-QNBJ-2018-271]; Yunnan Fundamental Research Projects [202201AS070073, 202101AT070152]</t>
  </si>
  <si>
    <t>Special Funding for the Construction of Innovative Provinces in Hunan Province; Youth Innovation Promotion Association of Chinese Academy of Sciences; CAS Light of West China Program; Ten-thousand Talents Program of Yunnan Province; Yunnan Fundamental Research Projects</t>
  </si>
  <si>
    <t>This work was funded by the Special Funding for the Construction of Innovative Provinces in Hunan Province (2020SK2043), Youth Innovation Promotion Association of Chinese Academy of Sciences (Y2021104), CAS Light ofWest China Program (E1264211W1), the Ten-thousand Talents Program of Yunnan Province (YNWR-QNBJ-2018-271), and Yunnan Fundamental Research Projects (grant NO. 202201AS070073 and 202101AT070152).</t>
  </si>
  <si>
    <t>10.3390/molecules27175691</t>
  </si>
  <si>
    <t>4K2DN</t>
  </si>
  <si>
    <t>WOS:000851767500001</t>
  </si>
  <si>
    <t>Wang, YJ; Liu, BD; Wang, X; Fan, YW</t>
  </si>
  <si>
    <t>Wang, Yanjia; Liu, Baodong; Wang, Xin; Fan, Yawen</t>
  </si>
  <si>
    <t>Comparison of Constituents and Antioxidant Activity of Above-Ground and Underground Parts of Dryopteris crassirhizoma Nakai Based on HS-SPME-GC-MS and UPLC/Q-TOF-MS</t>
  </si>
  <si>
    <t>Dryopteris crassirhizoma; components; antioxidant activity; total flavonoid content; HS-SPME-GC-MS; UPLC; Q-TOF-MS</t>
  </si>
  <si>
    <t>CHEMICAL-COMPOSITION; EXTRACTS; FERNS; PHLOROGLUCINOLS; IDENTIFICATION; TRITERPENES; FLAVONOIDS; QUALITY; IONENE; TREE</t>
  </si>
  <si>
    <t>Dryopteris crassirhizoma Nakai is a Chinese traditional medicinal fern plant for heat-clearing and detoxifying, promoting blood circulation and dissipating blood stasis. Previous researches showed that many factors could influence the components of medicinal plants, and the plant part is one of the main factors. So far, only the underground part of D. crassirhizoma, called Mianma Guanzhong, has been widely sold in the market. However, the above-ground part was usually at low utilization, resulting in a waste of medicinal resources. In order to further develop and utilize the medicinal resources of D. crassirhizoma, the constituents, total flavonoid contents and antioxidant activity of the above-ground and underground parts of D. crassirhizoma were tentatively analyzed and compared based on HS-SPME-GC-MS and UPLC/Q-TOF-MS. The results showed that (1) the volatile components were mainly focused in the above-ground part of D. crassirhizoma, including 3-carene, isoledene, ionene, 4-amino-1-naphthol and furfural. (2) Nonvolatile components of the underground part of D. crassirhizoma contained phenolic acid, flavonoids, phloroglucinol and less fatty acid. (3) The common compounds of the above-ground and underground parts of D. crassirhizoma were phenolic acid and flavaspidic acid AB. (4) Antioxidant activity of the underground part was stronger than that of the above-ground part of D. crassirhizoma. In conclusion, both the above-ground and underground parts of D. crassirhizoma are important medicinal resources worthy of further development.</t>
  </si>
  <si>
    <t>Wang, Yanjia</t>
  </si>
  <si>
    <t>[Wang, Yanjia; Liu, Baodong; Wang, Xin; Fan, Yawen] Harbin Normal Univ, Coll Life Sci &amp; Technol, Harbin 150025, Peoples R China; [Wang, Xin] Chinese Acad Sci, Kunming Inst Bot, State Key Lab Phytochem &amp; Plant Resources West Ch, Kunming 650201, Yunnan, Peoples R China</t>
  </si>
  <si>
    <t>Harbin Normal University; Chinese Academy of Sciences; Kunming Institute of Botany, CAS</t>
  </si>
  <si>
    <t>Wang, X; Fan, YW (通讯作者)，Harbin Normal Univ, Coll Life Sci &amp; Technol, Harbin 150025, Peoples R China.;Wang, X (通讯作者)，Chinese Acad Sci, Kunming Inst Bot, State Key Lab Phytochem &amp; Plant Resources West Ch, Kunming 650201, Yunnan, Peoples R China.</t>
  </si>
  <si>
    <t>xinwang0507@163.com; fanyaw@163.com</t>
  </si>
  <si>
    <t>National Natural Science Fund of China [31870187]</t>
  </si>
  <si>
    <t>National Natural Science Fund of China(National Natural Science Foundation of China (NSFC))</t>
  </si>
  <si>
    <t>The authors are grateful for financial support from the National Natural Science Fund of China (No. 31870187).</t>
  </si>
  <si>
    <t>10.3390/molecules27154991</t>
  </si>
  <si>
    <t>3T0AR</t>
  </si>
  <si>
    <t>WOS:000839948200001</t>
  </si>
  <si>
    <t>Zhuang, DL; Zhang, R; Liu, HY; Dai, Y</t>
  </si>
  <si>
    <t>Zhuang, Dongli; Zhang, Rong; Liu, Haiyang; Dai, Yi</t>
  </si>
  <si>
    <t>A Small Natural Molecule S3 Protects Retinal Ganglion Cells and Promotes Parkin-Mediated Mitophagy against Excitotoxicity</t>
  </si>
  <si>
    <t>excitotoxicity; retinal ganglion cells; 15-oxospiramilactone; mitophagy; parkin</t>
  </si>
  <si>
    <t>MITOCHONDRIAL; USP30</t>
  </si>
  <si>
    <t>Glutamate excitotoxicity may contribute to retinal ganglion cell (RGC) degeneration in glaucoma and other optic neuropathies, leading to irreversible blindness. Growing evidence has linked impaired mitochondrial quality control with RGCs degeneration, while parkin, an E3 ubiquitin ligase, has proved to be protective and promotes mitophagy in RGCs against excitotoxicity. The purpose of this study was to explore whether a small molecule S3 could modulate parkin-mediated mitophagy and has therapeutic potential for RGCs. The results showed that as an inhibitor of deubiquitinase USP30, S3 protected cultured RGCs and improved mitochondrial health against NMDA-induced excitotoxicity. Administration of S3 promoted the parkin expression and its downstream mitophagy-related proteins in RGCs. An upregulated ubiquitination level of Mfn2 and protein level of OPA1 were also observed in S3-treated RGCs, while parkin knockdown resulted in a major loss of the protective effect of S3 on RGCs under excitotoxicity. These findings demonstrated that S3 promoted RGC survival mainly through enhancing parkin-mediated mitophagy against excitotoxicity. The neuroprotective value of S3 in glaucoma and other optic neuropathies deserves further investigation.</t>
  </si>
  <si>
    <t>Zhuang, Dongli</t>
  </si>
  <si>
    <t>[Zhuang, Dongli; Zhang, Rong; Dai, Yi] Fudan Univ, Eye &amp; ENT Hosp, Shanghai Med Coll, Dept Ophthalmol &amp; Visual Sci, Shanghai 200031, Peoples R China; [Zhuang, Dongli; Zhang, Rong; Dai, Yi] Fudan Univ, NHC Key Lab Myopia, Chinese Acad Med Sci, Key Lab Myopia, Shanghai 200031, Peoples R China; [Zhuang, Dongli; Zhang, Rong; Dai, Yi] Fudan Univ, Shanghai Key Lab Visual Impairment &amp; Restorat, Shanghai 200031, Peoples R China; [Liu, Haiyang] Chinese Acad Sci, Kunming Inst Bot, State Key Lab Phytochem &amp; Plant Resources West Ch, Kunming 650204, Yunnan, Peoples R China</t>
  </si>
  <si>
    <t>Fudan University; Chinese Academy of Medical Sciences - Peking Union Medical College; Fudan University; Fudan University; Chinese Academy of Sciences; Kunming Institute of Botany, CAS</t>
  </si>
  <si>
    <t>Dai, Y (通讯作者)，Fudan Univ, Eye &amp; ENT Hosp, Shanghai Med Coll, Dept Ophthalmol &amp; Visual Sci, Shanghai 200031, Peoples R China.;Dai, Y (通讯作者)，Fudan Univ, NHC Key Lab Myopia, Chinese Acad Med Sci, Key Lab Myopia, Shanghai 200031, Peoples R China.;Dai, Y (通讯作者)，Fudan Univ, Shanghai Key Lab Visual Impairment &amp; Restorat, Shanghai 200031, Peoples R China.</t>
  </si>
  <si>
    <t>ydai@fudan.edu.cn</t>
  </si>
  <si>
    <t>10.3390/molecules27154957</t>
  </si>
  <si>
    <t>3S8GQ</t>
  </si>
  <si>
    <t>WOS:000839828500001</t>
  </si>
  <si>
    <t>Yu, H; Li, JL; Wu, GX; Tang, QB; Duan, X; Liu, QJ; Lan, MX; Zhao, YH; Hao, XJ; Qin, XP; Ding, X</t>
  </si>
  <si>
    <t>Yu, Hang; Li, Jinliang; Wu, Guoxing; Tang, Qingbo; Duan, Xiuan; Liu, Quanjun; Lan, Mingxian; Zhao, Yuhan; Hao, Xiaojiang; Qin, Xiaoping; Ding, Xiao</t>
  </si>
  <si>
    <t>Antifeedant Mechanism of Dodonaea viscosa Saponin A Isolated from the Seeds of Dodonaea viscosa</t>
  </si>
  <si>
    <t>antifeedant; Dodonaea viscosa; Spodoptera litura; taste sensillum; GABA; detoxification enzyme</t>
  </si>
  <si>
    <t>LITURA LEPIDOPTERA-NOCTUIDAE; SENSORY RESPONSES; FIELD</t>
  </si>
  <si>
    <t>Dodonaea viscosa is a medicinal plant which has been used to treat various diseases in humans. However, the anti-insect activity of extracts from D. viscosa has not been evaluated. Here, we found that the total saponins from D. viscosa (TSDV) had strong antifeedant and growth inhibition activities against 4th-instar larvae of Spodoptera litura. The median antifeeding concentration (AFC(50)) value of TSDV on larvae was 1621.81 mu g/mL. TSDV affected the detoxification enzyme system of the larvae and also exerted antifeedant activity possibly through targeting the gamma-aminobutyric acid (GABA) system. The AFC(50) concentration, the carboxylesterase activity, glutathione S-transferases activity, and cytochrome P450 content increased to 258%, 205%, and 215%, respectively, and likewise the glutamate decarboxylase activity and GABA content to 195% and 230%, respectively, in larvae which fed on TSDV. However, D. viscosa saponin A (DVSA) showed better antifeedant activity and growth inhibition activity in larvae, compared to TSDV. DVSA also exerted their antifeedant activity possibly through targeting the GABA system and subsequently affected the detoxification enzyme system. Further, DVSA directly affected the medial sensillum and the lateral sensillum of the 4th-instar larvae. Stimulation of Spodoptera litura. with DVSA elicited clear, consistent, and robust excitatory responses in a single taste cell.</t>
  </si>
  <si>
    <t>Yu, Hang</t>
  </si>
  <si>
    <t>[Yu, Hang; Li, Jinliang; Wu, Guoxing; Liu, Quanjun; Lan, Mingxian; Qin, Xiaoping] Yunnan Agr Univ, State Key Lab Conservat &amp; Utilizat Bioresources Y, Kunming 650100, Yunnan, Peoples R China; [Li, Jinliang; Zhao, Yuhan; Hao, Xiaojiang; Ding, Xiao] Chinese Acad Sci, Kunming Inst Bot, State Key Lab Phytochem &amp; Plant Resources West Ch, Kunming 650201, Yunnan, Peoples R China; [Tang, Qingbo] Henan Agr Univ, Dept Entomol, Zhengzhou 450002, Peoples R China; [Duan, Xiuan] Green Dev Ctr Baoshan City, Agroenvironm Monitoring Ctr Baoshan City, Baoshan 678000, Peoples R China; [Qin, Xiaoping] Yunnan Agr Univ, Grad Student Dept, Kunming 650100, Yunnan, Peoples R China</t>
  </si>
  <si>
    <t>Yunnan Agricultural University; Chinese Academy of Sciences; Kunming Institute of Botany, CAS; Henan Agricultural University; Yunnan Agricultural University</t>
  </si>
  <si>
    <t>Qin, XP (通讯作者)，Yunnan Agr Univ, State Key Lab Conservat &amp; Utilizat Bioresources Y, Kunming 650100, Yunnan, Peoples R China.;Ding, X (通讯作者)，Chinese Acad Sci, Kunming Inst Bot, State Key Lab Phytochem &amp; Plant Resources West Ch, Kunming 650201, Yunnan, Peoples R China.;Qin, XP (通讯作者)，Yunnan Agr Univ, Grad Student Dept, Kunming 650100, Yunnan, Peoples R China.</t>
  </si>
  <si>
    <t>yuhang9604@163.com; lijingliang2021@163.com; wgx1@163.cm; qbtang@henau.edu.cn; dxa6666@163.com; lqj2my@163.com; lmx4164@163.com; zhaoyuhan@mail.kib.ac.cn; haoxj@mail.kib.ac.cn; qxp99@163.com; dingxiao@mail.kib.ac.cn</t>
  </si>
  <si>
    <t>National Natural Science Foundation of China [31660541]; Natural Science Foundation of Yunnan Province [202001AT070053, 202001AT070055]; State Key Laboratory of Phytochemistry and Plant Resources \ in Western China [P2019-ZZ06, P2021-ZZ04]; National Key R&amp;D Program of China [2021YFD1400701]</t>
  </si>
  <si>
    <t>National Natural Science Foundation of China(National Natural Science Foundation of China (NSFC)); Natural Science Foundation of Yunnan Province(Natural Science Foundation of Yunnan Province); State Key Laboratory of Phytochemistry and Plant Resources \ in Western China; National Key R&amp;D Program of China</t>
  </si>
  <si>
    <t>This research was supported financially by grants from the National Natural Science Foundation of China (31660541), the Natural Science Foundation of Yunnan Province (202001AT070053 and 202001AT070055), grants from the State Key Laboratory of Phytochemistry and Plant Resources \ in Western China (P2019-ZZ06 and P2021-ZZ04), and the National Key R&amp;D Program of China (2021YFD1400701).</t>
  </si>
  <si>
    <t>10.3390/molecules27144464</t>
  </si>
  <si>
    <t>3J7WN</t>
  </si>
  <si>
    <t>WOS:000833603700001</t>
  </si>
  <si>
    <t>Luo, H; Qin, W; Zhang, H; Ren, FC; Fang, WT; Kong, QH; Yang, L; Zhang, JM; Fang, CW; Hu, JM; Liu, SJ</t>
  </si>
  <si>
    <t>Luo, Han; Qin, Wei; Zhang, Hong; Ren, Fu-Cai; Fang, Wen-Tao; Kong, Qing-Hua; Yang, Liu; Zhang, Jian-Mei; Fang, Cheng-Wu; Hu, Jiang-Miao; Liu, Shou-Jin</t>
  </si>
  <si>
    <t>Anthraquinones from the Aerial Parts of Rubia cordifolia with Their NO Inhibitory and Antibacterial Activities</t>
  </si>
  <si>
    <t>Rubia cordifolia; anthraquinones; NO inhibitory activity; antibacterial</t>
  </si>
  <si>
    <t>NITRIC-OXIDE; MEDICINAL-PLANT; CELL-CULTURES; L-ARGININE; CONSTITUENTS; BIOSYNTHESIS; DERIVATIVES; MECHANISMS; DISEASE</t>
  </si>
  <si>
    <t>The present study aimed to identify the composition of the aerial parts of Rubia cordifolia L. A chemical investigation on the EtOAc extracts from the aerial parts of Rubia cordifolia resulted in the isolation of four new anthraquinones, namely Cordifoquinone A-D (1-4), along with 16 known anthraquinones. Their structures were elucidated on the basis of NMR and HR-ESIMS data. All isolates were assessed for their inhibitory effects on NO production in LPS-stimulated RAW264.7 macrophage cells. Compounds 1, 3 and 10 exhibited significant inhibitory activities with IC50 values of 14.05, 23.48 and 29.23 mu mol.L-1, respectively. Their antibacterial activities of four bacteria, Escherichia coli (ATCC 25922), Staphylococcus aureus subsp. aureus (ATCC 29213), Salmonella enterica subsp. enterica (ATCC 14028) and Pseudomonas aeruginosa (ATCC 27853), were also evaluated. Our results indicated that the antibacterial activity of these compounds is inactive.</t>
  </si>
  <si>
    <t>Luo, Han</t>
  </si>
  <si>
    <t>[Luo, Han; Qin, Wei; Zhang, Hong; Fang, Wen-Tao; Fang, Cheng-Wu; Liu, Shou-Jin] Anhui Univ Chinese Med, Coll Pharm, Hefei 230011, Peoples R China; [Ren, Fu-Cai; Kong, Qing-Hua; Yang, Liu; Zhang, Jian-Mei; Hu, Jiang-Miao] Chinese Acad Sci, Kunming Inst Bot, State Key Lab Phytochem &amp; Plant Resources West Ch, Kunming 650201, Yunnan, Peoples R China; [Ren, Fu-Cai] Anhui Med Univ, Coll Pharm, Hefei 230011, Peoples R China</t>
  </si>
  <si>
    <t>Anhui University of Chinese Medicine; Chinese Academy of Sciences; Kunming Institute of Botany, CAS; Anhui Medical University</t>
  </si>
  <si>
    <t>Liu, SJ (通讯作者)，Anhui Univ Chinese Med, Coll Pharm, Hefei 230011, Peoples R China.;Hu, JM (通讯作者)，Chinese Acad Sci, Kunming Inst Bot, State Key Lab Phytochem &amp; Plant Resources West Ch, Kunming 650201, Yunnan, Peoples R China.</t>
  </si>
  <si>
    <t>luohan@stu.ahtcm.edu.cn; weiqin@stu.ahtcm.edu.cn; zhanghong@ahtcm.edu.cn; renfucai@ahmu.edu.cn; fangwentao@ahtcm.edu.cn; kongqinghua@mail.kib.ac.cn; yangliu.8355@163.com; zhangjianmei7788@sina.com; cwfang1961@sina.com; hujiangmiao@mail.kib.ac.cn; shjinliu@sina.com</t>
  </si>
  <si>
    <t>Special Subsidies for TCM public health services [RH2100000743]; National Administration of Traditional Chinese Medicine (NATCM)</t>
  </si>
  <si>
    <t>Special Subsidies for TCM public health services; National Administration of Traditional Chinese Medicine (NATCM)</t>
  </si>
  <si>
    <t>Please add: This research was funded by the Special Subsidies for TCM public health services, grant number RH2100000743. The APC was funded by National Administration of Traditional Chinese Medicine (NATCM).</t>
  </si>
  <si>
    <t>10.3390/molecules27051730</t>
  </si>
  <si>
    <t>2H6MQ</t>
  </si>
  <si>
    <t>WOS:000814406700001</t>
  </si>
  <si>
    <t>Ma, JH; Hu, D; Deng, LL; Li, J; Hao, XJ; Mu, SZ</t>
  </si>
  <si>
    <t>Ma, Jin-Hong; Hu, Dan; Deng, Lu-Lu; Li, Jiang; Hao, Xiao-Jiang; Mu, Shu-Zhen</t>
  </si>
  <si>
    <t>Pentacyclic Triterpenoids from Sabia discolor Dunn and Their alpha-Glycosidase Inhibitory Activities</t>
  </si>
  <si>
    <t>Sabia discolor Dunn; pentacyclic triterpenoids; isolation and purification; alpha-glycosidase inhibitory activities</t>
  </si>
  <si>
    <t>Four new pentacyclic triterpenoids named Sabiadiscolor A-D (1 and 7-9) together with eleven known ones were isolated by repeated column chromatography. Their structures were identified and characterized by NMR and MS spectral data as 6 oleanane-type pentacyclic triterpenoids (1-6), 7 ursane-type ones (7-13), and 2 lupanane-type ones (14-15). Except for compound 15, all other compounds were isolated from Sabia discolor Dunn for the first time. Their alpha-glycosidase inhibitory activities were evaluated, which showed that compounds 1, 3, 8, 9, 13, and 15 implied remarkable activities with IC50 values ranging from 0.09 to 0.27 mu M, and the preliminary structure-activity relationship was discussed.</t>
  </si>
  <si>
    <t>Ma, Jin-Hong</t>
  </si>
  <si>
    <t>[Ma, Jin-Hong; Hu, Dan; Deng, Lu-Lu; Li, Jiang; Hao, Xiao-Jiang; Mu, Shu-Zhen] Guizhou Med Univ, State Key Lab Funct &amp; Applicat Med Plants, Guiyang 550014, Peoples R China; [Ma, Jin-Hong; Hu, Dan; Deng, Lu-Lu; Li, Jiang; Hao, Xiao-Jiang; Mu, Shu-Zhen] Key Lab Chem Nat Prod Guizhou Prov, Guiyang 550014, Peoples R China; [Ma, Jin-Hong; Hu, Dan; Deng, Lu-Lu; Li, Jiang; Hao, Xiao-Jiang; Mu, Shu-Zhen] Chinese Acad Sci, Guiyang 550014, Peoples R China; [Ma, Jin-Hong] Guizhou Med Univ, Sch Pharm, Guiyang 550025, Peoples R China; [Hao, Xiao-Jiang] Chinese Acad Sci, Kunming Inst Bot, Kunming 650201, Yunnan, Peoples R China</t>
  </si>
  <si>
    <t>Guizhou Medical University; Chinese Academy of Sciences; Guizhou Medical University; Chinese Academy of Sciences; Kunming Institute of Botany, CAS</t>
  </si>
  <si>
    <t>Mu, SZ (通讯作者)，Guizhou Med Univ, State Key Lab Funct &amp; Applicat Med Plants, Guiyang 550014, Peoples R China.;Mu, SZ (通讯作者)，Key Lab Chem Nat Prod Guizhou Prov, Guiyang 550014, Peoples R China.;Mu, SZ (通讯作者)，Chinese Acad Sci, Guiyang 550014, Peoples R China.</t>
  </si>
  <si>
    <t>jinhongma2022@163.com; danhu1996@163.com; luludeng@gzcnp.cn; jiangli@gzcnp.cn; haoxj@mail.kib.ac.cn; muzi0558@126.com</t>
  </si>
  <si>
    <t>Science and Technology Program of Guizhou Province [QKHPTRC (2019) 5659]; National Natural Science Foundation of China [U1812403-3]; Growth Project of Young Scientific and Technological Talents in Colleges and Universities of Guizhou Province [QJH KY (2021) 181]</t>
  </si>
  <si>
    <t>Science and Technology Program of Guizhou Province; National Natural Science Foundation of China(National Natural Science Foundation of China (NSFC)); Growth Project of Young Scientific and Technological Talents in Colleges and Universities of Guizhou Province</t>
  </si>
  <si>
    <t>This research was funded by the financial support of the Science and Technology Program of Guizhou Province (QKHPTRC (2019) 5659), the National Natural Science Foundation of China (U1812403-3), and the Growth Project of Young Scientific and Technological Talents in Colleges and Universities of Guizhou Province (QJH KY (2021) 181).</t>
  </si>
  <si>
    <t>10.3390/molecules27072161</t>
  </si>
  <si>
    <t>0L8II</t>
  </si>
  <si>
    <t>WOS:000781711200001</t>
  </si>
  <si>
    <t>Sui, XL; Guan, KY; Chen, Y; Xue, RJ; Li, AR</t>
  </si>
  <si>
    <t>Sui, Xiaolin; Guan, Kaiyun; Chen, Yan; Xue, Ruijuan; Li, Airong</t>
  </si>
  <si>
    <t>A Legume Host Benefits More from Arbuscular Mycorrhizal Fungi Than a Grass Host in the Presence of a Root Hemiparasitic Plant</t>
  </si>
  <si>
    <t>MICROORGANISMS</t>
  </si>
  <si>
    <t>host-parasite interaction; photosynthesis; AMF; mineral nutrient; biomass</t>
  </si>
  <si>
    <t>RHINANTHUS-MINOR; PARASITIC PLANTS; SEEDLING ESTABLISHMENT; NATIVE HEMIPARASITE; GROWTH; NITROGEN; COLONIZATION; COMPETITION; INOCULATION; CHLOROPHYLL</t>
  </si>
  <si>
    <t>In nature, most plants parasitized by root hemiparasites are also colonized by mutualistic arbuscular mycorrhizal (AM) fungi, highlighting the prevalence of this tripartite interaction. AM colonization is generally found to improve the growth of parasitized legumes but has little impact on grass hosts parasitized by root hemiparasites, and the underlying mechanisms are still unclear. In this study, we conducted a pot experiment to test the influence of AM fungus (Glomus mosseae) on the growth and photosynthesis of leguminous Trifolium repens and gramineous Elymus nutans in the presence of a root hemiparasitic plant (Pedicularis kansuensis). The results showed that inoculation with AM fungi significantly improved the growth performance of parasitized legumes via enhancing their nutrient status and photosynthetic capacity, even though a larger P. kansuensis parasitized the legume host in the AM treatment. In contrast, AM colonization slightly improved the shoot DW of grass hosts by suppressing haustoria formation and the growth of P. kansuensis. Our results demonstrated that legume hosts benefit more from AM inoculation than grass hosts in the presence of hemiparasitic plants, and set out the various mechanisms. This study provides new clues for parsing the tritrophic interaction of AM fungi, parasitic plants, and host plants.</t>
  </si>
  <si>
    <t>Sui, Xiaolin</t>
  </si>
  <si>
    <t>[Sui, Xiaolin; Guan, Kaiyun; Chen, Yan; Xue, Ruijuan; Li, Airong] Chinese Acad Sci, Yunnan Key Lab Wild Plant Resources, Dept Econ Plants &amp; Biotechnol, Kunming 650201, Yunnan, Peoples R China; [Sui, Xiaolin; Guan, Kaiyun; Chen, Yan; Xue, Ruijuan; Li, Airong] Chinese Acad Sci, Yunnan Key Lab Fungal Div &amp; Green Dev, Kunming Inst Bot, Kunming 650201, Yunnan, Peoples R China; [Guan, Kaiyun] Chinese Acad Sci, Xinjiang Inst Ecol &amp; Geog, Key Lab Biogeog &amp; Bioresource Arid Land, Urumqi 830011, Peoples R China</t>
  </si>
  <si>
    <t>Chinese Academy of Sciences; Chinese Academy of Sciences; Kunming Institute of Botany, CAS; Chinese Academy of Sciences; Xinjiang Institute of Ecology &amp; Geography, CAS</t>
  </si>
  <si>
    <t>Li, AR (通讯作者)，Chinese Acad Sci, Yunnan Key Lab Wild Plant Resources, Dept Econ Plants &amp; Biotechnol, Kunming 650201, Yunnan, Peoples R China.;Li, AR (通讯作者)，Chinese Acad Sci, Yunnan Key Lab Fungal Div &amp; Green Dev, Kunming Inst Bot, Kunming 650201, Yunnan, Peoples R China.</t>
  </si>
  <si>
    <t>suixiaolin@mail.kib.ac.cn; guanky@mail.kib.ac.cn; chenyan@mail.kib.ac.cn; xueruijuan@mail.kib.ac.cn; airongli@mail.kib.ac.cn</t>
  </si>
  <si>
    <t>2076-2607</t>
  </si>
  <si>
    <t>Microorganisms</t>
  </si>
  <si>
    <t>10.3390/microorganisms10020440</t>
  </si>
  <si>
    <t>ZM3AQ</t>
  </si>
  <si>
    <t>WOS:000764234900001</t>
  </si>
  <si>
    <t>Zhao, JL; Yu, XQ; Kress, WJ; Wang, YL; Xia, YM; Li, QJ</t>
  </si>
  <si>
    <t>Zhao, Jian-Li; Yu, Xiang-Qin; Kress, W. John; Wang, Ya-Li; Xia, Yong-Mei; Li, Qing-Jun</t>
  </si>
  <si>
    <t>Historical biogeography of the gingers and its implications for shifts in tropical rain forest habitats</t>
  </si>
  <si>
    <t>JOURNAL OF BIOGEOGRAPHY</t>
  </si>
  <si>
    <t>dispersal; diversification; global environmental changes; monocot; tropical rain forest; Zingiberaceae</t>
  </si>
  <si>
    <t>EVOLUTIONARY DYNAMICS; INDIAN PLATE; DIVERSIFICATION; GENUS; PLANT; FAMILY; DISPERSAL; PHYLOGENY; MODELS; EOCENE</t>
  </si>
  <si>
    <t>Aim The relationships between biome shifts and global environmental changes in temperate zone habitats have been extensively explored; yet, the historical dynamics of taxa found in the tropical rain forest (TRF) remain poorly known. This study aims to reconstruct the relationships between tropical rain forest shifts and global environmental changes through the patterns of historical biogeography of a pantropical family of monocots, the Zingiberaceae. Location Global. Taxon Zingiberaceae. Methods We sampled DNA sequences (nrITS, trnK, trnL-trnF and psbA-trnH) from GenBank for 77% of the genera, including 30% of species, in the Zingiberaceae. Global fossil records of the Zingiberaceae were collected from literatures. Rates of speciation, extinction and diversification were estimated based on phylogenetic data and fossil records through methods implemented in BAMM. Ancestral ranges were estimated using single-tree BioGeoBEARS and multiple-trees BioGeoBEARS in RASP. Dispersal rate through time and dispersal rate among regions were calculated in R based on the result of ancestral estimation. Results The common ancestor of the Zingiberaceae likely originated in northern Africa during the mid-Cretaceous, with later dispersal to the Asian tropics. Indo-Burma, rather than Malesia, was likely a provenance of the common ancestor of Alpinioideae-Zingiberoideae. Several abrupt shifts of evolutionary rates from the Palaeocene were synchronized with sudden global environmental changes. Main conclusions Integrating phylogenetic patterns with fossil records suggests that the Zingiberaceae dispersed to Asia through drift of the Indian Plate from Africa in the late Palaeocene. Formation of island chains, land corridors and warming temperatures facilitated the emigration of the Zingiberaceae to a broad distribution across the tropics. Moreover, dramatic fluctuations of the speciation rate of Zingiberoideae appear to have been synchronized with global climate fluctuations. In general, the evolutionary history of the Zingiberaceae broadens our understanding of the association between TRF shifts in distribution and past global environmental changes, especially the origin of TRF in Southeast Asia.</t>
  </si>
  <si>
    <t>Zhao, Jian-Li</t>
  </si>
  <si>
    <t>[Zhao, Jian-Li; Xia, Yong-Mei; Li, Qing-Jun] Yunnan Univ, Yunnan Key Lab Plant Reprod Adaptat &amp; Evolutionar, Kunming 650504, Yunnan, Peoples R China; [Zhao, Jian-Li; Xia, Yong-Mei; Li, Qing-Jun] Yunnan Univ, Inst Biodivers, Sch Ecol &amp; Environm Sci, Kunming 650504, Yunnan, Peoples R China; [Yu, Xiang-Qin] Chinese Acad Sci, Kunming Inst Bot, CAS Key Lab Plant Div &amp; Biogeog East Asia, Kunming, Yunnan, Peoples R China; [Kress, W. John] Smithsonian Inst, Dept Bot, Natl Museum Nat Hist, Washington, DC USA; [Xia, Yong-Mei] Chinese Acad Sci, Xishuangbanna Trop Bot Garden, Mengla, Peoples R China</t>
  </si>
  <si>
    <t>Yunnan University; Yunnan University; Chinese Academy of Sciences; Kunming Institute of Botany, CAS; Smithsonian Institution; Smithsonian National Museum of Natural History; Chinese Academy of Sciences; Xishuangbanna Tropical Botanical Garden, CAS</t>
  </si>
  <si>
    <t>Li, QJ (通讯作者)，Yunnan Univ, Yunnan Key Lab Plant Reprod Adaptat &amp; Evolutionar, Kunming 650504, Yunnan, Peoples R China.;Li, QJ (通讯作者)，Yunnan Univ, Inst Biodivers, Sch Ecol &amp; Environm Sci, Kunming 650504, Yunnan, Peoples R China.</t>
  </si>
  <si>
    <t>qingjun.li@ynu.edu.cn</t>
  </si>
  <si>
    <t>Zhao, Jian-Li/0000-0002-5137-7735</t>
  </si>
  <si>
    <t>National Natural Science Foundation of China [41871047, U1602263, 41601061, 32070369]</t>
  </si>
  <si>
    <t>the National Natural Science Foundation of China, Grant/Award Number: 41871047, U1602263, 41601061 and 32070369</t>
  </si>
  <si>
    <t>0305-0270</t>
  </si>
  <si>
    <t>1365-2699</t>
  </si>
  <si>
    <t>J BIOGEOGR</t>
  </si>
  <si>
    <t>J. Biogeogr.</t>
  </si>
  <si>
    <t>10.1111/jbi.14386</t>
  </si>
  <si>
    <t>2D4AI</t>
  </si>
  <si>
    <t>WOS:000797099800001</t>
  </si>
  <si>
    <t>Lei, ZC; Li, N; Yu, NR; Ju, W; Sun, XN; Zhang, XL; Dong, HJ; Sun, JB; Chen, L</t>
  </si>
  <si>
    <t>Lei, Zhi-Chao; Li, Na; Yu, Nai-Rong; Ju, Wei; Sun, Xiao-Na; Zhang, Xue-Ling; Dong, Hai-Juan; Sun, Jian-Bo; Chen, Li</t>
  </si>
  <si>
    <t>Design and Synthesis of Novel Celastrol Derivatives as Potential Anticancer Agents against Gastric Cancer Cells</t>
  </si>
  <si>
    <t>JOURNAL OF NATURAL PRODUCTS</t>
  </si>
  <si>
    <t>APOPTOSIS; ACTIVATION; INHIBITOR; STRESS; GROWTH</t>
  </si>
  <si>
    <t>Gastric cancer (GC) is a common malignant disease worldwide, and finding novel agents and strategies for the treatment of GC are of urgent need. Celastrol (CEL) is a well-known natural product with antineoplastic activity. In this study, pyrazole analogues were introduced at the C-29 position of CEL. A total of 24 new derivatives were designed, synthesized, and evaluated for their mechanism and antitumor activity in vitro and in vivo. Among them, compound 21 exhibited the best activity against BGC-823 cells (IC50 = 0.21 +/- 0.01 mu M). Further biological studies showed that 21 significantly raised the reactive oxygen species (ROS) levels to activate the apoptotic pathway, causing mitochondrial dysfunction in BGC-823 cells. In addition, 21 also arrested cells in the G2/M phase to induce tumor cell apoptosis. In a nude mouse tumor xenograft model, 21 exhibited a better tumor inhibition rate (89.85%) than CEL (inhibition rate 76.52%). Taken together, the present study has provided an anticancer lead compound candidate, 21, and has revealed that increased ROS generation may be an effective strategy in the treatment of GC.</t>
  </si>
  <si>
    <t>Lei, Zhi-Chao</t>
  </si>
  <si>
    <t>[Lei, Zhi-Chao; Li, Na; Yu, Nai-Rong; Ju, Wei; Sun, Xiao-Na; Zhang, Xue-Ling; Sun, Jian-Bo; Chen, Li] China Pharmaceut Univ, Sch Tradit Chinese Pharm, Dept Nat Med Chem, State Key Lab Nat Med, Nanjing 210009, Peoples R China; [Li, Na] Hebei Univ Sci &amp; Technol, State Key Lab Breeding Base Hebei Prov Key Lab Mo, Shijiazhuang 050018, Hebei, Peoples R China; [Dong, Hai-Juan] China Pharmaceut Univ, Publ Lab Platform, Nanjing 210009, Peoples R China; [Chen, Li] Chinese Acad Sci, Kunming Inst Bot, State Key Lab Phytochem &amp; Plant Resources West Ch, Kunming 650201, Yunnan, Peoples R China</t>
  </si>
  <si>
    <t>China Pharmaceutical University; Hebei University of Science &amp; Technology; China Pharmaceutical University; Chinese Academy of Sciences; Kunming Institute of Botany, CAS</t>
  </si>
  <si>
    <t>Sun, JB; Chen, L (通讯作者)，China Pharmaceut Univ, Sch Tradit Chinese Pharm, Dept Nat Med Chem, State Key Lab Nat Med, Nanjing 210009, Peoples R China.;Chen, L (通讯作者)，Chinese Acad Sci, Kunming Inst Bot, State Key Lab Phytochem &amp; Plant Resources West Ch, Kunming 650201, Yunnan, Peoples R China.</t>
  </si>
  <si>
    <t>sunjianbo@cpu.edu.cn; chenli627@cpu.edu.cn</t>
  </si>
  <si>
    <t>Double First Class Subject Innovation Team Construction Project of China Pharmaceutical University [CPU2018GY12]; China Postdoctoral Science Foundation [2020M681788, 2021T140739]; Yong Science Fund for the National Natural Science Foundation of China [82104027]; State Key Laboratory Breeding Base-Hebei Province Key Laboratory of Molecular Chemistry for Drug Foundation [2022PT09]; Fund of State Key Laboratory of Phytochemistry and Plant Resources in West China [P2022-KF14]</t>
  </si>
  <si>
    <t>Double First Class Subject Innovation Team Construction Project of China Pharmaceutical University; China Postdoctoral Science Foundation(China Postdoctoral Science Foundation); Yong Science Fund for the National Natural Science Foundation of China(National Natural Science Foundation of China (NSFC)); State Key Laboratory Breeding Base-Hebei Province Key Laboratory of Molecular Chemistry for Drug Foundation; Fund of State Key Laboratory of Phytochemistry and Plant Resources in West China</t>
  </si>
  <si>
    <t>This work was supported financially by a Double First Class Subject Innovation Team Construction Project of China Pharmaceutical University (CPU2018GY12), the China Postdoctoral Science Foundation (2020M681788 and 2021T140739), the Yong Science Fund for the National Natural Science Foundation of China (82104027), the State Key Laboratory Breeding Base-Hebei Province Key Laboratory of Molecular Chemistry for Drug Foundation (2022PT09), and the Fund of State Key Laboratory of Phytochemistry and Plant Resources in West China (P2022-KF14).</t>
  </si>
  <si>
    <t>0163-3864</t>
  </si>
  <si>
    <t>1520-6025</t>
  </si>
  <si>
    <t>J NAT PROD</t>
  </si>
  <si>
    <t>J. Nat. Prod.</t>
  </si>
  <si>
    <t>MAY 27</t>
  </si>
  <si>
    <t>10.1021/acs.jnatprod.1c01236</t>
  </si>
  <si>
    <t>Plant Sciences; Chemistry, Medicinal; Pharmacology &amp; Pharmacy</t>
  </si>
  <si>
    <t>Plant Sciences; Pharmacology &amp; Pharmacy</t>
  </si>
  <si>
    <t>1W1QQ</t>
  </si>
  <si>
    <t>WOS:000806554600011</t>
  </si>
  <si>
    <t>Wang, ZY; Yang, FX; Liu, CX; Wang, L; Qi, YX; Cao, MH; Guo, XW; Li, J; Huang, XS; Yang, J; Huang, SX</t>
  </si>
  <si>
    <t>Wang, Zhiyan; Yang, Feng-Xian; Liu, Chongxi; Wang, Li; Qi, Yuxin; Cao, Minghang; Guo, Xiaowei; Li, Jie; Huang, Xueshuang; Yang, Jing; Huang, Sheng-Xiong</t>
  </si>
  <si>
    <t>Isolation and Biosynthesis of Phenazine-Polyketide Hybrids from Streptomyces sp. KIB-H483</t>
  </si>
  <si>
    <t>GENE-CLUSTER; ANTIBIOTICS; CLONING</t>
  </si>
  <si>
    <t>A phenazine-polyketide hybrid compound, nexphenazine A (1), was isolated from Streptomyces sp. KIB-H483. The bioinformatic analysis of the draft genome of the producing strain and gene inactivation experiments revealed that the biosynthesis of 1 involves a phenazine-polyketide hybrid gene cluster. The abolished production of 1 as well as the accumulation of shunt metabolites 4-7 in mutant strain Delta npzI revealed the key role of the npzI gene, which encodes an NAD(P)H-dependent ketoreductase, in nexphenazine biosynthesis. The structures and absolute configurations of the isolated intermediates were established on the basis of spectroscopic data analysis, singlecrystal X-ray diffraction, chiral chromatography, and chemical conversion experiments. NpzI exhibited stereochemical selectivity in reducing the carbonyl group of 4. Nexphenazine biosynthesis is proposed to involve a condensation of the carboxyl group of phenazine with one molecule of methylmalonyl-CoA by a type I PKS, followed by a ketone reduction by NpzI and an unknown methylation reaction.</t>
  </si>
  <si>
    <t>Wang, Zhiyan</t>
  </si>
  <si>
    <t>[Wang, Zhiyan; Yang, Feng-Xian; Liu, Chongxi; Wang, Li; Qi, Yuxin; Cao, Minghang; Guo, Xiaowei; Li, Jie; Yang, Jing; Huang, Sheng-Xiong] Chinese Acad Sci, State Key Lab Phytochem &amp; Plant Resources West Ch, Kunming Inst Bot, Kunming 650201, Yunnan, Peoples R China; [Wang, Zhiyan; Yang, Feng-Xian; Liu, Chongxi; Wang, Li; Qi, Yuxin; Cao, Minghang; Guo, Xiaowei; Li, Jie; Yang, Jing; Huang, Sheng-Xiong] Chinese Acad Sci, CAS Ctr Excellence Mol Plant Sci, Kunming Inst Bot, Kunming 650201, Yunnan, Peoples R China; [Wang, Zhiyan; Li, Jie] Univ Chinese Acad Sci, Beijing 100049, Peoples R China; [Qi, Yuxin; Huang, Xueshuang] Hunan Univ Med, Hunan Prov Key Lab Synthet Biol Tradit Chinese Me, Huaihua 418000, Peoples R China</t>
  </si>
  <si>
    <t>Yang, J; Huang, SX (通讯作者)，Chinese Acad Sci, State Key Lab Phytochem &amp; Plant Resources West Ch, Kunming Inst Bot, Kunming 650201, Yunnan, Peoples R China.;Yang, J; Huang, SX (通讯作者)，Chinese Acad Sci, CAS Ctr Excellence Mol Plant Sci, Kunming Inst Bot, Kunming 650201, Yunnan, Peoples R China.;Huang, XS (通讯作者)，Hunan Univ Med, Hunan Prov Key Lab Synthet Biol Tradit Chinese Me, Huaihua 418000, Peoples R China.</t>
  </si>
  <si>
    <t>xueshuanghuang@126.com; yangjingc@mail.kib.ac.cn; sxhuang@mail.kib.ac.cn</t>
  </si>
  <si>
    <t>WANG, Li/0000-0002-7004-4725; Liu, Chongxi/0000-0002-6505-7820</t>
  </si>
  <si>
    <t>National Natural Science Foundation of China [U1702285, 82073738, 21977100]; Hunan Provincial Key Laboratory for Synthetic Biology of Traditional Chinese Medicine [HCSW2021-02]; Yunnan Provincial Science and Technology Department [2019FJ007, 2019FA034]; Key Research Program of Frontier Sciences of CAS [QYZDB-SSW-SMC051]; Strategic Priority Research Program of CAS [XDB27020205]; Biological Resources Program of CAS [KFJ-BRP-009]; Youth Innovation Promotion Association of CAS [2018424]</t>
  </si>
  <si>
    <t>National Natural Science Foundation of China(National Natural Science Foundation of China (NSFC)); Hunan Provincial Key Laboratory for Synthetic Biology of Traditional Chinese Medicine; Yunnan Provincial Science and Technology Department; Key Research Program of Frontier Sciences of CAS; Strategic Priority Research Program of CAS; Biological Resources Program of CAS; Youth Innovation Promotion Association of CAS</t>
  </si>
  <si>
    <t>This research was financially supported by the National Natural Science Foundation of China (U1702285, 82073738, and 21977100), Hunan Provincial Key Laboratory for Synthetic Biology of Traditional Chinese Medicine (HCSW2021-02), Yunnan Provincial Science and Technology Department (2019FJ007 and 2019FA034), Key Research Program of Frontier Sciences of CAS (QYZDB-SSW-SMC051), the Strategic Priority Research Program of CAS (XDB27020205), Biological Resources Program of CAS (KFJ-BRP-009), and the Youth Innovation Promotion Association of CAS (2018424).</t>
  </si>
  <si>
    <t>10.1021/acs.jnatprod.2c00067</t>
  </si>
  <si>
    <t>WOS:000806554600015</t>
  </si>
  <si>
    <t>Tanaka, N; Yoshino, Y; Nakano, F; Kurimoto, SI; Kawazoe, K; Tsuji, D; Itoh, K; Li, SL; Sun, HD; Takaishi, Y; Kashiwada, Y</t>
  </si>
  <si>
    <t>Tanaka, Naonobu; Yoshino, Yuki; Nakano, Fusako; Kurimoto, Shin-Ichiro; Kawazoe, Kazuyoshi; Tsuji, Daisuke; Itoh, Kohji; Li, Shun-Lin; Sun, Han-Dong; Takaishi, Yoshihisa; Kashiwada, Yoshiki</t>
  </si>
  <si>
    <t>Lanicepines A and B, Sesquiterpenes with Amino Acid-Derived Substituents from the Flowering Aerial Parts of Saussurea laniceps</t>
  </si>
  <si>
    <t>LACTONES</t>
  </si>
  <si>
    <t>Two new guaianolide sesquiterpenes, lanicepines A (1) and B (2), possessing unusual amino acid-derived substituents at C-13, were isolated from the flowering aerial parts of Saussurea laniceps, a traditional herbal medicine also known as snow lotus. The structures of 1 and 2 were elucidated based on spectroscopic analysis including applications of the modified Mosher's method and Marfey's method as well as ECD calculations. Lanicepine A (1) contains a dihydropyridinone moiety with a carbamoyl and a hydroxymethyl group. This substituent was considered to consist of asparagine and a C-4 unit. In contrast, lanicepine B (2) has a substituent that seems to be derived from L-proline and a C-4 unit. Lanicepines A (1) and B (2) and two related known sesquiterpenes isolated from the same plant material, 11 beta,13-dihydrodesacylcynaropicrin (3) and 11 beta,13-dihydrodesacylcynaropicrin 8-O-beta-D-glucoside (4), demonstrated inhibitory activity against IL-1 beta production from LPS-stimulated microglial cells.</t>
  </si>
  <si>
    <t>Tanaka, Naonobu</t>
  </si>
  <si>
    <t>[Tanaka, Naonobu; Yoshino, Yuki; Nakano, Fusako; Tsuji, Daisuke; Itoh, Kohji; Takaishi, Yoshihisa; Kashiwada, Yoshiki] Tokushima Univ, Grad Sch Pharmaceut Sci, Tokushima 7708505, Japan; [Kurimoto, Shin-Ichiro; Kawazoe, Kazuyoshi] Showa Univ, Sch Pharm, Shinagawa 1428555, Japan; [Li, Shun-Lin; Sun, Han-Dong] Chinese Acad Sci, Kunming Inst Bot, State Key Lab Phytochem &amp; Plant Resources West Ch, Kunming 650201, Yunnan, Peoples R China</t>
  </si>
  <si>
    <t>Tokushima University; Showa University; Chinese Academy of Sciences; Kunming Institute of Botany, CAS</t>
  </si>
  <si>
    <t>Kashiwada, Y (通讯作者)，Tokushima Univ, Grad Sch Pharmaceut Sci, Tokushima 7708505, Japan.</t>
  </si>
  <si>
    <t>kasiwada@tokushima-u.ac.jp</t>
  </si>
  <si>
    <t>Tanaka, Naonobu/0000-0002-9281-7098; Itoh, Kohji/0000-0002-2953-5530</t>
  </si>
  <si>
    <t>JSPS KAKENHI [18406028]</t>
  </si>
  <si>
    <t>JSPS KAKENHI(Ministry of Education, Culture, Sports, Science and Technology, Japan (MEXT)Japan Society for the Promotion of ScienceGrants-in-Aid for Scientific Research (KAKENHI))</t>
  </si>
  <si>
    <t>We thank Prof. T. Fujioka and Mr. H. Hanazono, Faculty of Pharmaceutical Sciences, Fukuoka University, for measurements of MS spectra. This work was partly supported by JSPS KAKENHI grant number 18406028.</t>
  </si>
  <si>
    <t>10.1021/acs.jnatprod.1c01069</t>
  </si>
  <si>
    <t>1A0BB</t>
  </si>
  <si>
    <t>WOS:000791431400045</t>
  </si>
  <si>
    <t>Hou, B; Zhang, YM; Liao, HY; Fu, LF; Li, DD; Zhao, X; Qi, JX; Yang, W; Xiao, GF; Yang, L; Zuo, ZY; Wang, L; Zhang, XL; Bai, F; Yang, L; Gao, GF; Song, H; Hu, JM; Shang, WJ; Zhou, J</t>
  </si>
  <si>
    <t>Hou, Bo; Zhang, Yu-Min; Liao, Han-Yi; Fu, Li-Feng; Li, De-Dong; Zhao, Xin; Qi, Jian-Xun; Yang, Wei; Xiao, Geng-Fu; Yang, Lian; Zuo, Zheng-Yu; Wang, Lin; Zhang, Xiang-Lei; Bai, Fang; Yang, Liu; Gao, George F.; Song, Hao; Hu, Jiang-Miao; Shang, Wei-Juan; Zhou, Jun</t>
  </si>
  <si>
    <t>Target-Based Virtual Screening and LC/MS-Guided Isolation Procedure for Identifying Phloroglucinol-Terpenoid Inhibitors of SARS-CoV-2</t>
  </si>
  <si>
    <t>PROGRESS; VIRUS; DRUG</t>
  </si>
  <si>
    <t>The coronavirus disease 2019 (COVID-19) pan-demic, caused by severe acute respiratory syndrome coronavirus 2 (SARS-CoV-2), has led to more than 5 million deaths worldwide to date. Due to the limited therapeutic options so far available, target-based virtual screening with LC/MS support was applied to identify the novel and high-content compounds 1-4 with inhibitory effects on SARS-CoV-2 in Vero E6 cells from the plant Dryopteris wallichiana. These compounds were also evaluated against SARS-CoV-2 in Calu-3 cells and showed unambiguous inhibitory activity. The inhibition assay of targets showed that compounds 3 and 4 mainly inhibited SARS-CoV-2 3CLpro, with effective Kd values. Through docking and molecular dynamics modeling, the binding site is described, providing a comprehensive understanding of 3CLpro and interactions for 3, including hydrogen bonds, hydrophobic bonds, and the spatial occupation of the B ring. Compounds 3 and 4 represent new, potential lead compounds for the development of anti-SARS-CoV-2 drugs. This study has led to the development of a target-based virtual screening method for exploring the potency of natural products and for identifying natural bioactive compounds for possible COVID-19 treatment.</t>
  </si>
  <si>
    <t>Hou, Bo</t>
  </si>
  <si>
    <t>[Hou, Bo; Yang, Lian; Zuo, Zheng-Yu; Yang, Liu; Hu, Jiang-Miao; Zhou, Jun] Chinese Acad Sci, Kunming Inst Bot, State Key Lab Phytochem &amp; Plant Resources West Ch, Kunming 650201, Yunnan, Peoples R China; [Hou, Bo; Yang, Lian; Zuo, Zheng-Yu; Yang, Liu; Hu, Jiang-Miao; Zhou, Jun] Chinese Acad Sci, Kunming Inst Bot, Yunnan Key Lab Nat Med Chem, Kunming 650201, Yunnan, Peoples R China; [Zhang, Yu-Min; Xiao, Geng-Fu; Shang, Wei-Juan] Chinese Acad Sci, Ctr Biosafety Megasci, Wuhan Inst Virol, State Key Lab Virol, Wuhan 430071, Peoples R China; [Liao, Han-Yi; Fu, Li-Feng; Li, De-Dong; Zhao, Xin; Qi, Jian-Xun; Yang, Wei; Gao, George F.; Song, Hao] Chinese Acad Sci, Inst Microbiol, CAS Key Lab Pathogen Microbiol &amp; Immunol, Beijing 100101, Peoples R China; [Wang, Lin; Zhang, Xiang-Lei; Bai, Fang] Shanghai Tech Univ, Shanghai Inst Adv Immunochem Studies, Shanghai 201210, Peoples R China; [Wang, Lin; Zhang, Xiang-Lei; Bai, Fang] Shanghai Tech Univ, Sch Life Sci &amp; Technol, Shanghai 201210, Peoples R China; [Song, Hao] Chinese Acad Sci, Beijing Inst Life Sci, Res Network Immun &amp; Hlth RNIH, Beijing 100101, Peoples R China</t>
  </si>
  <si>
    <t>Chinese Academy of Sciences; Kunming Institute of Botany, CAS; Chinese Academy of Sciences; Kunming Institute of Botany, CAS; Chinese Academy of Sciences; Wuhan Institute of Virology, CAS; Chinese Academy of Sciences; Institute of Microbiology, CAS; ShanghaiTech University; ShanghaiTech University; Chinese Academy of Sciences</t>
  </si>
  <si>
    <t>Hu, JM; Zhou, J (通讯作者)，Chinese Acad Sci, Kunming Inst Bot, State Key Lab Phytochem &amp; Plant Resources West Ch, Kunming 650201, Yunnan, Peoples R China.;Hu, JM; Zhou, J (通讯作者)，Chinese Acad Sci, Kunming Inst Bot, Yunnan Key Lab Nat Med Chem, Kunming 650201, Yunnan, Peoples R China.;Shang, WJ (通讯作者)，Chinese Acad Sci, Ctr Biosafety Megasci, Wuhan Inst Virol, State Key Lab Virol, Wuhan 430071, Peoples R China.;Song, H (通讯作者)，Chinese Acad Sci, Inst Microbiol, CAS Key Lab Pathogen Microbiol &amp; Immunol, Beijing 100101, Peoples R China.;Song, H (通讯作者)，Chinese Acad Sci, Beijing Inst Life Sci, Res Network Immun &amp; Hlth RNIH, Beijing 100101, Peoples R China.</t>
  </si>
  <si>
    <t>songhao@im.ac.cn; hujiangmiao@mail.kib.ac.cn; shangweijuan@wh.iov.cn; jzhou@mail.kib.ac.cn</t>
  </si>
  <si>
    <t>yang, liu/GVU-8760-2022</t>
  </si>
  <si>
    <t>Hu, Jiang-Miao/0000-0002-9013-8489; hou, bo/0000-0001-7609-673X; Lin, Wang/0000-0003-2482-7638; Zhang, Yumin/0000-0003-0767-1221; Zuo, Zheng-Yu/0000-0002-8334-6132</t>
  </si>
  <si>
    <t>China Postdoctoral Science Foundation [2020M673316]; Postdoctoral Directional Training Foundation of Yunnan Province; Yunnan Provincial Science and Technology Department [202005AA160003]; Chinese Academy of Sciences (CAS) Project for Young Scientists in Basic Research [YSBR-010]</t>
  </si>
  <si>
    <t>China Postdoctoral Science Foundation(China Postdoctoral Science Foundation); Postdoctoral Directional Training Foundation of Yunnan Province; Yunnan Provincial Science and Technology Department; Chinese Academy of Sciences (CAS) Project for Young Scientists in Basic Research</t>
  </si>
  <si>
    <t>We thank Dr. Xiao-Nian Li for his assistance with the single-crystal X-ray diffraction analyses of compound 1. The work was funded by the China Postdoctoral Science Foundation (grant no. 2020M673316) , the Postdoctoral Directional Training Foundation of Yunnan Province, the Yunnan Provincial Science and Technology Department (grant no. 202005AA160003) , and Chinese Academy of Sciences (CAS) Project for Young Scientists in Basic Research (grant no. YSBR-010) .</t>
  </si>
  <si>
    <t>FEB 25</t>
  </si>
  <si>
    <t>10.1021/acs.jnatprod.1c00805</t>
  </si>
  <si>
    <t>ZJ5MB</t>
  </si>
  <si>
    <t>WOS:000762347300002</t>
  </si>
  <si>
    <t>Geng, F; Nie, RM; Yang, N; Cai, L; Hu, YC; Chen, ST; Cheng, XM; Wang, ZL; Chen, LQ</t>
  </si>
  <si>
    <t>Geng, Fang; Nie, Ruimin; Yang, Nan; Cai, Lei; Hu, YunChong; Chen, Shengtong; Cheng, Xiaomao; Wang, Zhonglang; Chen, Longqing</t>
  </si>
  <si>
    <t>Integrated transcriptome and metabolome profiling of Camellia reticulata reveal mechanisms of flower color differentiation</t>
  </si>
  <si>
    <t>FRONTIERS IN GENETICS</t>
  </si>
  <si>
    <t>omics; anthocyanins; carotenoids; flower; Camellia reticulata</t>
  </si>
  <si>
    <t>ANTHOCYANIN BIOSYNTHETIC GENES; EXPRESSION; 5-O-GLUCOSYLTRANSFERASE; FLAVONOIDS; PIGMENTS; PATHWAY; COMPLEX; CLONING</t>
  </si>
  <si>
    <t>Camellia reticulata (Lindl.) is an important ornamental plant in China. Long-term natural or artificial selections have resulted in diverse phenotypes, especially for flower colors. Modulating flower colors can enhance the visual appeal and economic value in ornamental plants. In this study, we investigated the molecular mechanisms underlying flower color differentiation in C. reticulata. We performed a combined transcriptome and metabolome analysis of the petals of a popular variety C. reticulata (HHYC) (red), and its two cultivars Xuejiao  (XJ) (pink) and Tongzimian  (TZM) (white). Targeted metabolome profiling identified 310 flavonoid compounds of which 18 anthocyanins were differentially accumulated among the three samples with an accumulation pattern of HHYC &gt; XJ &gt; TZM. Likewise, transcriptome analysis showed that carotenoid and anthocyanin biosynthetic structural genes were mostly expressed in order of HHYC &gt; XJ &gt; TZM. Two genes (gene-LOC114287745765 and gene-LOC114289234) encoding for anthocyanidin 3-O-glucosyltransferase are predicted to be responsible for red coloration in HHYC and XJ. We also detected 42 MYB and 29 bHLH transcription factors as key regulators of anthocyanin-structural genes. Overall, this work showed that flavonoids, particularly anthocyanins contents are the major determinants of flower color differentiation among the 3 C. reticulata samples. In addition, the main regulatory and structural genes modulating anthocyanin contents in C. reticulata have been unveiled. Our results will help in the development of Camellia varieties with specific flower color and quality.</t>
  </si>
  <si>
    <t>Geng, Fang</t>
  </si>
  <si>
    <t>[Geng, Fang; Nie, Ruimin; Yang, Nan; Hu, YunChong; Chen, Shengtong; Cheng, Xiaomao; Chen, Longqing] Southwest Forestry Univ, Coll Landscape Architecture &amp; Hort Sci, Southwest Landscape Architecture Engn Technol Res, Yunnan Funct Flower Resources &amp; Industrializat Tec, Kunming, Yunnan, Peoples R China; [Cai, Lei; Wang, Zhonglang] Chinese Acad Sci, Kunming Inst Bot, Kunming, Yunnan, Peoples R China</t>
  </si>
  <si>
    <t>Chen, LQ (通讯作者)，Southwest Forestry Univ, Coll Landscape Architecture &amp; Hort Sci, Southwest Landscape Architecture Engn Technol Res, Yunnan Funct Flower Resources &amp; Industrializat Tec, Kunming, Yunnan, Peoples R China.</t>
  </si>
  <si>
    <t>chenlq@swfu.edu.cn</t>
  </si>
  <si>
    <t>national 13th Five-Year Plan key research and development plan project Flower Efficient Breeding Technology and Variety Creation; Project 05: Camellia Efficient Breeding Technology and Variety Creation [2019YFD1001000]; sub-project Yunnan Camellia Efficient Breeding Technology and Variety [2019YFD100100005]; Yunnan Provincial Agricultural Basic Research Joint Special Project Mining and functional research on key genes for the formation of white flowers in Dianshan tea [2019YFD100005-2]; National Key R&amp;D Program of China [202101BD070001-095]; Yunnan agricultural basic research joint special general project [2019YFD1001000]; Outstanding Young Talents Support Program of Yunnan Province [202101BD070001-095];  [YNWR-QNBJ-2019-280]</t>
  </si>
  <si>
    <t xml:space="preserve">national 13th Five-Year Plan key research and development plan project Flower Efficient Breeding Technology and Variety Creation; Project 05: Camellia Efficient Breeding Technology and Variety Creation; sub-project Yunnan Camellia Efficient Breeding Technology and Variety; Yunnan Provincial Agricultural Basic Research Joint Special Project Mining and functional research on key genes for the formation of white flowers in Dianshan tea; National Key R&amp;D Program of China; Yunnan agricultural basic research joint special general project; Outstanding Young Talents Support Program of Yunnan Province; </t>
  </si>
  <si>
    <t>This research is supported by the national 13th Five-Year Plan key research and development plan project Flower Efficient Breeding Technology and Variety Creation (2019YFD1001000) Project 05: Camellia Efficient Breeding Technology and Variety Creation (2019YFD100100005) sub-project Yunnan Camellia Efficient Breeding Technology and Variety Created (2019YFD100005-2) and the Yunnan Provincial Agricultural Basic Research Joint Special Project Mining and functional research on key genes for the formation of white flowers in Dianshan tea (202101BD070001-095), National Key R &amp; D Program of China (2019YFD1001000), Yunnan agricultural basic research joint special general project (202101BD070001-095), and the Outstanding Young Talents Support Program of Yunnan Province (YNWR-QNBJ-2019-280). Funders have no role in the design and publication of the manuscript.</t>
  </si>
  <si>
    <t>1664-8021</t>
  </si>
  <si>
    <t>FRONT GENET</t>
  </si>
  <si>
    <t>Front. Genet.</t>
  </si>
  <si>
    <t>NOV 22</t>
  </si>
  <si>
    <t>10.3389/fgene.2022.1059717</t>
  </si>
  <si>
    <t>Genetics &amp; Heredity</t>
  </si>
  <si>
    <t>6T9MC</t>
  </si>
  <si>
    <t>WOS:000893996000001</t>
  </si>
  <si>
    <t>Tian, XL; Ma, YP</t>
  </si>
  <si>
    <t>Tian, Xiao-Ling; Ma, Yong-Peng</t>
  </si>
  <si>
    <t>Horticultural applications of natural hybrids as an accelerating way for breeding woody ornamental plants</t>
  </si>
  <si>
    <t>hybrid swarm; natural hybrids; woody ornamental plants; rhododendron (Ericaceae); SNP data</t>
  </si>
  <si>
    <t>HYBRIDIZATION; ERICACEAE</t>
  </si>
  <si>
    <t>Tian, Xiao-Ling</t>
  </si>
  <si>
    <t>[Tian, Xiao-Ling] Guiyang Inst Humanities &amp; Technol, Guiyang, Peoples R China; [Ma, Yong-Peng] Chinese Acad Sci, Kunming Inst Bot, Yunnan Key Lab Integrat Conservat Plant Species Ex, Kunming, Peoples R China</t>
  </si>
  <si>
    <t>Ma, YP (通讯作者)，Chinese Acad Sci, Kunming Inst Bot, Yunnan Key Lab Integrat Conservat Plant Species Ex, Kunming, Peoples R China.</t>
  </si>
  <si>
    <t>mayongpeng@mail.kib.ac.cn</t>
  </si>
  <si>
    <t>National Natural Science Foundation of China; Key Basic Research Program of Yunnan Province, China [31901237];  [202101BC070003]</t>
  </si>
  <si>
    <t xml:space="preserve">National Natural Science Foundation of China(National Natural Science Foundation of China (NSFC)); Key Basic Research Program of Yunnan Province, China; </t>
  </si>
  <si>
    <t>This opinion was supported by the National Natural Science Foundation of China (No. 31901237) and the Key Basic Research Program of Yunnan Province, China (No.202101BC070003).</t>
  </si>
  <si>
    <t>NOV 9</t>
  </si>
  <si>
    <t>10.3389/fgene.2022.1047100</t>
  </si>
  <si>
    <t>6P5IA</t>
  </si>
  <si>
    <t>WOS:000890962100001</t>
  </si>
  <si>
    <t>Yuan, GF; Tan, SF; Wang, DD; Yang, YZ; Tian, B</t>
  </si>
  <si>
    <t>Guofang, Yuan; Shufang, Tan; Dandan, Wang; Yongzhi, Yang; Bin, Tian</t>
  </si>
  <si>
    <t>Chromosome-Level Genome Assembly of the Rare and Endangered Tropical Plant Speranskia yunnanensis (Euphorbiaceae)</t>
  </si>
  <si>
    <t>genome assembly; chromosome-level genome; phylogenetic relationships; evolution; Speranskia yunnanensis</t>
  </si>
  <si>
    <t>GENERATION; PROVIDES; DATABASE; PROGRAM; SYSTEM; GENES</t>
  </si>
  <si>
    <t>Speranskia yunnanensis S. M. Hwang is an endangered shrub narrowly distributed in tropical regions, and its populations are gradually shrinking. We assembled and annotated the genome of S. yunnanensis at the chromosome level by combining Nanopore sequencing, Illumina HiSeq sequencing and Hi-C technology. The final genome assembly was similar to 417.65 Mb, with a contig N50 value of 12.52 Mb, and 408.62 Mb (97.84%) of which could be grouped into seven pseudochromosomes. Approximately 69.11% of the assembly was identified as repetitive elements, and 25,467 protein-coding genes were annotated. Based on the 1,517 single-copy orthologous genes, and 751 expanded and 1,645 contracted gene families among the 16,389 gene families in S. yunnanensis, a phylogenetic tree was further built. The high-quality, annotated, and chromosome-level genome of S. yunnanensis will present an important source of data for future research on the evolution of Euphorbiaceae genomes, and provide genomic resources toward studies on speciation, local adaptation, as well as conservation genomics of the ecologically important genus Speranskia.</t>
  </si>
  <si>
    <t>Guofang, Yuan</t>
  </si>
  <si>
    <t>[Guofang, Yuan; Shufang, Tan; Bin, Tian] Southwest Forestry Univ, Key Lab Forest Resources Conservat &amp; Utilizat Sou, Minist Educ, Kunming, Yunnan, Peoples R China; [Dandan, Wang; Yongzhi, Yang] Lanzhou Univ, Inst Innovat Ecol, State Key Lab Grassland Agroecosyst, Lanzhou, Peoples R China; [Dandan, Wang; Yongzhi, Yang] Lanzhou Univ, Sch Life Sci, Lanzhou, Peoples R China; [Bin, Tian] Chinese Acad Sci, Kunming Inst Bot, CAS Key Lab Plant Divers &amp; Biogeog, Kunming, Yunnan, Peoples R China</t>
  </si>
  <si>
    <t>Southwest Forestry University - China; Lanzhou University; Lanzhou University; Chinese Academy of Sciences; Kunming Institute of Botany, CAS</t>
  </si>
  <si>
    <t>Tian, B (通讯作者)，Southwest Forestry Univ, Key Lab Forest Resources Conservat &amp; Utilizat Sou, Minist Educ, Kunming, Yunnan, Peoples R China.;Yang, YZ (通讯作者)，Lanzhou Univ, Inst Innovat Ecol, State Key Lab Grassland Agroecosyst, Lanzhou, Peoples R China.;Yang, YZ (通讯作者)，Lanzhou Univ, Sch Life Sci, Lanzhou, Peoples R China.;Tian, B (通讯作者)，Chinese Acad Sci, Kunming Inst Bot, CAS Key Lab Plant Divers &amp; Biogeog, Kunming, Yunnan, Peoples R China.</t>
  </si>
  <si>
    <t>JAN 24</t>
  </si>
  <si>
    <t>10.3389/fgene.2021.755564</t>
  </si>
  <si>
    <t>YU2HZ</t>
  </si>
  <si>
    <t>WOS:000751869700001</t>
  </si>
  <si>
    <t>Huang, Y; Fan, LY; Huang, J; Zhou, GH; Chen, X; Chen, JH</t>
  </si>
  <si>
    <t>Huang, Yuan; Fan, Linyuan; Huang, Jian; Zhou, Guohua; Chen, Xiong; Chen, Jiahui</t>
  </si>
  <si>
    <t>Plastome Phylogenomics of Aucuba (Garryaceae)</t>
  </si>
  <si>
    <t>Garryales; Garryaceae; Aucuba; phylogenomics; molecular dating</t>
  </si>
  <si>
    <t>PHYLOGENETIC-RELATIONSHIPS; FOSSIL RECORD; SCALE DATA; SEQUENCE; GENOMES; CLASSIFICATION; PERFORMANCE; INVERSION; SOFTWARE; FAMILIES</t>
  </si>
  <si>
    <t>Aucuba (Garryaceae), which includes approximately ten evergreen woody species, is a genus endemic to East Asia. Their striking morphological features give Aucuba species remarkable ornamental value. Owing to high levels of morphological divergence and plasticity, species definitions of Aucuba remain perplexing and problematic. Here, we sequenced and characterized the complete plastid genomes (plastomes) of three Aucuba species: Aucuba chlorascens, Aucuba eriobotryifolia, and Aucuba japonica. Incorporating Aucuba plastomes available in GenBank, a total of seven Aucuba plastomes, representing six out of ten species of Aucuba, were used for comparative plastome analysis, phylogenetic analysis and divergence time estimation in this study. Comparative analyses revealed that plastomes of Aucuba are highly conserved in size, structure, gene content, and organization, and exhibit high levels of sequence similarity. Phylogenetic reconstruction based on 68 plastid protein-coding genes strongly supported the monophyly of Garryales, Garryaceae and Aucuba. Aucuba eriobotryifolia was sister to the other Aucuba species examined, consistent with its unique fused anther locule. The divergence time of Aucuba was estimated to be approximately late Miocene. Extant Aucuba species derived from recent divergence events associated with the establishment of monsoonal climates in East Asia and climatic fluctuations.</t>
  </si>
  <si>
    <t>[Huang, Yuan; Chen, Xiong] Yunnan Normal Univ, Sch Life Sci, Kunming, Yunnan, Peoples R China; [Fan, Linyuan; Huang, Jian] Yunnan Gen Adm Foresty Seeds &amp; Seedlings, Kunming, Yunnan, Peoples R China; [Zhou, Guohua] Chinese Med Resources Co LTD, Yunnan Baiyao Grp, Kunming, Yunnan, Peoples R China; [Chen, Jiahui] Chinese Acad Sci, Kunming Inst Bot, CAS Key Lab Plant Div &amp; Biogeog East Asia, Kunming, Yunnan, Peoples R China</t>
  </si>
  <si>
    <t>Yunnan Normal University; Chinese Academy of Sciences; Kunming Institute of Botany, CAS</t>
  </si>
  <si>
    <t>Huang, Y (通讯作者)，Yunnan Normal Univ, Sch Life Sci, Kunming, Yunnan, Peoples R China.;Chen, JH (通讯作者)，Chinese Acad Sci, Kunming Inst Bot, CAS Key Lab Plant Div &amp; Biogeog East Asia, Kunming, Yunnan, Peoples R China.</t>
  </si>
  <si>
    <t>huangyuanynnu@aliyun.com; chenjh@mail.kib.ac.cn</t>
  </si>
  <si>
    <t>10.3389/fgene.2022.753719</t>
  </si>
  <si>
    <t>YU2EL</t>
  </si>
  <si>
    <t>WOS:000751860500001</t>
  </si>
  <si>
    <t>He, ZC; Lin, J; He, YY; Liu, SB</t>
  </si>
  <si>
    <t>He, Zhicheng; Lin, Jian; He, Yingying; Liu, Shubai</t>
  </si>
  <si>
    <t>Polysaccharide-Peptide from Trametes versicolor: The Potential Medicine for Colorectal Cancer Treatment</t>
  </si>
  <si>
    <t>BIOMEDICINES</t>
  </si>
  <si>
    <t>Trametes versicolor; polysaccharide peptide; colorectal cancer; traditional medicine</t>
  </si>
  <si>
    <t>PROTEIN-BOUND POLYSACCHARIDE; QUEL PS-K; CORIOLUS-VERSICOLOR; IN-VITRO; ANTICANCER ACTIVITY; SIGNALING PATHWAY; ANTITUMOR; CELLS; MUSHROOM; COMBINATION</t>
  </si>
  <si>
    <t>The incidence and mortality of colorectal cancer have shown an upward trend in the past decade. Therefore, the prevention, diagnosis, and treatment of colorectal cancer still need our continuous attention. Finding compounds with strong anticancer activity and low toxicity is a good strategy for colorectal cancer (CRC) therapy. Trametes versicolor is a traditional Chinese medicinal mushroom with a long history of being used to regulate immunity and prevent cancer. Its extractions were demonstrated with strong cell growth inhibitory activity on human colorectal tumor cells, while the anticancer activity of them is not acted through a direct cytotoxic effect. However, the intricacy and high molecular weight make mechanistic research difficult, which restricts their further application as a medication in clinical cancer treatment. Recent research has discovered a small molecule polysaccharide peptide derived from Trametes versicolor that has a distinct structure after decades of Trametes versicolor investigation. Uncertain molecular weight and a complex composition are problems that have been solved through studies on its structure, and it was demonstrated to have strong anti-proliferation activity on colorectal cancer in vitro and in vivo via interaction with EGFR signaling pathway. It opens up new horizons for research in this field, and these low molecular weight polysaccharide peptides provide a new insight of regulation of colorectal cancer proliferation and have great potential as drugs in the treatment of colorectal cancer.</t>
  </si>
  <si>
    <t>[He, Zhicheng; Lin, Jian; Liu, Shubai] Chinese Acad Sci, Kunming Inst Bot, State Key Lab Phytochem &amp; Plant Resources West Chi, Kunming 650201, Peoples R China; [He, Zhicheng; Lin, Jian; Liu, Shubai] Univ Chinese Acad Sci, Beijing 100049, Peoples R China; [He, Yingying] Yunnan Univ, Sch Chem Sci &amp; Technol, Kunming 650091, Peoples R China</t>
  </si>
  <si>
    <t>Liu, SB (通讯作者)，Chinese Acad Sci, Kunming Inst Bot, State Key Lab Phytochem &amp; Plant Resources West Chi, Kunming 650201, Peoples R China.;Liu, SB (通讯作者)，Univ Chinese Acad Sci, Beijing 100049, Peoples R China.;He, YY (通讯作者)，Yunnan Univ, Sch Chem Sci &amp; Technol, Kunming 650091, Peoples R China.</t>
  </si>
  <si>
    <t>Chinese Academy of Science; CAS Pioneer Hundred Talents Program [Y8677211K1, Y8690211Z1];  [E0241211H1]</t>
  </si>
  <si>
    <t xml:space="preserve">Chinese Academy of Science(Chinese Academy of Sciences); CAS Pioneer Hundred Talents Program; </t>
  </si>
  <si>
    <t>This works was supported by Chinese Academy of Science (Y8677211K1, Y8690211Z1) and CAS Pioneer Hundred Talents Program (E0241211H1) to Shubai Liu.</t>
  </si>
  <si>
    <t>2227-9059</t>
  </si>
  <si>
    <t>Biomedicines</t>
  </si>
  <si>
    <t>10.3390/biomedicines10112841</t>
  </si>
  <si>
    <t>Biochemistry &amp; Molecular Biology; Medicine, Research &amp; Experimental; Pharmacology &amp; Pharmacy</t>
  </si>
  <si>
    <t>Biochemistry &amp; Molecular Biology; Research &amp; Experimental Medicine; Pharmacology &amp; Pharmacy</t>
  </si>
  <si>
    <t>6U9MI</t>
  </si>
  <si>
    <t>WOS:000894684000001</t>
  </si>
  <si>
    <t>Chen, YP; Turdimatovich, TO; Nuraliev, MS; Lazarevic, P; Drew, BT; Xiang, CL</t>
  </si>
  <si>
    <t>Chen, Ya-Ping; Turdimatovich, Turginov Orzimat; Nuraliev, Maxim S.; Lazarevic, Predrag; Drew, Bryan T.; Xiang, Chun-Lei</t>
  </si>
  <si>
    <t>Phylogeny and biogeography of the northern temperate genus Dracocephalum s.l. (Lamiaceae)</t>
  </si>
  <si>
    <t>CLADISTICS</t>
  </si>
  <si>
    <t>TIBETAN PLATEAU UPLIFT; LEPECHINIA LAMIACEAE; NONCODING REGIONS; EVOLUTION; CLIMATE; TOOL; DIVERSIFICATION; ARIDIFICATION; CONSEQUENCES; DISCORDANCE</t>
  </si>
  <si>
    <t>The northern temperate genus Dracocephalum consists of approximately 70 species mainly distributed in the steppe-desert biomes of Central and West Asia and the alpine region of the Qinghai-Tibetan Plateau (QTP). Previous work has shown that Dracocephalum is not monophyletic and might include Hyssopus and Lallemantia. This study attempts to clarify the phylogenetic relationships, diversification patterns, and the biogeographical history of the three genera (defined as Dracocephalum s.l.). Based on a sampling of 66 taxa comprising more than 80% from extant species of Dracocephalum s.l., morphological, phylogenetic (maximum parsimony, likelihood, and Bayesian inference based on nuclear ITS and ETS, plastid rpl32-trnL, trnL-trnF, ycf1, and ycf1-rps15, and two low-copy nuclear markers AT3G09060 and AT1G09680), molecular dating, diversification, and ancestral range estimation analyses were carried out. Our results demonstrate that both Hyssopus and Lallemantia are embedded within Dracocephalum and nine well-supported clades can be recognized within Dracocephalum s.l. Analyses of divergence times suggest that the genus experienced an early rapid radiation during the middle to late Miocene with major lineages diversifying within a relatively narrow timescale. Ancestral area reconstruction analyses indicate that Dracocephalum s.l. originated in Central and West Asia and southern Siberia, and dispersed from Central and West Asia into the QTP and adjacent areas twice independently during the Pliocene. The aridification of the Asian interior possibly promoted the rapid radiation of Dracocephalum within this region, and the uplift of the QTP appears to have triggered the dispersal and recent rapid diversification of the genus in the QTP and adjacent regions. Combining molecular phylogenetic and morphological evidence, a revised infrageneric classification of Dracocephalum s.l. is proposed, which recognizes nine sections within the genus.</t>
  </si>
  <si>
    <t>[Chen, Ya-Ping; Xiang, Chun-Lei] Chinese Acad Sci, Kunming Inst Bot, CAS Key Lab Plant Divers &amp; Biogeog East Asia, Kunming 650201, Yunnan, Peoples R China; [Turdimatovich, Turginov Orzimat] Acad Sci Uzbek, Inst Bot, Tashkent 100047, Uzbekistan; [Nuraliev, Maxim S.] Moscow MV Lomonosov State Univ, Biol Fac, Dept Higher Plants, Moscow 119234, Russia; [Lazarevic, Predrag] Univ Belgrade, Fac Biol, Inst Bot &amp; Bot Garden, Belgrade 11000, Serbia; [Drew, Bryan T.] Univ Nebraska Kearney, Dept Biol, Kearney, NE 68849 USA</t>
  </si>
  <si>
    <t>Chinese Academy of Sciences; Kunming Institute of Botany, CAS; Academy of Sciences of Uzbekistan; Institute of Botany, Uzbekistan; Lomonosov Moscow State University; University of Belgrade; University of Nebraska System</t>
  </si>
  <si>
    <t>Xiang, CL (通讯作者)，Chinese Acad Sci, Kunming Inst Bot, CAS Key Lab Plant Divers &amp; Biogeog East Asia, Kunming 650201, Yunnan, Peoples R China.;Drew, BT (通讯作者)，Univ Nebraska Kearney, Dept Biol, Kearney, NE 68849 USA.</t>
  </si>
  <si>
    <t>bdrewfb@yahoo.com; xiangchunlei@mail.kib.ac.cn</t>
  </si>
  <si>
    <t>Lazarevic, Predrag/0000-0001-8988-5551; Xiang, Chunlei/0000-0001-8775-6967</t>
  </si>
  <si>
    <t>National Natural Science Foundation of China [31800168]; Yunnan Fundamental Research Projects [2019FI009]; Ten Thousand Talents Program of Yunnan [YNWR-QNBJ-2018-279]; open research project of the Germplasm Bank of Wild Species, Kunming Institute of Botany, Chinese Academy of Sciences; United States National Science Foundation [DEB-1655611]; Institute of Botany of the Academy of Sciences of the Republic of Uzbekistan [FZ-20200929321]; Scientific Project of the State Order of the Government of Russian Federation [121032500082-2]</t>
  </si>
  <si>
    <t>National Natural Science Foundation of China(National Natural Science Foundation of China (NSFC)); Yunnan Fundamental Research Projects; Ten Thousand Talents Program of Yunnan; open research project of the Germplasm Bank of Wild Species, Kunming Institute of Botany, Chinese Academy of Sciences; United States National Science Foundation(National Science Foundation (NSF)); Institute of Botany of the Academy of Sciences of the Republic of Uzbekistan; Scientific Project of the State Order of the Government of Russian Federation</t>
  </si>
  <si>
    <t>This work was supported by the National Natural Science Foundation of China (31800168 to YPC), the Yunnan Fundamental Research Projects (2019FI009 to CLX), the Ten Thousand Talents Program of Yunnan (YNWR-QNBJ-2018-279 to CLX), the open research project of the Germplasm Bank of Wild Species, Kunming Institute of Botany, Chinese Academy of Sciences (to CLX), the United States National Science Foundation (DEB-1655611 to BTD), the Institute of Botany of the Academy of Sciences of the Republic of Uzbekistan (FZ-20200929321 to TOT), and the Scientific Project of the State Order of the Government of Russian Federation to Lomonosov Moscow State University (121032500082-2 to MSN). We would like to thank the staff of following herbaria for their kind assistance in research facilities: BM, CDBI, E, IBSC, K, KUN, LE, MW, NAS, PE, SZ. We are grateful to Dr. Yong-Sheng Chen and Dr. Lu Sun for their help in data analyses, to Karolina Kodin for translating Budantsev's papers from Russian into English, and to Mr. Lian-Yi Li and Mr. Zhi-Jia Gu for their technical assistance in LM and SEM, respectively. Thanks are also extended to Dr. Bing Liu, Ms. Lei Jiang, the staff of herbaria BM, K, LE, MW, and PE, Cindy Newlander and Mike Kintgen from the Denver Botanical Gardens, and the Germplasm Bank of Wild Species in Southwest China for their help in providing leaf and/or seed material. We are also grateful to the Associate Editor Mark P. Simmons, Prof. Richard G. Olmstead, and an anonymous reviewer, for their valuable suggestions that greatly improved our manuscript.</t>
  </si>
  <si>
    <t>0748-3007</t>
  </si>
  <si>
    <t>1096-0031</t>
  </si>
  <si>
    <t>Cladistics</t>
  </si>
  <si>
    <t>10.1111/cla.12502</t>
  </si>
  <si>
    <t>Evolutionary Biology; Zoology</t>
  </si>
  <si>
    <t>3C2LU</t>
  </si>
  <si>
    <t>WOS:000776222100001</t>
  </si>
  <si>
    <t>Qin, WY; Zhang, T; Ge, MX; Zhou, HM; Xu, YH; Mu, RF; Huang, CG; Liu, DW; Huang, BR; Wang, Q; Kong, QH; Kong, QP; Li, F; Xiong, WY</t>
  </si>
  <si>
    <t>Qin, Wanying; Zhang, Ting; Ge, Mingxia; Zhou, Huimin; Xu, Yuhui; Mu, Rongfang; Huang, Chaoguang; Liu, Daowei; Huang, Bangrui; Wang, Qian; Kong, Qinghua; Kong, Qingpeng; Li, Fei; Xiong, Wenyong</t>
  </si>
  <si>
    <t>Hepatic RACK1 deletion disturbs lipid and glucose homeostasis independently of insulin resistance</t>
  </si>
  <si>
    <t>JOURNAL OF ENDOCRINOLOGY</t>
  </si>
  <si>
    <t>RACK1; bile acid; glucose metabolism; insulin sensitivity</t>
  </si>
  <si>
    <t>ENDOPLASMIC-RETICULUM STRESS; C-KINASE 1; HEPATOCELLULAR-CARCINOMA; STEROL 12-ALPHA-HYDROXYLASE; DOWN-REGULATION; ER STRESS; KAPPA-B; RECEPTOR; ACTIVATION; GROWTH</t>
  </si>
  <si>
    <t>Receptor for activated C kinase 1 (RACK1) is a versatile protein involved in multiple biological processes. In a previous study by Zhao et al., hepatic RACK1 deletion in mice led to an inhibition of autophagy, blocked autophagy-dependent lipolysis, and caused steatosis. Using the same mouse model (RACK1(hep-/-)), we revealed new roles of RACK1 in maintaining bile acid homeostasis and hepatic glucose uptake, which further affected circulatory lipid and glucose levels. To be specific, even under hepatic steatosis, the plasma lipids were generally reduced in RACK1(hep-/-) mouse, which was due to the suppression of intestinal lipid absorption. Accordingly, a decrease in total bile acid level was found in RACK1(hep-/-) livers, gallbladders, and small intestine tissues, and specific decrease of 12-hydroxylated bile acids was detected by liquid chromatography-mass spectrometry. Consistently, reduced expression of CYP8B1 was found. A decrease in hepatic glycogen storage was also observed, which might be due to the inhibited glucose uptake by GLUT2 insufficiency. Interestingly, RACK1-KO-inducing hepatic steatosis did not raise insulin resistance (IR) nor IR-inducing factors like endoplasmic reticulum stress and inflammation. In summary, this study uncovers that hepatic RACK1 might be required in maintaining bile acid homeostasis and glucose uptake in hepatocytes. This study also provides an additional case of hepatic steatosis disassociation with insulin resistance.</t>
  </si>
  <si>
    <t>Qin, Wanying</t>
  </si>
  <si>
    <t>[Qin, Wanying; Zhang, Ting; Zhou, Huimin; Xu, Yuhui; Mu, Rongfang; Huang, Bangrui; Wang, Qian; Kong, Qinghua; Li, Fei; Xiong, Wenyong] Chinese Acad Sci, Kunming Inst Bot, State Key Lab Phytochem &amp; Plant Resources West Chi, Kunming, Peoples R China; [Qin, Wanying; Zhang, Ting; Ge, Mingxia; Huang, Bangrui] Univ Chinese Acad Sci, Beijing, Peoples R China; [Ge, Mingxia; Kong, Qingpeng] Chinese Acad Sci, Kunming Inst Zool, State Key Lab Genet Resources &amp; Evolut, Key Lab Hlth Aging Res Yunnan Prov, Kunming, Yunnan, Peoples R China; [Huang, Chaoguang; Liu, Daowei; Huang, Bangrui; Wang, Qian; Xiong, Wenyong] Yunnan Univ, Yunnan Prov Ctr Res &amp; Dev Nat Prod, Sch Chem Sci &amp; Technol, Key Lab Med Chem Nat Resource,Minist Educ, Kunming, Peoples R China; [Li, Fei] Sichuan Univ, Sichuan Univ Oxford Univ Huaxi Gastrointestinal Ca, Frontiers Sci Ctr Dis Related Mol Network, Lab Metab &amp; Drug Induced Liver Injury,West China H, Chengdu, Peoples R China</t>
  </si>
  <si>
    <t>Chinese Academy of Sciences; Kunming Institute of Botany, CAS; Chinese Academy of Sciences; University of Chinese Academy of Sciences, CAS; Chinese Academy of Sciences; Kunming Institute of Zoology; Yunnan University; Sichuan University</t>
  </si>
  <si>
    <t>Li, F; Xiong, WY (通讯作者)，Chinese Acad Sci, Kunming Inst Bot, State Key Lab Phytochem &amp; Plant Resources West Chi, Kunming, Peoples R China.;Kong, QP (通讯作者)，Chinese Acad Sci, Kunming Inst Zool, State Key Lab Genet Resources &amp; Evolut, Key Lab Hlth Aging Res Yunnan Prov, Kunming, Yunnan, Peoples R China.;Xiong, WY (通讯作者)，Yunnan Univ, Yunnan Prov Ctr Res &amp; Dev Nat Prod, Sch Chem Sci &amp; Technol, Key Lab Med Chem Nat Resource,Minist Educ, Kunming, Peoples R China.;Li, F (通讯作者)，Sichuan Univ, Sichuan Univ Oxford Univ Huaxi Gastrointestinal Ca, Frontiers Sci Ctr Dis Related Mol Network, Lab Metab &amp; Drug Induced Liver Injury,West China H, Chengdu, Peoples R China.</t>
  </si>
  <si>
    <t>kongqp@mail.kiz.ac.cn; lifeib@mail.kib.ac.cn; xiong.wenyong@mail.kib.ac.cn</t>
  </si>
  <si>
    <t>Yunnan University; National Key R&amp;D Program of China [CZ21623201];  [2017YFC1700906];  [2019YFE0109200]</t>
  </si>
  <si>
    <t xml:space="preserve">Yunnan University; National Key R&amp;D Program of China; ; </t>
  </si>
  <si>
    <t>This study was supported by Yunnan University (CZ21623201) and the National Key R &amp; D Program of China (Grant 2017YFC1700906, 2019YFE0109200).</t>
  </si>
  <si>
    <t>BIOSCIENTIFICA LTD</t>
  </si>
  <si>
    <t>BRISTOL</t>
  </si>
  <si>
    <t>STARLING HOUSE, 1600 BRISTOL PARKWAY N, BRISTOL, ENGLAND</t>
  </si>
  <si>
    <t>0022-0795</t>
  </si>
  <si>
    <t>1479-6805</t>
  </si>
  <si>
    <t>J ENDOCRINOL</t>
  </si>
  <si>
    <t>J. Endocrinol.</t>
  </si>
  <si>
    <t>10.1530/JOE-22-0076</t>
  </si>
  <si>
    <t>Endocrinology &amp; Metabolism</t>
  </si>
  <si>
    <t>4F2QG</t>
  </si>
  <si>
    <t>WOS:000848359900002</t>
  </si>
  <si>
    <t>Ling, TC; Phokasem, P; Sinpoo, C; Yang, YP; Disayathanoowat, T</t>
  </si>
  <si>
    <t>Ling, Tial C.; Phokasem, Patcharin; Sinpoo, Chainarong; Yang, Yong-Ping; Disayathanoowat, Terd</t>
  </si>
  <si>
    <t>Microhabitat and Pollinator Differentiation Drive Reproductive Isolation between Two Sympatric Salvia Species (Lamiaceae)</t>
  </si>
  <si>
    <t>PLANTS-BASEL</t>
  </si>
  <si>
    <t>pollinator; microhabitat differentiation; floral isolation; reproductive isolation; pre- and post-pollination barriers; sympatric Salvia species</t>
  </si>
  <si>
    <t>STAMINAL LEVER MECHANISM; FLORAL DIVERSITY; POLLEN; SELECTION; GENETICS; REFLECT; SUCCESS; APIANA; PLANT</t>
  </si>
  <si>
    <t>Evaluation of multiple barriers contributing to reproductive isolation between sympatric plant species is key to understanding the mechanism of their coexistence; however, such investigations in biodiversity hotspots are still rare. In this study, we investigated and compared geography, microhabitat, phenology, flora, and pollinators, in addition to pollen-pistil interactions, seed production, and seed germination of the closely related sympatric Salvia digitaloides and S. flava on Yulong Snow Mountain, Southwestern Yunnan, China. The geographic distribution of these species overlapped, but their adaptation to physical and chemical properties of soil microhabitats differed. They shared the same flowering time but differed in flower size, style length, nectar volume, sugar concentration, and flower longevity. Both species shared bumblebees as effective pollinators, but flower constancy for the two species was relatively strong. Pollen tube growth, seed production, and seed germination were lower in interspecific than in intraspecific crosses. Our study suggested that microhabitat and pollinator isolation acted as the most important isolating barriers in maintaining the coexistence of the two Salvia species. Our study also highlighted that post-pollination barriers play an important role in preventing the gene flow between these two Salvia species.</t>
  </si>
  <si>
    <t>Ling, Tial C.</t>
  </si>
  <si>
    <t>[Ling, Tial C.; Phokasem, Patcharin; Sinpoo, Chainarong; Disayathanoowat, Terd] Chiang Mai Univ, Fac Sci, Dept Biol, Bee Protect Lab, Chiang Mai 50200, Thailand; [Ling, Tial C.; Yang, Yong-Ping] Chinese Acad Sci, Kunming Inst Bot, Key Lab Plant Divers &amp; Biogeog East Asia, Kunming 650201, Yunnan, Peoples R China; [Ling, Tial C.] Univ Chinese Acad Sci, Beijing 100049, Peoples R China; [Ling, Tial C.; Yang, Yong-Ping] Chinese Acad Sci, Inst Tibetan Plateau Res Kunming, Kunming Inst Bot, Kunming 650201, Yunnan, Peoples R China</t>
  </si>
  <si>
    <t>Chiang Mai University; Chinese Academy of Sciences; Kunming Institute of Botany, CAS; Chinese Academy of Sciences; University of Chinese Academy of Sciences, CAS; Chinese Academy of Sciences; Kunming Institute of Botany, CAS</t>
  </si>
  <si>
    <t>Disayathanoowat, T (通讯作者)，Chiang Mai Univ, Fac Sci, Dept Biol, Bee Protect Lab, Chiang Mai 50200, Thailand.;Yang, YP (通讯作者)，Chinese Acad Sci, Kunming Inst Bot, Key Lab Plant Divers &amp; Biogeog East Asia, Kunming 650201, Yunnan, Peoples R China.;Yang, YP (通讯作者)，Chinese Acad Sci, Inst Tibetan Plateau Res Kunming, Kunming Inst Bot, Kunming 650201, Yunnan, Peoples R China.</t>
  </si>
  <si>
    <t>yangyp@xtbg.ac.cn; terd.dis@cmu.ac.th.com</t>
  </si>
  <si>
    <t>Sinpoo, Chainarong/0000-0001-6155-6764; yang, yong ping/0000-0002-0327-2664</t>
  </si>
  <si>
    <t>Chinese Academy of Sciences-The World Academy of Sciences (CAS-TWAS) President's Fellowship; post-doctoral fellowship 2022, office of research administration, Chiang Mai University, Thailand [R000030568]</t>
  </si>
  <si>
    <t>Chinese Academy of Sciences-The World Academy of Sciences (CAS-TWAS) President's Fellowship; post-doctoral fellowship 2022, office of research administration, Chiang Mai University, Thailand</t>
  </si>
  <si>
    <t>We thank the editor and two anonymous reviewers for insightful comments that have improved this manuscript, Niu Ze Qing and Jian Yao (Institute of Zoology, CAS, Beijing, China) for identifying bee insect specimens, Demon P. Little (New York Botanical Garden, New York, USA) for constructive suggestions and English language revision, and Zong-Xin Ren (Kunming Institute of Botany, CAS, Kunming, China) and Pimonrat Tiansawat (Chiang Mai University, Thailand) for providing helpful comments and criticisms of this manuscript. We are grateful to Huan Liang and Zhi-Bin Tao (Wuhan Botanical Garden, CAS, Wuhan, China), Bernhardt (Saint Louis University, USA), and Amots Dafni (Haifa University, Israel) for helpful comments and discussion. T.C.L. also thanks Tao Zhi Bin (Wuhan Botanical Garden, CAS, Wuhan, China) for comments with the equations of reproductive isolation and Nina Regina M. Quibod (Xishuangbanna Tropical Botanical Garden, CAS, Menglun, China) for helping with the geographic distribution range map using ArcGIS. We are grateful to all the staff members of the Lijiang Alpine Botanical Garden for accommodation and support during the entire field work period. T.C.L. acknowledges the Chinese Academy of Sciences-The World Academy of Sciences (CAS-TWAS) President's Fellowship to carry out the research. T.C.L. is supported by the post-doctoral fellowship 2022, office of research administration, Chiang Mai University, Thailand grant number R000030568.</t>
  </si>
  <si>
    <t>2223-7747</t>
  </si>
  <si>
    <t>Plants-Basel</t>
  </si>
  <si>
    <t>10.3390/plants11182423</t>
  </si>
  <si>
    <t>4R4XO</t>
  </si>
  <si>
    <t>WOS:000856769200001</t>
  </si>
  <si>
    <t>Magige, EA; Fan, PZ; Wambulwa, MC; Milne, R; Wu, ZY; Luo, YH; Khan, R; Wu, HY; Qi, HL; Zhu, GF; Maity, D; Khan, I; Gao, LM; Liu, J</t>
  </si>
  <si>
    <t>Magige, Ephie A.; Fan, Peng-Zhen; Wambulwa, Moses C.; Milne, Richard; Wu, Zeng-Yuan; Luo, Ya-Huang; Khan, Raees; Wu, Hong-Yu; Qi, Hai-Ling; Zhu, Guang-Fu; Maity, Debabrata; Khan, Ikramullah; Gao, Lian-Ming; Liu, Jie</t>
  </si>
  <si>
    <t>Genetic Diversity and Structure of Persian Walnut (Juglans regia L.) in Pakistan: Implications for Conservation</t>
  </si>
  <si>
    <t>microsatellite; Juglans regia; genetic diversity; genetic structure; conservation; Pakistan</t>
  </si>
  <si>
    <t>NULL ALLELES; SSR-MARKERS; POPULATIONS; GENOTYPE; DIFFERENTIATION; REGENERATION; INFERENCE; PROGRAM; ANTHER; COMMON</t>
  </si>
  <si>
    <t>Persian (Common) walnut (Juglans regia L.) is a famous fruit tree species valued for its nutritious nuts and high-quality wood. Although walnut is widely distributed and plays an important role in the economy and culture of Pakistan, the genetic diversity and structure of its populations in the country remains poorly understood. Therefore, using 31 nuclear microsatellites, we assessed the genetic diversity and population structure of 12 walnut populations sampled across Pakistan. We also implemented the geostatistical IDW technique in ArcGIS to reveal hotspots of genetic diversity. Generally, the studied populations registered relatively low indices of genetic diversity (N-A = 3.839, H-O = 0.558, U-HE = 0.580), and eight populations had positive inbreeding coefficient (F 15 ) values. Low among-population differentiation was indicated by AMOVA, pairwise F-ST and D-C. STRUCTURE, PCoA and neighbor joining (NJ) analysis revealed a general lack of clear clustering in the populations except that one population in Upper Dir was clearly genetically distinct from the rest. Furthermore, the Mantel test showed no correlation between the geographic and genetic distance (r = 0.14, p = 0.22), while barrier analysis suggested three statistically significant genetic barriers. Finally, the spatial interpolation results indicated that populations in Ziarat, Kashmir, Dir, Swat, Chitral, and upper Dir had high intrapopulation genetic diversity, suggesting the need to conserve populations in those areas. The results from this study will be important for future breeding improvement and conservation of walnuts in Pakistan.</t>
  </si>
  <si>
    <t>Magige, Ephie A.</t>
  </si>
  <si>
    <t>[Magige, Ephie A.; Wambulwa, Moses C.; Wu, Zeng-Yuan; Luo, Ya-Huang; Wu, Hong-Yu; Gao, Lian-Ming; Liu, Jie] Chinese Acad Sci, Kunming Inst Bot, CAS Key Lab Plant Divers &amp; Biogeog East Asia, Kunming 650201, Yunnan, Peoples R China; [Magige, Ephie A.; Fan, Peng-Zhen; Wambulwa, Moses C.; Wu, Zeng-Yuan; Luo, Ya-Huang; Zhu, Guang-Fu; Gao, Lian-Ming; Liu, Jie] Chinese Acad Sci, Kunming Inst Bot, Germplasm Bank Wild Species, Kunming 650201, Yunnan, Peoples R China; [Magige, Ephie A.; Fan, Peng-Zhen; Wu, Zeng-Yuan; Wu, Hong-Yu; Zhu, Guang-Fu] Univ Chinese Acad Sci, Beijing 100049, Peoples R China; [Wambulwa, Moses C.] South Eastern Kenya Univ, Sch Sci &amp; Comp, Dept Life Sci, Kitui 17090200, Kenya; [Milne, Richard] Univ Edinburgh, Sch Biol Sci, Inst Mol Plant Sci, Edinburgh EH9 3JH, Midlothian, Scotland; [Khan, Raees] Univ Adelaide, Sch Biol Sci, Adelaide, SA 5005, Australia; [Qi, Hai-Ling] Yunnan Univ, Sch Ecol &amp; Environm Sci, Kunming 650091, Yunnan, Peoples R China; [Maity, Debabrata] Univ Calcutta, Dept Bot, Kolkata 700019, India; [Khan, Ikramullah] Abdul Wali Khan Univ Mardan, Dept Bot, Mardan 23200, KP, Pakistan; [Gao, Lian-Ming] Chinese Acad Sci, Kunming Inst Bot, Lijiang Forest Biodivers Natl Observat &amp; Res Stn, Lijiang 674100, Peoples R China</t>
  </si>
  <si>
    <t>Chinese Academy of Sciences; Kunming Institute of Botany, CAS; Chinese Academy of Sciences; Kunming Institute of Botany, CAS; Chinese Academy of Sciences; University of Chinese Academy of Sciences, CAS; University of Edinburgh; University of Adelaide; Yunnan University; University of Calcutta; Chinese Academy of Sciences; Kunming Institute of Botany, CAS</t>
  </si>
  <si>
    <t>Gao, LM; Liu, J (通讯作者)，Chinese Acad Sci, Kunming Inst Bot, CAS Key Lab Plant Divers &amp; Biogeog East Asia, Kunming 650201, Yunnan, Peoples R China.;Gao, LM; Liu, J (通讯作者)，Chinese Acad Sci, Kunming Inst Bot, Germplasm Bank Wild Species, Kunming 650201, Yunnan, Peoples R China.;Gao, LM (通讯作者)，Chinese Acad Sci, Kunming Inst Bot, Lijiang Forest Biodivers Natl Observat &amp; Res Stn, Lijiang 674100, Peoples R China.</t>
  </si>
  <si>
    <t>ephieawinomagige@mail.kib.ac.cn; fanpengzhen@mail.kib.ac.cn; mcwambulwa@gmail.com; r.milne@ed.ac.uk; wuzengyuan@mail.kib.ac.cn; luoyahuang@mail.kib.ac.cn; raeeskhanbotanist@gmail.com; hongyu@mail.kib.ac.cn; hailing@mail.kib.ac.cn; zhuguangfu@mail.kib.ac.cn; debabrata@gmail.com; ikramullah@awkum.edu.pk; gaolm@mail.kib.ac.cn; liujie@mail.kib.ac.cn</t>
  </si>
  <si>
    <t>Gao, Lianming/H-4527-2011; Khan, Ikramullah/GVT-1075-2022</t>
  </si>
  <si>
    <t>Gao, Lianming/0000-0001-9047-2658; Khan, Raees/0000-0003-1388-7141; Wambulwa, Moses/0000-0002-6373-5915</t>
  </si>
  <si>
    <t>National Natural Science Foundation of China [32170398, 31770367, 41971071]; Top-notch Young Talents Project of Yunnan Provincial Ten Thousand Talents Program'' [YNWR-QNBJ-2018-146]; Key Research Program of Frontier Sciences, CAS [ZDBS-LY-7001]; CAS Light ofWest China Program; Natural Science Foundation of Yunnan [202201AT070222]; CAS' Youth Innovation Promotion Association [2019385]; Chinese Academy of Sciences [KFJ-BRP-017-XX]; Postdoctoral International Exchange Program of the Office of China Postdoctoral Council; Postdoctoral Targeted Funding of Yunnan Province; Postdoctoral Research Fund of Yunnan Province</t>
  </si>
  <si>
    <t>National Natural Science Foundation of China(National Natural Science Foundation of China (NSFC)); Top-notch Young Talents Project of Yunnan Provincial Ten Thousand Talents Program''; Key Research Program of Frontier Sciences, CAS; CAS Light ofWest China Program; Natural Science Foundation of Yunnan(Natural Science Foundation of Yunnan Province); CAS' Youth Innovation Promotion Association; Chinese Academy of Sciences(Chinese Academy of Sciences); Postdoctoral International Exchange Program of the Office of China Postdoctoral Council; Postdoctoral Targeted Funding of Yunnan Province; Postdoctoral Research Fund of Yunnan Province</t>
  </si>
  <si>
    <t>This research was funded by the National Natural Science Foundation of China (32170398, 31770367, 41971071), Top-notch Young Talents Project of Yunnan Provincial Ten Thousand Talents Program (YNWR-QNBJ-2018-146), the Key Research Program of Frontier Sciences, CAS (ZDBS-LY-7001), CAS Light ofWest China Program, and Natural Science Foundation of Yunnan (202201AT070222). Zeng-Yuan Wu was supported by CAS' Youth Innovation Promotion Association (2019385), and Chinese Academy of Sciences (KFJ-BRP-017-XX). Moses C. Wambulwa was supported by the Postdoctoral International Exchange Program of the Office of China Postdoctoral Council, the Postdoctoral Targeted Funding and Postdoctoral Research Fund of Yunnan Province. Molecular experiments were performed at the Laboratory of Molecular Biology at the Germplasm Bank of Wild Species, Kunming Institute of Botany, Chinese Academy of Sciences.</t>
  </si>
  <si>
    <t>10.3390/plants11131652</t>
  </si>
  <si>
    <t>2W0BB</t>
  </si>
  <si>
    <t>WOS:000824198900001</t>
  </si>
  <si>
    <t>Huang, XJ; Chen, MY; Wang, LL; Yang, ML; Yang, NC; Li, ZH; Duan, YW</t>
  </si>
  <si>
    <t>Huang, Xiaojuan; Chen, Minyu; Wang, Linlin; Yang, Mingliu; Yang, Nacai; Li, Zhonghu; Duan, Yuanwen</t>
  </si>
  <si>
    <t>Phenotypic Selection in Halenia elliptica D. Don (Gentianaceae), an Alpine Biennial with Mixed Mating System</t>
  </si>
  <si>
    <t>phenotypic selection; selfing syndrome; mixed mating system; seed production; resource limitation; floral traits; spur length; Halenia elliptica</t>
  </si>
  <si>
    <t>POLLINATOR-MEDIATED SELECTION; POLLEN-OVULE RATIOS; FLORAL DISPLAY; NATURAL-SELECTION; SELF-FERTILIZATION; SPUR LENGTH; REPRODUCTIVE ASSURANCE; INBREEDING DEPRESSION; FLOWERING PHENOLOGY; PLANT REPRODUCTION</t>
  </si>
  <si>
    <t>The transition from outcrossing to selfing is a common evolutionary trend in flowering plants, and floral traits change significantly with the evolution of selfing. Whether or not plant traits are subjected to selection remains an open question in species with mixed mating systems. We examined phenotypic selection in two populations of Halenia elliptica with different selfing rates. We found that the pollen-ovule ratio, seed size, plant height, spur length, and pollinator visitation rate in the population with the higher selfing rate were lower than those in the population with the lower selfing rate. Selfing provides reproductive assurance for populations when pollinator service is low, and the floral traits that are associated with selfing syndrome are evident in populations with a higher selfing rate but are subjected to weak selection in each of the two populations with different selfing rates. Directional selection for an early flowering time indicated that late blooming flowers could experience a risk of seed development in alpine environments, and for large plants, selection indicated that seed production could be limited by the available resources. The floral traits that are associated with pollinator attraction and specialization could be subjected to weak selection at the plant level as selfing evolves, and the selective pressures that are independent of pollinators might not change significantly; highlighting the selective biotic and abiotic pressures that shape the morphological traits of plant species and their independence from the mating system.</t>
  </si>
  <si>
    <t>Huang, Xiaojuan</t>
  </si>
  <si>
    <t>[Huang, Xiaojuan; Li, Zhonghu] Northwest Univ, Coll Life Sci, Key Lab Resource Biol &amp; Biotechnol Western China, Minist Educ, Xian 710069, Peoples R China; [Huang, Xiaojuan; Chen, Minyu; Wang, Linlin; Yang, Nacai; Duan, Yuanwen] Chinese Acad Sci, Inst Tibetan Plateau Res Kunming, Kunming Inst Bot, Germplasm Bank Wild Species, Kunming 650201, Yunnan, Peoples R China; [Yang, Mingliu] Yunnan Univ, Sch Ecol &amp; Environm Sci, Kunming 650091, Yunnan, Peoples R China; [Duan, Yuanwen] Chinese Acad Sci, Kunming Inst Bot, Yunnan Lijiang Forest Ecosyst Natl Observat &amp; Res, Lijiang 674100, Peoples R China</t>
  </si>
  <si>
    <t>Northwest University Xi'an; Chinese Academy of Sciences; Kunming Institute of Botany, CAS; Yunnan University; Chinese Academy of Sciences; Kunming Institute of Botany, CAS</t>
  </si>
  <si>
    <t>Li, ZH (通讯作者)，Northwest Univ, Coll Life Sci, Key Lab Resource Biol &amp; Biotechnol Western China, Minist Educ, Xian 710069, Peoples R China.;Duan, YW (通讯作者)，Chinese Acad Sci, Inst Tibetan Plateau Res Kunming, Kunming Inst Bot, Germplasm Bank Wild Species, Kunming 650201, Yunnan, Peoples R China.;Duan, YW (通讯作者)，Chinese Acad Sci, Kunming Inst Bot, Yunnan Lijiang Forest Ecosyst Natl Observat &amp; Res, Lijiang 674100, Peoples R China.</t>
  </si>
  <si>
    <t>haungxiaojuan@mail.kib.ac.cn; minyu1115@hotmail.com; wanglinlin0328@mail.kib.ac.cn; yangml@mail.ynu.edu.cn; yangnc2022@126.com; lizhonghu@nwu.edu.cn; duanyw@mail.kib.ac.cn</t>
  </si>
  <si>
    <t>; Wang, Lin-Lin/L-1260-2013</t>
  </si>
  <si>
    <t>Duan, Yuan-Wen/0000-0002-8399-5116; Wang, Lin-Lin/0000-0002-1651-5274</t>
  </si>
  <si>
    <t>Second Tibetan Plateau Scientific Expedition, Research (STEP) program [2019QZKK0502]; Natural Science Foundation of China [31460096]; Applied and Basic Research Project of Yunnan Province [2018FA052]; Key Program of Research and Development of Shaanxi Province [2022ZDLSF06-02]</t>
  </si>
  <si>
    <t>Second Tibetan Plateau Scientific Expedition, Research (STEP) program; Natural Science Foundation of China(National Natural Science Foundation of China (NSFC)); Applied and Basic Research Project of Yunnan Province; Key Program of Research and Development of Shaanxi Province</t>
  </si>
  <si>
    <t>This work was financially supported by the Second Tibetan Plateau Scientific Expedition, Research (STEP) program (2019QZKK0502), the Natural Science Foundation of China (31460096), the Applied and Basic Research Project of Yunnan Province (2018FA052) and the Key Program of Research and Development of Shaanxi Province (2022ZDLSF06-02).</t>
  </si>
  <si>
    <t>10.3390/plants11111488</t>
  </si>
  <si>
    <t>1Z9RJ</t>
  </si>
  <si>
    <t>WOS:000809151700001</t>
  </si>
  <si>
    <t>Shi, Q; Sun, H; Timm, S; Zhang, SB; Huang, W</t>
  </si>
  <si>
    <t>Shi, Qi; Sun, Hu; Timm, Stefan; Zhang, Shibao; Huang, Wei</t>
  </si>
  <si>
    <t>Photorespiration Alleviates Photoinhibition of Photosystem I under Fluctuating Light in Tomato</t>
  </si>
  <si>
    <t>photorespiration; cyclic electron flow; photoinhibition; photoprotection; photosystem I</t>
  </si>
  <si>
    <t>CYCLIC ELECTRON FLOW; PROTON MOTIVE FORCE; CO2 ASSIMILATION; FLAVODIIRON PROTEINS; PHOTOSYNTHESIS; TRANSPORT; LEAF; PHOTOPROTECTION; CYANOBACTERIA; ACCLIMATION</t>
  </si>
  <si>
    <t>Fluctuating light (FL) is a typical natural light stress that can cause photodamage to photosystem I (PSI). However, the effect of growth light on FL-induced PSI photoinhibition remains controversial. Plants grown under high light enhance photorespiration to sustain photosynthesis, but the contribution of photorespiration to PSI photoprotection under FL is largely unknown. In this study, we examined the photosynthetic performance under FL in tomato (Lycopersicon esculentum) plants grown under high light (HL-plants) and moderate light (ML-plants). After an abrupt increase in illumination, the over-reduction of PSI was lowered in HL-plants, resulting in a lower FL-induced PSI photoinhibition. HL-plants displayed higher capacities for CO2 fixation and photorespiration than ML-plants. Within the first 60 s after transition from low to high light, PSII electron transport was much higher in HL-plants, but the gross CO2 assimilation rate showed no significant difference between them. Therefore, upon a sudden increase in illumination, the difference in PSII electron transport between HL- and ML-plants was not attributed to the Calvin-Benson cycle but was caused by the change in photorespiration. These results indicated that the higher photorespiration in HL-plants enhanced the PSI electron sink downstream under FL, which mitigated the over-reduction of PSI and thus alleviated PSI photoinhibition under FL. Taking together, we here for the first time propose that photorespiration acts as a safety valve for PSI photoprotection under FL.</t>
  </si>
  <si>
    <t>[Shi, Qi; Sun, Hu; Zhang, Shibao; Huang, Wei] Chinese Acad Sci, Kunming Inst Bot, Kunming 650201, Peoples R China; [Shi, Qi; Sun, Hu] Univ Chinese Acad Sci, Beijing 100049, Peoples R China; [Timm, Stefan] Univ Rostock, Plant Physiol Dept, D-18051 Rostock, Germany</t>
  </si>
  <si>
    <t>Chinese Academy of Sciences; Kunming Institute of Botany, CAS; Chinese Academy of Sciences; University of Chinese Academy of Sciences, CAS; University of Rostock</t>
  </si>
  <si>
    <t>shiqi@mail.kib.ac.cn; sunhu19@mails.ucas.ac.cn; stefan.timm@uni-rostock.de; sbzhang@mail.kib.ac.cn; huangwei@mail.kib.ac.cn</t>
  </si>
  <si>
    <t>Timm, Stefan/HII-7311-2022</t>
  </si>
  <si>
    <t>Timm, Stefan/0000-0003-3105-6296; Shi, Qi/0000-0003-1490-1937; Huang, Wei/0000-0003-1854-6995</t>
  </si>
  <si>
    <t>FundingThis work was supported by the National Natural Science Foundation of China (Grant 31971412), and the Project for Innovation Team of Yunnan Province (202105AE160012).</t>
  </si>
  <si>
    <t>10.3390/plants11020195</t>
  </si>
  <si>
    <t>YN5HG</t>
  </si>
  <si>
    <t>WOS:000747289000001</t>
  </si>
  <si>
    <t>Gao, MZ; Peng, XW; Tang, JR; Deng, J; Wang, F; Zhang, YJ; Zhao, P; Kan, H; Liu, Y</t>
  </si>
  <si>
    <t>Gao, Miaozi; Peng, Xiaowei; Tang, Junrong; Deng, Jia; Wang, Fang; Zhang, Yingjun; Zhao, Ping; Kan, Huan; Liu, Yun</t>
  </si>
  <si>
    <t>Anti-Inflammatory Effects of Camellia fascicularis Polyphenols via Attenuation of NF-kappa B and MAPK Pathways in LPS-Induced THP-1 Macrophages</t>
  </si>
  <si>
    <t>JOURNAL OF INFLAMMATION RESEARCH</t>
  </si>
  <si>
    <t>Camellia fascicularis; polyphenols; anti-inflammatory activity; NF-kappa B; MAPK</t>
  </si>
  <si>
    <t>LIPOPOLYSACCHARIDE-INDUCED INFLAMMATION; OXIDATIVE STRESS; CELLS; SUPPRESSION; ANTIOXIDANT; ACTIVATION; NRF2/HO-1; RESPONSES; PROTEIN; CANCER</t>
  </si>
  <si>
    <t>Purpose: Plant polyphenols possess beneficial functions against various diseases. This study aimed to identify phenolic ingredients in Camellia fascicularis (C. fascicularis) and investigate its possible underlying anti-inflammatory mechanism in lipopolysaccharide (LPS)-induced human monocytes (THP-1) macrophages. Methods: C. fascicularis polyphenols (CFP) were characterized by ultra-performance liquid chromatography (UPLC) combined with quadrupole-time-of-flight mass/mass spectrometry (Q-TOF-MS/MS). The THP-1 cells were differentiated into macrophages under the stimulation of phorbol 12-myristate 13-acetate (PMA) and then treated with LPS to build a cellular inflammation model. The cell viability was detected by CCK-8 assay. The levels of reactive oxygen species (ROS) were assessed by flow cytometry. The secretion and expression of inflammatory cytokines were tested by enzyme-linked immunosorbent assay (ELISA) and real-time polymerase chain reaction (RT-PCR). In addition, the nuclear factor-kappa B (NF-kappa B) and mitogen-activated protein kinase (MAPK) signaling pathways were analyzed by Western blotting. Results: Twelve phenolic constituents including (-)-epicatechin, casuariin, agastachoside, etc. in CFP were identified. The CCK-8 assay showed that CFP exhibited no significant cytotoxicity between 100 and 300 mu g/mL. After treated with CFP, the release of ROS was significantly suppressed. CFP inhibited inflammation in macrophages by attenuating the polarization of LPS-induced THP-1 macrophages, down-regulating the expression of the pro-inflammatory cytokines IL-6, IL-1 beta and TNF-alpha, and up-regulating the expression of the anti-inflammatory cytokine IL-10. Western blotting experiments manifested that CFP could markedly inhibit the phosphorylation of p65, ERK and JNK, thereby suppressing the activation of NF-kappa B and MAPK signaling pathways. Conclusion: These findings indicated that CFP exerted anti-inflammatory activity by inhibiting the activation NF-kappa B and MAPK pathways which may induce the secretion of pro-inflammatory cytokines. This study offers a reference for C. fascicularis as the source of developing natural, safe anti-inflammatory agents in the future.</t>
  </si>
  <si>
    <t>Gao, Miaozi</t>
  </si>
  <si>
    <t>[Gao, Miaozi; Tang, Junrong; Deng, Jia; Wang, Fang; Zhao, Ping; Kan, Huan; Liu, Yun] Southwest Forestry Univ, Key Lab Forest Resources Conservat &amp; Utilizat Sou, China Minist Educ, 300 Bailong Rd, Kunming 650224, Yunnan, Peoples R China; [Gao, Miaozi; Zhao, Ping] Southwest Forestry Univ, Key Lab State Forestry &amp; Grassland Adm Highly Eff, Kunming, Yunnan, Peoples R China; [Peng, Xiaowei; Kan, Huan; Liu, Yun] Southwest Forestry Univ, Sch Life Sci, Kunming, Yunnan, Peoples R China; [Zhang, Yingjun] Chinese Acad Sci, Kunming Inst Bot, State Key Lab Phytochem &amp; Plant Resources West Ch, Kunming, Yunnan, Peoples R China</t>
  </si>
  <si>
    <t>Zhao, P; Liu, Y (通讯作者)，Southwest Forestry Univ, Key Lab Forest Resources Conservat &amp; Utilizat Sou, China Minist Educ, 300 Bailong Rd, Kunming 650224, Yunnan, Peoples R China.</t>
  </si>
  <si>
    <t>hypzhao@yahoo.com; liuyun@swfu.edu.cn</t>
  </si>
  <si>
    <t>LIU, Yun/0000-0002-8947-3482</t>
  </si>
  <si>
    <t>National Natural Science Foundation of China [32060107]; Agricultural Basic Research Joint Project of Yunnan Province [2017FG001-084]</t>
  </si>
  <si>
    <t>National Natural Science Foundation of China(National Natural Science Foundation of China (NSFC)); Agricultural Basic Research Joint Project of Yunnan Province</t>
  </si>
  <si>
    <t>This work was supported by the National Natural Science Foundation of China (Grant No. 32060107) , and the Agricultural Basic Research Joint Project of Yunnan Province (Grant No. 2017FG001-084) .</t>
  </si>
  <si>
    <t>DOVE MEDICAL PRESS LTD</t>
  </si>
  <si>
    <t>ALBANY</t>
  </si>
  <si>
    <t>PO BOX 300-008, ALBANY, AUCKLAND 0752, NEW ZEALAND</t>
  </si>
  <si>
    <t>1178-7031</t>
  </si>
  <si>
    <t>J INFLAMM RES</t>
  </si>
  <si>
    <t>J. Inflamm. Res.</t>
  </si>
  <si>
    <t>10.2147/JIR.S349981</t>
  </si>
  <si>
    <t>Immunology</t>
  </si>
  <si>
    <t>YX7DR</t>
  </si>
  <si>
    <t>WOS:000754259600002</t>
  </si>
  <si>
    <t>Chen, L; Guo, JW; Anane, RF; Wang, Z; Chen, ZL; Gao, LK; Wen, GS; Zhao, MF</t>
  </si>
  <si>
    <t>Chen, Lu; Guo, Jianwei; Anane, Rex Frimpong; Wang, Zhe; Chen, Zeli; Gao, Like; Wen, Guosong; Zhao, Mingfu</t>
  </si>
  <si>
    <t>First Report of Capsicum chlorosis virus Infecting Chromolaena odorata in Yunnan, China</t>
  </si>
  <si>
    <t>PLANT DISEASE</t>
  </si>
  <si>
    <t>viruses and viroids; herbaceous; flowering plants; pathogen detection</t>
  </si>
  <si>
    <t>Chen, Lu</t>
  </si>
  <si>
    <t>[Chen, Lu; Wang, Zhe; Gao, Like; Zhao, Mingfu] Yunnan Agr Univ, Key Lab Agr Biodivers Pest Management China, Minist Educ, Kunming 650201, Yunnan, Peoples R China; [Chen, Lu; Wang, Zhe; Chen, Zeli; Gao, Like; Wen, Guosong; Zhao, Mingfu] Yunnan Agr Univ, Coll Agron &amp; Biotechnol, Res &amp; Dev Ctr Hlth Prod, Kunming 650201, Yunnan, Peoples R China; [Guo, Jianwei] Chinese Acad Sci, Kunming Inst Bot, Honghe Innovat Ctr Mt Futures, Honghe County 654400, Yunnan, Peoples R China; [Anane, Rex Frimpong] Chinese Acad Sci, Kunming Inst Zool, Ctr Excellence Anim Evolut &amp; Genet, Kunming 650223, Yunnan, Peoples R China; [Anane, Rex Frimpong] Chinese Acad Sci, Kunming Inst Zool, State Key Lab Genet Resources &amp; Evolut, Kunming 650223, Yunnan, Peoples R China; [Chen, Zeli; Wen, Guosong] Yunnan Agr Univ, Coll Agron &amp; Biotechnol, Kunming 650201, Yunnan, Peoples R China</t>
  </si>
  <si>
    <t>Yunnan Agricultural University; Yunnan Agricultural University; Chinese Academy of Sciences; Kunming Institute of Botany, CAS; Chinese Academy of Sciences; Kunming Institute of Zoology; Chinese Academy of Sciences; Kunming Institute of Zoology; Yunnan Agricultural University</t>
  </si>
  <si>
    <t>Zhao, MF (通讯作者)，Yunnan Agr Univ, Key Lab Agr Biodivers Pest Management China, Minist Educ, Kunming 650201, Yunnan, Peoples R China.;Zhao, MF (通讯作者)，Yunnan Agr Univ, Coll Agron &amp; Biotechnol, Res &amp; Dev Ctr Hlth Prod, Kunming 650201, Yunnan, Peoples R China.</t>
  </si>
  <si>
    <t>zhaomingfu@163.com</t>
  </si>
  <si>
    <t>Zhao, Mingfu/0000-0002-1186-7203</t>
  </si>
  <si>
    <t>National Natural Science Foundation of China [31860026]</t>
  </si>
  <si>
    <t>National Natural Science Foundation of China (31860026). Plant Dis. 106:1077, 2022; published online as https://doi.org/10.1094/PDIS-02-21-0341-PDN.Accepted for publication 3 September 2021.</t>
  </si>
  <si>
    <t>AMER PHYTOPATHOLOGICAL SOC</t>
  </si>
  <si>
    <t>ST PAUL</t>
  </si>
  <si>
    <t>3340 PILOT KNOB ROAD, ST PAUL, MN 55121 USA</t>
  </si>
  <si>
    <t>0191-2917</t>
  </si>
  <si>
    <t>1943-7692</t>
  </si>
  <si>
    <t>PLANT DIS</t>
  </si>
  <si>
    <t>PLANT DIS.</t>
  </si>
  <si>
    <t>MAR 28</t>
  </si>
  <si>
    <t>10.1094/PDIS-02-21-0341-PDN</t>
  </si>
  <si>
    <t>2U3VF</t>
  </si>
  <si>
    <t>WOS:000823088100078</t>
  </si>
  <si>
    <t>Peng, JY; Zhang, XS; Zhang, DG; Wang, Y; Deng, T; Huang, XH; Kuang, TH; Zhou, Q</t>
  </si>
  <si>
    <t>Peng, Jing-Yi; Zhang, Xiao-Shuang; Zhang, Dai-Gui; Wang, Yi; Deng, Tao; Huang, Xian-Han; Kuang, Tian-Hui; Zhou, Qiang</t>
  </si>
  <si>
    <t>Newly reported chloroplast genome of Sinosenecio albonervius Y. Liu &amp; Q. E. Yang and comparative analyses with other Sinosenecio species</t>
  </si>
  <si>
    <t>BMC GENOMICS</t>
  </si>
  <si>
    <t>Sinosenecio; Comparison of the chloroplast genome; Phylogenetic analysis</t>
  </si>
  <si>
    <t>PHYLOGENETIC ANALYSIS; PLANT MITOCHONDRIAL; CODON USAGE; ASTERACEAE; SEQUENCE; GENES; HUNAN; TOOL</t>
  </si>
  <si>
    <t>Background Sinosenecio B. Nordenstam (Asteraceae) currently comprises 44 species. To investigate the interspecific relationship, several chloroplast markers, including ndhC-trnV, rpl32-trnL, matK, and rbcL, are used to analyze the phylogeny of Sinosenecio. However, the chloroplast genomes of this genus have not been thoroughly investigated. We sequenced and assembled the Sinosenecio albonervius chloroplast genome for the first time. A detailed comparative analysis was performed in this study using the previously reported chloroplast genomes of three Sinosenecio species. Results The results showed that the chloroplast genomes of four Sinosenecio species exhibit a typical quadripartite structure. There are equal numbers of total genes, protein-coding genes and RNA genes among the annotated genomes. Per genome, 49-56 simple sequence repeats and 99 repeat sequences were identified. Thirty codons were identified as RSCU values greater than 1 in the chloroplast genome of S. albonervius based on 54 protein-coding genes, indicating that they showed biased usage. Among 18 protein-coding genes, 46 potential RNA editing sites were discovered. By comparing these chloroplast genomes' structures, inverted repeat regions and coding regions were more conserved than single-copy and non-coding regions. The junctions among inverted repeat and single-copy regions showed slight difference. Several hot spots of genomic divergence were detected, which can be used as new DNA barcodes for species identification. Phylogenetic analysis of the whole chloroplast genome showed that the four Sinosenecio species have close interspecific relationships. Conclusions The complete chloroplast genome of Sinosenecio albonervius was revealed in this study, which included a comparison of Sinosenecio chloroplast genome structure, variation, and phylogenetic analysis for related species. These will help future research on Sinosenecio taxonomy, identification, origin, and evolution to some extent.</t>
  </si>
  <si>
    <t>Peng, Jing-Yi</t>
  </si>
  <si>
    <t>[Peng, Jing-Yi; Zhang, Dai-Gui; Wang, Yi; Zhou, Qiang] Jishou Univ, Coll Biol &amp; Environm Sci, Jishou 416000, Hunan, Peoples R China; [Zhang, Xiao-Shuang; Deng, Tao; Huang, Xian-Han; Kuang, Tian-Hui] Chinese Acad Sci, Kunming Inst Bot, CAS Key Lab Plant Divers &amp; Biogeog East Asia, Kunming 650201, Yunnan, Peoples R China; [Zhang, Dai-Gui; Zhou, Qiang] Jishou Univ, Coll Hunan Prov, Key Lab Plant Resources Conservat &amp; Utilizat, Jishou 416000, Hunan, Peoples R China</t>
  </si>
  <si>
    <t>Jishou University; Chinese Academy of Sciences; Kunming Institute of Botany, CAS; Jishou University</t>
  </si>
  <si>
    <t>Zhou, Q (通讯作者)，Jishou Univ, Coll Biol &amp; Environm Sci, Jishou 416000, Hunan, Peoples R China.;Zhou, Q (通讯作者)，Jishou Univ, Coll Hunan Prov, Key Lab Plant Resources Conservat &amp; Utilizat, Jishou 416000, Hunan, Peoples R China.</t>
  </si>
  <si>
    <t>zhouqiang@jsu.edu.cn</t>
  </si>
  <si>
    <t>National Natural Science Foundation of China [31860117]</t>
  </si>
  <si>
    <t>This work was supported by the National Natural Science Foundation of China under Grant [31860117].</t>
  </si>
  <si>
    <t>1471-2164</t>
  </si>
  <si>
    <t>BMC Genomics</t>
  </si>
  <si>
    <t>10.1186/s12864-022-08872-3</t>
  </si>
  <si>
    <t>4L1QN</t>
  </si>
  <si>
    <t>WOS:000852409900007</t>
  </si>
  <si>
    <t>Zhao, KH; Li, LQ; Quan, H; Yang, JB; Zhang, ZR; Liao, ZH; Lan, XZ</t>
  </si>
  <si>
    <t>Zhao, Kaihui; Li, Lianqiang; Quan, Hong; Yang, Junbo; Zhang, Zhirong; Liao, Zhihua; Lan, Xiaozhong</t>
  </si>
  <si>
    <t>Comparative analyses of chloroplast genomes from Six Rhodiola species: variable DNA markers identification and phylogenetic relationships within the genus</t>
  </si>
  <si>
    <t>Rhodiola; Chloroplast genome; Divergent hotspots; Phylogenetic analysis</t>
  </si>
  <si>
    <t>GROUP CLASSIFICATION; FLOWERING PLANTS; PLASTID GENOMES; TRNH-PSBA; SEQUENCE; EVOLUTION; FAMILIES; REPEATS; UPDATE; ORDERS</t>
  </si>
  <si>
    <t>Background As a valuable medicinal plant, Rhodiola has a very long history of folk medicine used as an important adaptogen, tonic, and hemostatic. However, our knowledge of the chloroplast genome level of Rhodiola is limited. This drawback has limited studies on the identification, evolution, genetic diversity and other relevant studies on Rhodiola. Results Six Rhodiola complete chloroplast genomes were determined and compared to another Rhodiola cp genome at the genome scale. The results revealed a cp genome with a typical quadripartite and circular structure that ranged in size from 150,771 to 151,891 base pairs. High similarity of genome organization, gene number, gene order, and GC content were found among the chloroplast genomes of Rhodiola. 186 (R. wallichiana) to 200 (R. gelida) SSRs and 144 pairs of repeats were detected in the 6 Rhodiola cp genomes. Thirteen mutational hotspots for genome divergence were determined and could be used as candidate markers for phylogenetic analyses and Rhodiola species identification. The phylogenetic relationships inferred by members of Rhodiola cluster into two clades: dioecious and hermaphrodite. Our findings are helpful for understanding Rhodiola's taxonomic, phylogenetic, and evolutionary relationships. Conclusions Comparative analysis of chloroplast genomes of Rhodiola facilitates medicinal resource conservation, phylogenetic reconstruction and biogeographical research of Rhodiola.</t>
  </si>
  <si>
    <t>Zhao, Kaihui</t>
  </si>
  <si>
    <t>[Zhao, Kaihui; Li, Lianqiang; Quan, Hong; Lan, Xiaozhong] Tibet Agr &amp; Anim Husb Univ, Joint Lab Tibetan Mat Med Resources Sci Protect &amp;, Prov &amp; Ministerial Cofounded Collaborat Innovat C, Ctr Xizang Chinese Tibetan Med Resource,Tibetan M, Nyingchi 860000, TN, Peoples R China; [Quan, Hong] Tibet Agr &amp; Anim Husb Univ, Minist Educ, Key Lab Forest Ecol Tibet Plateau, Nyingchi 860000, TN, Peoples R China; [Liao, Zhihua] Southwest Univ, Prov &amp; Ministerial Cofounded Collaborat Innovat C, Integrat Sci Ctr Germplasm Creat, SWU TAAHC Med Plant Joint R&amp;D Ctr,Sch Life Sci, Chongqing 400715, Peoples R China; [Yang, Junbo; Zhang, Zhirong] Chinese Acad Sci, Kunming Inst Bot, Germplasm Bank Wild Species, Kunming 650201, Yunnan, Peoples R China</t>
  </si>
  <si>
    <t>Tibet Agriculture &amp; Animal Husbandry University; Tibet Agriculture &amp; Animal Husbandry University; Southwest University - China; Chinese Academy of Sciences; Kunming Institute of Botany, CAS</t>
  </si>
  <si>
    <t>Lan, XZ (通讯作者)，Tibet Agr &amp; Anim Husb Univ, Joint Lab Tibetan Mat Med Resources Sci Protect &amp;, Prov &amp; Ministerial Cofounded Collaborat Innovat C, Ctr Xizang Chinese Tibetan Med Resource,Tibetan M, Nyingchi 860000, TN, Peoples R China.</t>
  </si>
  <si>
    <t>lanxiaozhong@163.com</t>
  </si>
  <si>
    <t>Tibet Autonomous Region Office and School Joint Foundation [XZ202001ZR0038G]; National Natural Science Foundation of China [81660628]; Special Support Plan for the Talent of Fifth WANREN Plan in China [2020-366]; Forth National Survey of Traditional Chinese Medicine Resources, Chinese or Tibet Medicinal Resources Investigation in Tibet Autonomous Region (State Administration of Chinese Traditional Medicine) [20190411-542222]; Key R&amp;D program of Yunnan Province, China [202103AC100003]; Large-scale Scientific Facilities of the Chinese Academy of Sciences [2017-LSF-GBOWS-02]</t>
  </si>
  <si>
    <t>Tibet Autonomous Region Office and School Joint Foundation; National Natural Science Foundation of China(National Natural Science Foundation of China (NSFC)); Special Support Plan for the Talent of Fifth WANREN Plan in China; Forth National Survey of Traditional Chinese Medicine Resources, Chinese or Tibet Medicinal Resources Investigation in Tibet Autonomous Region (State Administration of Chinese Traditional Medicine); Key R&amp;D program of Yunnan Province, China; Large-scale Scientific Facilities of the Chinese Academy of Sciences</t>
  </si>
  <si>
    <t>This work was supported by the Tibet Autonomous Region Office and School Joint Foundation (Grant No. XZ202001ZR0038G), The National Natural Science Foundation of China (Grant No. 81660628), The Special Support Plan for the Talent of Fifth WANREN Plan in China(Grant No.2020-366),The Forth National Survey of Traditional Chinese Medicine Resources, Chinese or Tibet Medicinal Resources Investigation in Tibet Autonomous Region (State Administration of Chinese Traditional Medicine 20190411-542222), The Key R&amp;D program of Yunnan Province, China (grant no. 202103AC100003), The Large-scale Scientific Facilities of the Chinese Academy of Sciences (Grant No. 2017-LSF-GBOWS-02).</t>
  </si>
  <si>
    <t>AUG 11</t>
  </si>
  <si>
    <t>10.1186/s12864-022-08834-9</t>
  </si>
  <si>
    <t>3S9FV</t>
  </si>
  <si>
    <t>WOS:000839894000001</t>
  </si>
  <si>
    <t>Niu, LZ; Xu, W; Ma, PF; Guo, ZH; Li, DZ</t>
  </si>
  <si>
    <t>Niu, Liang-Zhong; Xu, Wei; Ma, Peng-Fei; Guo, Zhen-Hua; Li, De-Zhu</t>
  </si>
  <si>
    <t>Single-base methylome analysis reveals dynamic changes of genome-wide DNA methylation associated with rapid stem growth of woody bamboos</t>
  </si>
  <si>
    <t>PLANTA</t>
  </si>
  <si>
    <t>DNA methylation; Gene expression; Internode elongation; Jasmonic acid; Woody bamboos</t>
  </si>
  <si>
    <t>PHENYLALANINE AMMONIA-LYASE; MOLECULAR CHARACTERIZATION; CYTOSINE METHYLTRANSFERASE; INTERNODE ELONGATION; TRANSCRIPTION FACTOR; H3 LYSINE-9; ARABIDOPSIS; EXPRESSION; DEMETHYLATION; PROTEIN</t>
  </si>
  <si>
    <t>Main conclusion CG and CHG methylation levels in the rapid shoot growth stages (ST2-ST4) of woody bamboos were obviously decreased, which might regulate the internode elongation during rapid shoot growth, while CHH methylation was strongly associated with shoot developmental time or age. DNA methylation plays a critical role in the regulation of plant growth and development. Woody bamboos have a unique trait of rapid stem growth resulted from internode elongation at the shooting period. However, it is still unclear whether DNA methylation significantly controls the bamboo rapid stem growth. Here we present whole-genome DNA methylation profiles of the paleotropical woody bamboo Bonia amplexicaulis at five newly defined stages of shoot growth, named ST1-ST5. We found that CG and CHG methylation levels in the rapid shoot growth stages (ST2-ST4) were significantly lower than in the incubation (ST1) and plateau stages (ST5). The changes in methylation levels mainly occurred in flanking regions of genes and gene body regions, and 23647 differentially methylated regions (DMRs) were identified between ST1 and rapid shoot growth stages (ST2-ST4). Combined with transcriptome analysis, we found that DMR-related genes enriched in the auxin and jasmonic acid (JA) signal transduction, and other pathways closely related to plant growth. Intriguingly, CHH methylation was not involved in the rapid shoot growth, but strongly associated with shoot developmental time by gradually accumulating in transposable elements (TEs) regions. Overall, our results reveal the importance of DNA methylation in regulating the bamboo rapid shoot growth and suggest a role of DNA methylation associated with development time or age in woody bamboos.</t>
  </si>
  <si>
    <t>Niu, Liang-Zhong</t>
  </si>
  <si>
    <t>[Niu, Liang-Zhong; Xu, Wei; Ma, Peng-Fei; Guo, Zhen-Hua; Li, De-Zhu] Chinese Acad Sci, Kunming Inst Bot, Germplasm Bank Wild Species, 132 Lanhei Rd, Kunming 650201, Yunnan, Peoples R China; [Niu, Liang-Zhong; Guo, Zhen-Hua; Li, De-Zhu] Univ Chinese Acad Sci, Beijing 100049, Peoples R China</t>
  </si>
  <si>
    <t>Guo, ZH; Li, DZ (通讯作者)，Chinese Acad Sci, Kunming Inst Bot, Germplasm Bank Wild Species, 132 Lanhei Rd, Kunming 650201, Yunnan, Peoples R China.;Guo, ZH; Li, DZ (通讯作者)，Univ Chinese Acad Sci, Beijing 100049, Peoples R China.</t>
  </si>
  <si>
    <t>guozhenhua@mail.kib.ac.cn; DZL@mail.kib.ac.cn</t>
  </si>
  <si>
    <t>Chinese Academy of Sciences' Strategic Priority Research Program [31000000]; Science and Technology Leading Talent Project of Yunnan, China [2017HA014]; CAS' Youth Innovation Promotion Association [Y201972]; National Natural Science Foundation of China [31970355]</t>
  </si>
  <si>
    <t>Chinese Academy of Sciences' Strategic Priority Research Program; Science and Technology Leading Talent Project of Yunnan, China; CAS' Youth Innovation Promotion Association; National Natural Science Foundation of China(National Natural Science Foundation of China (NSFC))</t>
  </si>
  <si>
    <t>This work was supported by the Chinese Academy of Sciences' Strategic Priority Research Program (grant no. 31000000 to D.-Z.L.), and the Science and Technology Leading Talent Project of Yunnan, China (2017HA014 to D.-Z.L.), and the CAS' Youth Innovation Promotion Association (No. Y201972 to P.-F.M), and the National Natural Science Foundation of China (Project No. 31970355 to P.-F.Ma). We thank the iFlora High Performance Computing Center of Germplasm Bank of Wild Species (GBOWS) and Molecular Biology Experimental Platform of the GBOWS at Kunming Institute of Botany, Chinese Academy of Sciences for computational and experimental support.</t>
  </si>
  <si>
    <t>0032-0935</t>
  </si>
  <si>
    <t>1432-2048</t>
  </si>
  <si>
    <t>Planta</t>
  </si>
  <si>
    <t>10.1007/s00425-022-03962-8</t>
  </si>
  <si>
    <t>3L5SU</t>
  </si>
  <si>
    <t>WOS:000834822500001</t>
  </si>
  <si>
    <t>Deng, M; Yao, KP; Shi, CC; Shao, W; Li, QS</t>
  </si>
  <si>
    <t>Deng, Min; Yao, Kaiping; Shi, Chengcheng; Shao, Wen; Li, Qiansheng</t>
  </si>
  <si>
    <t>Development of Quercus acutissima (Fagaceae) pollen tubes inside pistils during the sexual reproduction process</t>
  </si>
  <si>
    <t>Delayed fertilization; Fagales; Male gametophyte-pistil interaction; Oak; Ovule</t>
  </si>
  <si>
    <t>CASTANEA-CRENATA SIEB; JAPANESE CHESTNUT; DOUBLE FERTILIZATION; TRANSMITTING TISSUE; CROSS-POLLINATION; MATING SYSTEM; GROWTH; OVULES; MODE; OAK</t>
  </si>
  <si>
    <t>Main conclusion Extensive histology of pistillate flowers revealed two pollen tube arresting sites (the style-joining and micropyle) within the pistil of Quercus acutissima during the postpollination-prezygotic stage, which reflects a unique female and male gametophyte recognition/selection mechanism. Sexual reproduction is among the most delicate and essential stages in plant life cycles and involves a series of precise interactions between pistils and male gametophytes. Quercus is a woody genus that dominates Northern Hemisphere forests and is notorious for interspecific hybridization, but its sexual reproduction is poorly understood, especially its pollen tube (PT) growth dynamics within pistils. This study used microtome techniques and scanning electron microscopy to observe the postpollination-prezygotic process in the biennially fruiting oak Quercus acutissima. Many pollen grains germinated at anthesis instantly, and PTs penetrated stigmatic surfaces and elongated through the stylar transmitting tissue, then arrested at style-joining for about 12-13 months. Few PTs resumed growth along the compitum in the upper ovarian locule wall in the subsequent April, concurrent with the rapid growth of rudimentary ovules. PTs arrived in the micropyle, and upper septum during megaspore mother cell meiosis, then arrested again for 7-10 days waiting for the embryo sac maturation. Fertilization occurred one week later. Our study shows a clear female dominant crosstalk growth pattern between PT and the ovule. The intermittent PT growth might reflect a unique male gametophyte recognition/selection mechanism to avoid self-pollination and enhance PT competition while increasing interspecific hybridization.</t>
  </si>
  <si>
    <t>Deng, Min</t>
  </si>
  <si>
    <t>[Deng, Min; Yao, Kaiping] Yunnan Univ, Sch Ecol &amp; Environm Sci, Kunming 650500, Yunnan, Peoples R China; [Deng, Min; Yao, Kaiping] Yunnan Univ, Yunnan Key Lab Plant Reprod Adaptat &amp; Evolutionar, Kunming 650504, Yunnan, Peoples R China; [Deng, Min; Yao, Kaiping] Yunnan Univ, Inst Biodivers, Kunming 650504, Yunnan, Peoples R China; [Deng, Min; Yao, Kaiping] Chinese Acad Sci, Kunming Inst Bot, Yunnan Key Lab Integrat Conservat Plant Species E, Kunming 650201, Yunnan, Peoples R China; [Shi, Chengcheng; Shao, Wen] Shanghai Chenshan Bot Garden, Shanghai 201602, Peoples R China; [Li, Qiansheng] Univ Florida, Hort Sci Dept, Gainesville, FL 32611 USA</t>
  </si>
  <si>
    <t>Yunnan University; Yunnan University; Yunnan University; Chinese Academy of Sciences; Kunming Institute of Botany, CAS; Chinese Academy of Sciences; State University System of Florida; University of Florida</t>
  </si>
  <si>
    <t>Li, QS (通讯作者)，Univ Florida, Hort Sci Dept, Gainesville, FL 32611 USA.</t>
  </si>
  <si>
    <t>li.q@ufl.edu</t>
  </si>
  <si>
    <t>Li, Qiansheng/0000-0003-0463-1590</t>
  </si>
  <si>
    <t>National Scientific Foundation of China (NSFC) [31972858]; Fund of Yunnan Key Laboratory for Integrative Conservation of Plant Species [PSESP2021F01]; Southeast Asia Biodiversity Research Institute, Chinese Academy of Sciences [Y4ZK111B01]</t>
  </si>
  <si>
    <t>National Scientific Foundation of China (NSFC)(National Natural Science Foundation of China (NSFC)); Fund of Yunnan Key Laboratory for Integrative Conservation of Plant Species; Southeast Asia Biodiversity Research Institute, Chinese Academy of Sciences</t>
  </si>
  <si>
    <t>We are thankful to Dr. Zhuo Feng (Institute of Palaeontology, Yunnan Key Laboratory for Palaeobiology, Yunnan University) for kindly providing the microscopy research platform; Xishuangbanna Station of Tropical Rainforest Ecosystem Studies, and Baima Snow Mountain complex ecosystem vertical transect Field Observation and research Station for their help on the field work; Jin-Jin Hu, Si-Si Zheng, Ying Li, Duoqing Lin, Xing Ning, and Fu Gao for their help on sampling the flower materials. This study was funded by the National Scientific Foundation of China (NSFC) 31972858, the Fund of Yunnan Key Laboratory for Integrative Conservation of Plant Species with Extremely Small Populations (PSESP2021F01), and the Southeast Asia Biodiversity Research Institute, Chinese Academy of Sciences (Y4ZK111B01).</t>
  </si>
  <si>
    <t>10.1007/s00425-022-03937-9</t>
  </si>
  <si>
    <t>2I6FD</t>
  </si>
  <si>
    <t>WOS:000815071200001</t>
  </si>
  <si>
    <t>Lu, L; Tibpromma, S; Karunarathna, SC; Jayawardena, RS; Lumyong, S; Xu, JC; Hyde, KD</t>
  </si>
  <si>
    <t>Lu, Li; Tibpromma, Saowaluck; Karunarathna, Samantha C.; Jayawardena, Ruvishika S.; Lumyong, Saisamorn; Xu, Jianchu; Hyde, Kevin D.</t>
  </si>
  <si>
    <t>Comprehensive Review of Fungi on Coffee</t>
  </si>
  <si>
    <t>PATHOGENS</t>
  </si>
  <si>
    <t>endophytes; fungal diseases; fungal toxins; pathogens; postharvest diseases</t>
  </si>
  <si>
    <t>HEMILEIA-VASTATRIX; LEAF RUST; ESSENTIAL OILS; ARABICA L.; CERCOSPORA-COFFEICOLA; ENDOPHYTIC FUNGI; WILT DISEASE; OCHRATOXIN; BEANS; GROWTH</t>
  </si>
  <si>
    <t>Coffee is grown in more than 80 countries as a cash crop and consumed worldwide as a beverage and food additive. It is susceptible to fungal infection during growth, processing and storage. Fungal infections, in particular, can seriously affect the quality of coffee and threaten human health. The data for this comprehensive review were collected from the United States Department of Agriculture, Agricultural Research Service (USDA ARS) website and published papers. This review lists the fungal species reported on coffee based on taxonomy, life mode, host, affected plant part and region. Five major fungal diseases and mycotoxin-producing species (post-harvest diseases of coffee) are also discussed. Furthermore, we address why coffee yield and quality are affected by fungi and propose methods to control fungal infections to increase coffee yield and improve quality. Endophytic fungi and their potential as biological control agents of coffee disease are also discussed.</t>
  </si>
  <si>
    <t>Lu, Li</t>
  </si>
  <si>
    <t>[Lu, Li; Hyde, Kevin D.] Zhong Kai Univ, Innovat Inst Plant Hlth, Guangzhou 510550, Peoples R China; [Lu, Li; Jayawardena, Ruvishika S.; Hyde, Kevin D.] Mae Fah Luang Univ, Ctr Excellence Fungal Res, Chiang Rai 57100, Thailand; [Lu, Li] Mae Fah Luang Univ, Sch Sci, Chiang Rai 57100, Thailand; [Tibpromma, Saowaluck; Karunarathna, Samantha C.] Qujing Normal Univ, Coll Biol Resource &amp; Food Engn, Ctr Yunnan Plateau Biol Resources Protect &amp; Utili, Qujing 655011, Peoples R China; [Lumyong, Saisamorn; Hyde, Kevin D.] Chiang Mai Univ, Res Ctr Microbial Divers &amp; Sustainable Utilizat, Chiang Mai 50200, Thailand; [Lumyong, Saisamorn] Chiang Mai Univ, Fac Sci, Dept Biol, Chiang Mai 50200, Thailand; [Lumyong, Saisamorn] Royal Soc Thailand, Acad Sci, Bangkok 10300, Thailand; [Xu, Jianchu] Chinese Acad Sci, Kunming Inst Bot, Ctr Mt Futures, Kunming 650201, Yunnan, Peoples R China; [Xu, Jianchu] World Agroforestry Ctr, CIFORI CRAF China Country Program, Kunming 650201, Yunnan, Peoples R China</t>
  </si>
  <si>
    <t>Mae Fah Luang University; Mae Fah Luang University; Chiang Mai University; Chiang Mai University; Chinese Academy of Sciences; Kunming Institute of Botany, CAS</t>
  </si>
  <si>
    <t>Hyde, KD (通讯作者)，Zhong Kai Univ, Innovat Inst Plant Hlth, Guangzhou 510550, Peoples R China.;Hyde, KD (通讯作者)，Mae Fah Luang Univ, Ctr Excellence Fungal Res, Chiang Rai 57100, Thailand.;Hyde, KD (通讯作者)，Chiang Mai Univ, Res Ctr Microbial Divers &amp; Sustainable Utilizat, Chiang Mai 50200, Thailand.</t>
  </si>
  <si>
    <t>6371105004@lamduan.mfu.ac.th; saowaluckfai@gmail.com; samanthakarunarathna@gmail.com; ruvishika.jay@mfu.ac.th; scboi009@gmail.com; jxu@mail.kib.ac.cn; kdhyde3@gmail.com</t>
  </si>
  <si>
    <t>Hyde, Kevin D/F-7890-2010; Jayawardena, Ruvishika/V-3592-2018</t>
  </si>
  <si>
    <t>Jayawardena, Ruvishika/0000-0001-7702-4885; Tibpromma, Saowaluck/0000-0002-4706-6547; Karunarathna, Samantha Chandranath/0000-0001-7080-0781; Xu, Jianchu/0000-0002-2485-2254; lu, li/0000-0003-0977-6414</t>
  </si>
  <si>
    <t>National Research Council of Thailand [NRCT5-TRG630010-01]; Thailand Research Fund for the grant Impact of climate change on fungal diversity and biogeography in the Greater Mekong Subregion [RDG6130001]; Department of Sciences and Technology of Yunnan Provincial Government, China [202101AS070045]</t>
  </si>
  <si>
    <t>National Research Council of Thailand(National Research Council of Thailand (NRCT)); Thailand Research Fund for the grant Impact of climate change on fungal diversity and biogeography in the Greater Mekong Subregion; Department of Sciences and Technology of Yunnan Provincial Government, China</t>
  </si>
  <si>
    <t>This research was funded by National Research Council of Thailand, grant for new researcher NRCT5-TRG630010-01, entitled Biodiversity, taxonomy, phylogeny, and evolution of Colletotrichum in northern Thailand, Thailand Research Fund for the grant Impact of climate change on fungal diversity and biogeography in the Greater Mekong Subregion, grant number RDG6130001 and the Department of Sciences and Technology of Yunnan Provincial Government, China, grant number 202101AS070045.</t>
  </si>
  <si>
    <t>2076-0817</t>
  </si>
  <si>
    <t>Pathogens</t>
  </si>
  <si>
    <t>10.3390/pathogens11040411</t>
  </si>
  <si>
    <t>0S2FC</t>
  </si>
  <si>
    <t>WOS:000786094500001</t>
  </si>
  <si>
    <t>Liu, D; Lin, L; Zhang, T; Xu, Q; Wang, ML; Gao, MH; Bhople, P; Pritchard, HW; Yang, XY; Yu, FQ</t>
  </si>
  <si>
    <t>Liu, Dong; Lin, Liang; Zhang, Tie; Xu, Qian; Wang, Mulan; Gao, Minghai; Bhople, Parag; Pritchard, Hugh W.; Yang, Xiangyun; Yu, Fuqiang</t>
  </si>
  <si>
    <t>Wild Panax plants adapt to their thermal environment by harboring abundant beneficial seed endophytic bacteria</t>
  </si>
  <si>
    <t>FRONTIERS IN ECOLOGY AND EVOLUTION</t>
  </si>
  <si>
    <t>hypothermal environment; bacterial endophytes; ginseng; seed microbiome; crop wild relatives; microbial community; network analysis</t>
  </si>
  <si>
    <t>VERTICAL TRANSMISSION; DIVERSITY; GINSENG; COLONIZATION; GENERA</t>
  </si>
  <si>
    <t>The seed microbiome of crop wild relatives is a potential reservoir of beneficial traits that potentially improve their host plant resilience to fluctuating environments and pathogenic threats. Herein, we studied the seed microbiome of three species of the medicinal genus Panax (P. vietnamensis, P. japonicas, and P. stipuleanatus) collected from seven locations in Southwest China. We used qPCR and metabarcoding high-throughput sequencing to target both endophytic bacteria and fungi. Seed bacterial absolute abundance (1.1 x 10(9)similar to 1.0 x 10(7) gene copy numbers per gram seed) was substantially higher than that of fungi (7.6 x 10(5)similar to 3.7 x 10(2)). Host plant genotype was the main driver of seed microbiome composition for both bacteria and fungi. Panax growing hypothermal environments significantly shaped their seed endophytic bacterial but not fungal microbiota. The three Panax species' seeds harbored unique microbes [averaged similar to 150 amplicon sequence variants (ASVs)], sharing only 12 bacterial ASVs (half affiliated to Halomonas) and four fungal ASVs. Network analysis showed that the Panax seed endophytic bacteria tend to form inter-weaved functional modules that are majorly connected by core members from the genus Halomonas, Pseudomonas, and Pantoea. These genera have been associated with nutrient cycling, plant, disease suppression, and tolerance to environmental fluctuation. Together, these novel insights may shade light on the ecological strategies of wild Panax plants adaptation to their thermal environment by possessing abundant beneficial seed endophytic bacteria.</t>
  </si>
  <si>
    <t>[Liu, Dong; Lin, Liang; Xu, Qian; Wang, Mulan; Pritchard, Hugh W.; Yang, Xiangyun; Yu, Fuqiang] Chinese Acad Sci, Kunming Inst Bot, Yunnan Key Lab Fungal Divers &amp; Green Dev, Germplasm Bank Wild Species, Kunming, Peoples R China; [Zhang, Tie] Wenshan Univ, Coll Notoginseng Med &amp; Pharm, Wenshan, Peoples R China; [Gao, Minghai] Wenshan Huaxin Notoginseng Technol Co Ltd, Wenshan, Peoples R China; [Bhople, Parag] Univ Limerick, Fac Sci &amp; Engn, Dept Biol Sci, Limerick, Ireland</t>
  </si>
  <si>
    <t>Chinese Academy of Sciences; Kunming Institute of Botany, CAS; Wenshan University; University of Limerick</t>
  </si>
  <si>
    <t>Yang, XY; Yu, FQ (通讯作者)，Chinese Acad Sci, Kunming Inst Bot, Yunnan Key Lab Fungal Divers &amp; Green Dev, Germplasm Bank Wild Species, Kunming, Peoples R China.</t>
  </si>
  <si>
    <t>yxy@mail.kib.ac.cn; fqyu@mail.kib.ac.cn</t>
  </si>
  <si>
    <t>2296-701X</t>
  </si>
  <si>
    <t>FRONT ECOL EVOL</t>
  </si>
  <si>
    <t>Front. Ecol. Evol.</t>
  </si>
  <si>
    <t>JUL 27</t>
  </si>
  <si>
    <t>10.3389/fevo.2022.967692</t>
  </si>
  <si>
    <t>3R0VP</t>
  </si>
  <si>
    <t>WOS:000838638700001</t>
  </si>
  <si>
    <t>Li, Y; Tang, JX; Qi, YC; Yang, F; Su, XH; Fu, J; Han, X; He, CH; Xu, YX; Zhan, K; Xia, HB; Wu, JS; Wang, L</t>
  </si>
  <si>
    <t>Li, Yi; Tang, Jinxiang; Qi, Yuechen; Yang, Fei; Su, Xiaohang; Fu, Jun; Han, Xiaonv; He, Caihua; Xu, Youxian; Zhan, Kang; Xia, Haibin; Wu, Jinsong; Wang, Lei</t>
  </si>
  <si>
    <t>Elevating herbivore-induced JA-Ile enhances potato resistance to the polyphagous beet armyworm but not to the oligophagous potato tuber moth</t>
  </si>
  <si>
    <t>PEST MANAGEMENT SCIENCE</t>
  </si>
  <si>
    <t>beet armyworm; potato tuber moth; JA-Ile hydroxylase; jasmonate</t>
  </si>
  <si>
    <t>NICOTIANA-ATTENUATA; JASMONIC ACID; DITERPENE GLYCOSIDES; DEFENSE RESPONSES; CHEMICAL DEFENSE; TOMATO PLANTS; BIOSYNTHESIS; TOBACCO; ACCUMULATION; INDUCTION</t>
  </si>
  <si>
    <t>Background The oligophagous potato tuber moth (PTM), Phthorimaea operculella, and the polyphagous beet armyworm (BAW), Spodoptera exigua, are two destructive pests of potato, and infestations can lead to serious reduction in potato yield. However, potato plant responses to the two herbivories are only poorly understood. Endogenous jasmonoyl-isoleucine (JA-Ile) is a signal responsible for the induction of plant anti-herbivore defenses. Elevation of JA-Ile by blocking its catabolism is considered to be an effective and sustainable approach to enhance plant resistance to insect pests. However, it is not clear whether this approach can enhance potato resistance to PTM and BAW. Results We demonstrated that the transcriptional changes induced by simulated PTM and BAW feeding overlap to a large extent, and that 81.5% of the PTM- and 90.5% of the BAW-responsive genes were commonly regulated. We also generated potato transgenic lines, irStCYP94B3s, in which the three JA-Ile hydroxylases were all simultaneously silenced. These lines exhibited enhanced resistance only to BAW, but not to PTM, although levels of JA-Ile and its downstream induced defensive chemicals, including caffeoylputrescine, dicaffeoylspermidine, lyciumoside II, and the nicotianosides I, II, and VII, were all present at higher levels in PTM-infested than in BAW-infested irStCYP94B3s lines. Conclusion Our results provide support for the hypothesis that StCYP94B3 genes are able to act as potential targets for the control of polyphagous insect pests in potato, and reveal that the oligophagous PTM has evolved an effective mechanism to cope with JA-Ile-induced anti-herbivore defenses. (c) 2022 Society of Chemical Industry.</t>
  </si>
  <si>
    <t>Li, Yi</t>
  </si>
  <si>
    <t>[Li, Yi; Tang, Jinxiang; Qi, Yuechen; Yang, Fei; Su, Xiaohang; Wu, Jinsong; Wang, Lei] Chinese Acad Sci, Kunming Inst Bot, Dept Econ Plants &amp; Biotechnol, Yunnan Key Lab Wild Plant Resources, Kunming 650201, Yunnan, Peoples R China; [Li, Yi; Xia, Haibin] Shaanxi Normal Univ, Coll Life Sci, Xian, Peoples R China; [Qi, Yuechen] Yunnan Univ, Sch Ecol &amp; Environm Sci, Kunming, Yunnan, Peoples R China; [Su, Xiaohang] Univ Chinese Acad Sci, Beijing, Peoples R China; [Fu, Jun] Yunnan State Farms Zhaotong Agr Investment Co Ltd, Zhaotong, Peoples R China; [Han, Xiaonv; He, Caihua; Xu, Youxian; Zhan, Kang] Xuanwei Seed Potato Res &amp; Dev Ctr, Xuanwei, Peoples R China</t>
  </si>
  <si>
    <t>Chinese Academy of Sciences; Kunming Institute of Botany, CAS; Shaanxi Normal University; Yunnan University; Chinese Academy of Sciences; University of Chinese Academy of Sciences, CAS</t>
  </si>
  <si>
    <t>Wang, L (通讯作者)，Chinese Acad Sci, Kunming Inst Bot, Dept Econ Plants &amp; Biotechnol, Yunnan Key Lab Wild Plant Resources, Kunming 650201, Yunnan, Peoples R China.</t>
  </si>
  <si>
    <t>leiwang@mail.kib.ac.cn</t>
  </si>
  <si>
    <t>Central Guidance on Local Science and Technology Development Fund of Yunnan Province [202107AC110014]; Technology Transfer into Yunnan Project [202003AD150005]</t>
  </si>
  <si>
    <t>Central Guidance on Local Science and Technology Development Fund of Yunnan Province; Technology Transfer into Yunnan Project</t>
  </si>
  <si>
    <t>This work was supported by the Central Guidance on Local Science and Technology Development Fund of Yunnan Province (202107AC110014), and the Technology Transfer into Yunnan Project (202003AD150005).</t>
  </si>
  <si>
    <t>1526-498X</t>
  </si>
  <si>
    <t>1526-4998</t>
  </si>
  <si>
    <t>PEST MANAG SCI</t>
  </si>
  <si>
    <t>Pest Manag. Sci.</t>
  </si>
  <si>
    <t>10.1002/ps.7205</t>
  </si>
  <si>
    <t>Agronomy; Entomology</t>
  </si>
  <si>
    <t>Agriculture; Entomology</t>
  </si>
  <si>
    <t>5F7CM</t>
  </si>
  <si>
    <t>WOS:000866469600001</t>
  </si>
  <si>
    <t>Li, J; He, PF; He, PB; Li, YM; Wu, YX; Lu, ZJ; Li, XY; Yang, YC; Wang, YH; Guo, J; Munir, S; He, YQ</t>
  </si>
  <si>
    <t>Li, Jian; He, Pengfei; He, Pengbo; Li, Yongmei; Wu, Yixin; Lu, Zhanjun; Li, Xingyu; Yang, Yongchao; Wang, Yuehu; Guo, Jun; Munir, Shahzad; He, Yueqiu</t>
  </si>
  <si>
    <t>Potential of citrus endophyte Bacillus subtilis L1-21 in the control of Candidatus Liberibacter asiaticus in Asian citrus psyllid, Diaphorina citri</t>
  </si>
  <si>
    <t>Bacillus subtilis; Diaphorina citri; citrus huanglongbing; endophyte; colonization</t>
  </si>
  <si>
    <t>ENTOMOPATHOGENIC FUNGI; VECTOR; INFECTION</t>
  </si>
  <si>
    <t>BACKGROUND Asian citrus psyllid (ACP), also known as Diaphorina citri, is the natural vector of Candidatus Liberibacter asiaticus (CLas), which is responsible for Huanglongbing (HLB), a devastating citrus disease. Previously, the pathogen was successfully excluded from diseased citrus plants by using the indigenous endophyte Bacillus subtilis L1-21. However, the pathogen elimination and colonization potential of B. subtilis L1-21 in the carrier vector ACP, as well as the recruitment of native microbial communities of psyllid in the presence of endophytes, are still unknown. RESULTS Initially, we suggested that endophyte L1-21 reduced the CLas copies in ACP from 6.58 x 10(6) to 5.04 x 10(4) per insect after 48 h, however, the pathogen copies remained stable in the negative control. The endophyte was stable for 48 h after application. Among the bacterial genera those highlighted in ACP were Candidatus Liberibacter, Pseudomonas, Candidatus Profftella, Methylobacterium-Methylorubrum, Pantoea, Curtobacterium, Wolbachia, Actinomycetospora, and Bacillus. Interestingly, B. subtilis L1-21 easily colonizes the midgut of ACP but cannot be detected in eggs. When ACP with endophyte L1-21 was allowed to feed on new citrus leaves, the highest colonization was observed. We also found that psyllids carrying endophyte L1-21 after feeding on citrus leaves reduced the CLas copies in leaves on the 0, 3rd and 5th day from 8.18 x 10,(4) 2.6 x 10,(3) and 0 pathogen copies/g fresh midvein, respectively. CONCLUSIONS We propose that B. subtilis L1-21 is a native endophyte in citrus and psyllid, which efficiently reduces the CLas pathogen in both citrus and psyllids, provides a more protective effect by increasing the number of cultivable endophytes, and successfully colonizes the midgut of ACP.</t>
  </si>
  <si>
    <t>Li, Jian</t>
  </si>
  <si>
    <t>[Li, Jian; He, Pengfei; He, Pengbo; Li, Yongmei; Wu, Yixin; Li, Xingyu; Munir, Shahzad; He, Yueqiu] Yunnan Agr Univ, State Key Lab Conservat &amp; Utilizat Bioresources Y, Kunming 655508, Yunnan, Peoples R China; [Lu, Zhanjun] Gannan Normal Univ, Coll Life Sci, Ganzhou, Peoples R China; [Yang, Yongchao] Honghe Univ, Coll Biol &amp; Agr Sci, Mengzi, Peoples R China; [Wang, Yuehu] Chinese Acad Sci, Kunming Inst Bot, Key Lab Econ Plants &amp; Biotechnol, Kunming, Yunnan, Peoples R China; [Guo, Jun] Yunnan Acad Agr Sci, Inst Trop &amp; Subtrop Cash Crops, Baoshan, Peoples R China</t>
  </si>
  <si>
    <t>Yunnan Agricultural University; Gannan Normal University; Honghe University; Chinese Academy of Sciences; Kunming Institute of Botany, CAS; Yunnan Academy of Agricultural Sciences</t>
  </si>
  <si>
    <t>Munir, S; He, YQ (通讯作者)，Yunnan Agr Univ, State Key Lab Conservat &amp; Utilizat Bioresources Y, Kunming 655508, Yunnan, Peoples R China.</t>
  </si>
  <si>
    <t>shahzad_munir@ynau.edu.cn; ynfh2007@163.com</t>
  </si>
  <si>
    <t>li, yong/HDN-3885-2022</t>
  </si>
  <si>
    <t>National Natural Science Foundation of China [32050410307, 32160672]; Yunnan Province Agricultural Joint Key Project [202101BD070001-016]; Central Government Fund for Local Science and Technology Development [202107AA110007]; China Postdoctoral Science Foundation [2020M683664XB]; Yunnan First-Level Research Fund for Post-doctoral Researchers [202103]; Yunnan Oriental Training Program Funding for Post-doctoral Researchers [YN2020409, YN2020410]</t>
  </si>
  <si>
    <t>National Natural Science Foundation of China(National Natural Science Foundation of China (NSFC)); Yunnan Province Agricultural Joint Key Project; Central Government Fund for Local Science and Technology Development; China Postdoctoral Science Foundation(China Postdoctoral Science Foundation); Yunnan First-Level Research Fund for Post-doctoral Researchers; Yunnan Oriental Training Program Funding for Post-doctoral Researchers</t>
  </si>
  <si>
    <t>This research was financially supported by the National Natural Science Foundation of China (32050410307; 32160672), Yunnan Province Agricultural Joint Key Project (202101BD070001-016), Central Government Fund for Local Science and Technology Development (202107AA110007), China Postdoctoral Science Foundation (2020M683664XB), Yunnan First-Level Research Fund for Post-doctoral Researchers (202103), and Yunnan Oriental Training Program Funding for Post-doctoral Researchers (No. YN2020409; YN2020410).</t>
  </si>
  <si>
    <t>10.1002/ps.7134</t>
  </si>
  <si>
    <t>5V2VZ</t>
  </si>
  <si>
    <t>WOS:000854589400001</t>
  </si>
  <si>
    <t>Wei, DP; Gentekaki, E; Hyde, KD; Xiao, YP; Luangharn, T; Tian, Q; Wang, YB; Lumyong, S</t>
  </si>
  <si>
    <t>Wei, De-Ping; Gentekaki, Eleni; Hyde, Kevin D.; Xiao, Yuan-Pin; Luangharn, Thatsanee; Tian, Qing; Wang, Yuan-Bing; Lumyong, Saisamorn</t>
  </si>
  <si>
    <t>DATABASE-THE JOURNAL OF BIOLOGICAL DATABASES AND CURATION</t>
  </si>
  <si>
    <t>LEVEL PHYLOGENETIC CLASSIFICATION; ONLINE PLATFORM; NOMENCLATURE; TAXA; ENTOMOPHTHOROMYCOTA; CORDYCEPS; PHYLUM</t>
  </si>
  <si>
    <t>Fungi are the major decomposers in terrestrial and aquatic ecosystems, playing essential roles in biogeochemical cycles and food webs. The Fungi kingdom encompasses a diverse array of taxa that often form intimate relationships with other organisms, including plants, insects, algae, cyanobacteria and even other fungi. Fungal parasites of insects are known as entomopathogenic fungi and are the causative agents of serious disease and/or mortality of their hosts. Entomopathogens produce distinct metabolic compounds with roles in pathogenicity, virulence and host-parasite interactions. Thus, the potential of discovering new bioactive compounds useful in biocontrol and pharmaceutical industries is high. Given the significance of entomopathogenic fungi, the rapid research advances and the increased interest, it has become necessary to organize all available and incoming data. The website https://invertebratefungi.org/ has been developed to serve this purpose by gathering and updating entomopathogenic genera/species information. Notes of entomopathogenic genera will be provided with emphasis on their taxonomic status. Information on other invertebrates, such as rotifers, will also be included. Descriptions, photographic plates, information on distribution and host (where applicable) along with molecular data and other interesting details will also be provided. The website is easily and freely accessible to users. Instructions concerning the platform architecture and functionality of the website are introduced herein. The platform is currently being expanded and will be continuously updated as part of the effort to enrich knowledge on this group of fungi.</t>
  </si>
  <si>
    <t>Wei, De-Ping</t>
  </si>
  <si>
    <t>[Wei, De-Ping; Hyde, Kevin D.] Chinese Acad Sci, Kunming Inst Bot, CAS Key Lab Plant Divers &amp; Biogeog East Asia, Kunming 650201, Yunnan, Peoples R China; [Wei, De-Ping; Gentekaki, Eleni; Hyde, Kevin D.; Xiao, Yuan-Pin; Luangharn, Thatsanee; Tian, Qing] Mae Fah Luang Univ, Ctr Excellence Fungal Res CEFR, Chiang Rai 57100, Thailand; [Wei, De-Ping] Chiang Mai Univ, Fac Agr, Dept Entomol &amp; Plant Pathol, Chiang Mai 50200, Thailand; [Gentekaki, Eleni; Xiao, Yuan-Pin; Tian, Qing] Mae Fah Luang Univ, Sch Sci, Chiang Rai 57100, Thailand; [Hyde, Kevin D.] Zhongkai Univ Agr &amp; Engn, Innovat Inst Plant Hlth, Guangzhou 510225, Peoples R China; [Wang, Yuan-Bing] Yunnan Univ, Int Joint Res Ctr Sustainable Utilizat Cordyceps, Kunming 650091, Yunnan, Peoples R China; [Lumyong, Saisamorn] Chiang Mai Univ, Fac Sci, Dept Biol, Chiang Mai 50200, Thailand; [Hyde, Kevin D.; Lumyong, Saisamorn] Chiang Mai Univ, Fac Sci, Res Ctr Microbial Divers &amp; Sustainable Utilizat, Chiang Mai 50200, Thailand; [Lumyong, Saisamorn] Royal Soc Thailand, Acad Sci, Bangkok 10300, Thailand</t>
  </si>
  <si>
    <t>Chinese Academy of Sciences; Kunming Institute of Botany, CAS; Mae Fah Luang University; Chiang Mai University; Mae Fah Luang University; Zhongkai University of Agriculture &amp; Engineering; Yunnan University; Chiang Mai University; Chiang Mai University</t>
  </si>
  <si>
    <t>Hyde, KD (通讯作者)，Chinese Acad Sci, Kunming Inst Bot, CAS Key Lab Plant Divers &amp; Biogeog East Asia, Kunming 650201, Yunnan, Peoples R China.;Hyde, KD (通讯作者)，Mae Fah Luang Univ, Ctr Excellence Fungal Res CEFR, Chiang Rai 57100, Thailand.;Hyde, KD (通讯作者)，Zhongkai Univ Agr &amp; Engn, Innovat Inst Plant Hlth, Guangzhou 510225, Peoples R China.;Hyde, KD (通讯作者)，Chiang Mai Univ, Fac Sci, Res Ctr Microbial Divers &amp; Sustainable Utilizat, Chiang Mai 50200, Thailand.</t>
  </si>
  <si>
    <t>elina19920601@gmail.com; kdhyde3@gmail.com; emmaypx@gmail.com; tianqing124@gmail.com; wangyb001@126.com</t>
  </si>
  <si>
    <t>Hyde, Kevin D/F-7890-2010; XIAO, YANG/GPW-5529-2022; yang, xiao/HJI-7815-2023</t>
  </si>
  <si>
    <t>xiao, yang/0000-0003-1246-7065</t>
  </si>
  <si>
    <t>Chinese Research Fund [E1644111K1]; Thailand Research Fund [DBG6080013]; Chiang Mai University</t>
  </si>
  <si>
    <t>Chinese Research Fund; Thailand Research Fund(Thailand Research Fund (TRF)); Chiang Mai University</t>
  </si>
  <si>
    <t>This work was supported by the Chinese Research Fund (project no E1644111K1) entitled `Flexible introduction of high-level expert program, Kunming institute of botany, Chinese academy of sciences'. The Thailand Research Fund (grant no DBG6080013) entitled `The future of specialist fungi in a changing climate: baseline data for generalist and specialist fungi associated with ants, Rhododendron species and Dracaena species' is acknowledged for its financial support. K.D.H. thanks Chiang Mai University for the award of Visiting Professor.</t>
  </si>
  <si>
    <t>1758-0463</t>
  </si>
  <si>
    <t>DATABASE-OXFORD</t>
  </si>
  <si>
    <t>Database</t>
  </si>
  <si>
    <t>APR 1</t>
  </si>
  <si>
    <t>baac021</t>
  </si>
  <si>
    <t>10.1093/database/baac021</t>
  </si>
  <si>
    <t>Mathematical &amp; Computational Biology</t>
  </si>
  <si>
    <t>0E6BY</t>
  </si>
  <si>
    <t>WOS:000776766100001</t>
  </si>
  <si>
    <t>Zhao, GJ; Chen, FJ; Yuan, C; Yang, JY; Shen, YX; Zhang, SY; Yang, JB; Ayemele, AG; Li, X; Xu, JC</t>
  </si>
  <si>
    <t>Zhao, Gaojuan; Chen, Fajun; Yuan, Chuang; Yang, Jingya; Shen, Youxin; Zhang, Shiyu; Yang, Jianbo; Ayemele, Aurele Gnetegha; Li, Xiong; Xu, Jianchu</t>
  </si>
  <si>
    <t>Response strategies of woody seedlings to shading and watering over time after topsoil translocation in dry-hot karst region of China</t>
  </si>
  <si>
    <t>FOREST ECOLOGY AND MANAGEMENT</t>
  </si>
  <si>
    <t>Topsoil translocation; Donor forest; Karst rocky desertification; Shading and watering; Seedling survival; Ecological restoration; Dry-hot valley</t>
  </si>
  <si>
    <t>ECOLOGICAL RESTORATION; BIOMASS ALLOCATION; SOIL TRANSLOCATION; SEED BANK; FOREST; GROWTH; LIGHT; DROUGHT; BIODIVERSITY; VEGETATION</t>
  </si>
  <si>
    <t>Translocating topsoil from an appropriate donor forest is a promising strategy to restore seriously degraded sites. However, some dominant or constructive species did not survive due to plant stress in the seedling stage, which ultimately led to a poor community structure and low similarity between new communities and donor forest. In this study, we replaced the topsoil of karst rocky desertification with forest topsoil and imposed different shading and watering treatments following quadratic saturation D-optimum design. Richness, abundance, height and base diameter of woody species (trees + shrubs) were measured yearly to construct mathematical equation between them and shade degrees (SD) and water quantity (WQ) by using multiple stepwise regression. Results displayed a positive linear relationship between richness of woody species and SD at the second year of topsoil translocation, which changed to a parabolic relationship at the fifth year with a maximum 30.8 species when SD was 37.5 %. The positive linear relationship between density of woody species, shrubs and trees and SD at the second year transformed into a parabolic relationship at the fifth year, and density reached maximum 6.3, 3.7 and 3.8 seedlings/m(2) when SD were 41.7, 38.9 and 45.0%, respectively. In contrast, the density of Paliurus orientalis and Sophora viciifolia turned into a negative linear relationship with SD at the fifth year. Moreover, although the effect of SD and WQ on height of woody species increased over time, shading inhibited base diameter of shrubs and height of Quercus cocciferoides, Sapium sebiferum and Fraxinus malacophylla at the fifth year. We concluded that no-shading and heavy shading reduced species diversity, and light to moderate shading should be recommended in first 2-3 years after topsoil translocation to enhance woody species survival and accelerate similar forest community establishment providing guidance for the management, regeneration and restoration of native forest in semi-arid areas.</t>
  </si>
  <si>
    <t>Zhao, Gaojuan</t>
  </si>
  <si>
    <t>[Zhao, Gaojuan; Chen, Fajun; Yuan, Chuang; Shen, Youxin] Chinese Acad Sci, Key Lab Trop Forest Ecol, Xishuangbanna Trop Bot Garden, Menglun 666303, Yunnan, Peoples R China; [Zhao, Gaojuan; Yang, Jingya; Yang, Jianbo; Ayemele, Aurele Gnetegha; Li, Xiong; Xu, Jianchu] Chinese Acad Sci, Ctr Mt Futures, Kunming Inst Bot, Kunming 650201, Yunnan, Peoples R China; [Chen, Fajun; Yuan, Chuang; Shen, Youxin] Chinese Acad Sci, Ctr Plant Ecol, Core Bot Gardens, Mengla 666303, Yunnan, Peoples R China; [Zhang, Shiyu] Mae Fah Luang Univ, Sch Sci, Chiang Rai 57100, Thailand; [Xu, Jianchu] World Agroforestry Ctr ICRAF, East &amp; Cent Asia Reg, Kunming 650201, Yunnan, Peoples R China; [Zhao, Gaojuan] Chinese Acad Sci, Honghe Ctr Mt Futures, Kunming Inst Bot, Honghe County 654400, Yunnan, Peoples R China</t>
  </si>
  <si>
    <t>Chinese Academy of Sciences; Xishuangbanna Tropical Botanical Garden, CAS; Chinese Academy of Sciences; Kunming Institute of Botany, CAS; Chinese Academy of Sciences; Mae Fah Luang University; Chinese Academy of Sciences; Kunming Institute of Botany, CAS</t>
  </si>
  <si>
    <t>Shen, YX (通讯作者)，Chinese Acad Sci, Key Lab Trop Forest Ecol, Xishuangbanna Trop Bot Garden, Menglun 666303, Yunnan, Peoples R China.;Xu, JC (通讯作者)，Chinese Acad Sci, Ctr Mt Futures, Kunming Inst Bot, Kunming 650201, Yunnan, Peoples R China.;Shen, YX (通讯作者)，Chinese Acad Sci, Ctr Plant Ecol, Core Bot Gardens, Mengla 666303, Yunnan, Peoples R China.;Xu, JC (通讯作者)，World Agroforestry Ctr ICRAF, East &amp; Cent Asia Reg, Kunming 650201, Yunnan, Peoples R China.</t>
  </si>
  <si>
    <t>yxshen@xtbg.ac.cn; jxu@mail.kib.ac.cn</t>
  </si>
  <si>
    <t>National Key Research and Development Program of China [2016YFC0502504]; National Natural Science Foundation of China [41671031]; Yunnan Provincial Science and Technology Department [202003AD150004, 202101AS070045]; Yunnan Provincial Key Laboratory Project [E03L081261]; Postdoctoral Research Program in Yunnan Province</t>
  </si>
  <si>
    <t>National Key Research and Development Program of China; National Natural Science Foundation of China(National Natural Science Foundation of China (NSFC)); Yunnan Provincial Science and Technology Department; Yunnan Provincial Key Laboratory Project; Postdoctoral Research Program in Yunnan Province</t>
  </si>
  <si>
    <t>This study was co-supported by the National Key Research and Development Program of China (2016YFC0502504) , the National Nat-ural Science Foundation of China (41671031) , Yunnan Provincial Sci-ence and Technology Department (202003AD150004) , Yunnan Provincial Science and Technology Department, Key Project (202101AS070045) , Yunnan Provincial Key Laboratory Project (E03L081261) and Postdoctoral Research Program in Yunnan Province. We are also very grateful to Jianshui Research Station, School of Soil and Water Conservation, Beijing Forestry University.</t>
  </si>
  <si>
    <t>0378-1127</t>
  </si>
  <si>
    <t>1872-7042</t>
  </si>
  <si>
    <t>FOREST ECOL MANAG</t>
  </si>
  <si>
    <t>For. Ecol. Manage.</t>
  </si>
  <si>
    <t>10.1016/j.foreco.2022.120319</t>
  </si>
  <si>
    <t>Forestry</t>
  </si>
  <si>
    <t>3I6KU</t>
  </si>
  <si>
    <t>WOS:000832823900003</t>
  </si>
  <si>
    <t>Monkai, J; Purahong, W; Nawaz, A; Wubet, T; Hyde, KD; Goldberg, SD; Mortimer, PE; Xu, JC; Harrison, RD</t>
  </si>
  <si>
    <t>Monkai, Jutamart; Purahong, Witoon; Nawaz, Ali; Wubet, Tesfaye; Hyde, Kevin D.; Goldberg, Stefanie D.; Mortimer, Peter E.; Xu, Jianchu; Harrison, Rhett D.</t>
  </si>
  <si>
    <t>Conversion of rainforest to rubber plantations impacts the rhizosphere soil mycobiome and alters soil biological activity</t>
  </si>
  <si>
    <t>LAND DEGRADATION &amp; DEVELOPMENT</t>
  </si>
  <si>
    <t>forest conversion; fungal diversity; Hevea brasiliensis; illumina sequencing; rhizosphere soil</t>
  </si>
  <si>
    <t>MICROBIAL COMMUNITIES; TROPICAL FOREST; RARE BIOSPHERE; CARBON-DIOXIDE; METHANE UPTAKE; RESPIRATION; PLANT; DIVERSITY; NITROGEN; FLUXES</t>
  </si>
  <si>
    <t>In Southeast Asia and Asia, large swathes of rainforest have been converted to rubber plantations, with major consequences for biodiversity and ecosystem services. However, the impact of this land use conversion on rhizosphere soil mycobiome has not yet been addressed. This study aimed to investigate how rhizosphere soil fungal communities and their associated biological activity (soil respiration, soil methane (CH4), and potential soil enzyme production) are impacted by the conversion of rainforest to rubber plantations. Fungal richness and community composition in rhizosphere soils collected from natural rainforests, immature rubber, and mature rubber plantations were analyzed using paired-end Illumina sequencing. The conversion of natural rainforest to rubber plantations significantly altered fungal community composition of specific functional groups (saprotrophs, pathogens, and mycorrhiza). We observed significant loss of saprotrophic and ectomycorrhizal fungi in natural rainforests, but enrichment of plant pathogenic fungi in immature rubber plantations. The mechanism underlying the effects of forest conversion on changes in fungal communities is related to reductions in soil pH, total nitrogen (N), and ammonium (NH4) in rubber plantations. Conversion to rubber plantation also resulted in decline of soil respiration rates and less potential for cellulase and chitinase productions. The significant negative correlations between fungal richness and soil respiration in mature rubber plantations indicated high competition among fungi and low nutrient availability in this system. We demonstrate the negative consequences of the conversion of rainforest to rubber plantations on soil biological activity and significant changes in fungal community composition that could threaten long-term ecosystem functions.</t>
  </si>
  <si>
    <t>Monkai, Jutamart</t>
  </si>
  <si>
    <t>[Monkai, Jutamart; Goldberg, Stefanie D.; Mortimer, Peter E.; Xu, Jianchu] Chinese Acad Sci, Kunming Inst Bot, CAS Key Lab Plant Biodivers &amp; Biogeog East Asia K, Kunming 650201, Yunnan, Peoples R China; [Monkai, Jutamart; Goldberg, Stefanie D.; Mortimer, Peter E.; Xu, Jianchu] Chinese Acad Sci, Kunming Inst Bot, Ctr Mt Ecosyst Studies, Kunming, Yunnan, Peoples R China; [Monkai, Jutamart; Xu, Jianchu] Univ Chinese Acad Sci, Beijing, Peoples R China; [Monkai, Jutamart; Goldberg, Stefanie D.; Xu, Jianchu] East &amp; Cent Asia, World Agroforestry Ctr, Kunming, Yunnan, Peoples R China; [Monkai, Jutamart; Hyde, Kevin D.] Mae Fah Luang Univ, Ctr Excellence Fungal Res, Chiang Rai, Thailand; [Purahong, Witoon; Nawaz, Ali] UFZ Helmholtz Ctr Environm Res, Dept Soil Ecol, Halle, Germany; [Nawaz, Ali] Tech Univ Munich, Chair Urban Water Syst Engn, Coulombwall 3, Garching, Germany; [Wubet, Tesfaye] German Ctr Integrat Biodivers Res iDiv, Halle Jena Leipzig, Leipzig, Germany; [Wubet, Tesfaye] UFZ Helmholtz Ctr Environm Res, Dept Community Ecol, Halle, Germany; [Harrison, Rhett D.] World Agroforestry Ctr, Lusaka, Zambia</t>
  </si>
  <si>
    <t>Chinese Academy of Sciences; Kunming Institute of Botany, CAS; Chinese Academy of Sciences; Kunming Institute of Botany, CAS; Chinese Academy of Sciences; University of Chinese Academy of Sciences, CAS; Mae Fah Luang University; Helmholtz Association; Helmholtz Center for Environmental Research (UFZ); Technical University of Munich; Helmholtz Association; Helmholtz Center for Environmental Research (UFZ)</t>
  </si>
  <si>
    <t>Mortimer, PE; Xu, JC (通讯作者)，Chinese Acad Sci, Kunming Inst Bot, CAS Key Lab Plant Biodivers &amp; Biogeog East Asia K, Kunming 650201, Yunnan, Peoples R China.</t>
  </si>
  <si>
    <t>ali.nawaz@tum.de; petermortimer@mac.com; jxu@mail.kib.ac.cn</t>
  </si>
  <si>
    <t>Hyde, Kevin D/F-7890-2010; Nawaz, Ali/N-3445-2019; Wubet, Tesfaye/C-6241-2012</t>
  </si>
  <si>
    <t>Nawaz, Ali/0000-0002-4413-6685; Purahong, Witoon/0000-0002-4113-6428; Wubet, Tesfaye/0000-0001-8572-4486; Monkai, Jutamart/0000-0001-6043-0625</t>
  </si>
  <si>
    <t>National Natural Science Foundation of China [31861143002]; Yunnan Provincial Science and Technology Department of China [202101AS070045]</t>
  </si>
  <si>
    <t>National Natural Science Foundation of China(National Natural Science Foundation of China (NSFC)); Yunnan Provincial Science and Technology Department of China</t>
  </si>
  <si>
    <t>This research was supported by the National Natural Science Foundation of China (Grant No: 31861143002) and also by the Yunnan Provincial Science and Technology Department of China (Grant No. 202101AS070045). On behalf of the Government of the Federal Republic of Germany. The authors thank the staff of NRWNNR, farmers, and villagers for their kind assistance with the field work. The authors are grateful to Chakriya Sansupa for help with PICRUSt2 analysis. We also thank Austin Smith for English editing of the manuscript. Jutamart Monkai and Witoon Purahong contributed equally to this study.</t>
  </si>
  <si>
    <t>1085-3278</t>
  </si>
  <si>
    <t>1099-145X</t>
  </si>
  <si>
    <t>LAND DEGRAD DEV</t>
  </si>
  <si>
    <t>Land Degrad. Dev.</t>
  </si>
  <si>
    <t>10.1002/ldr.4395</t>
  </si>
  <si>
    <t>Environmental Sciences; Soil Science</t>
  </si>
  <si>
    <t>Environmental Sciences &amp; Ecology; Agriculture</t>
  </si>
  <si>
    <t>6C2NC</t>
  </si>
  <si>
    <t>WOS:000865340800001</t>
  </si>
  <si>
    <t>Zhang, W; Zhang, SB; Fan, ZX</t>
  </si>
  <si>
    <t>Zhang, Wei; Zhang, Shi-Bao; Fan, Ze-Xin</t>
  </si>
  <si>
    <t>Quantifying the nitrogen allocation and resorption for an orchid pseudobulb in relation to nitrogen supply</t>
  </si>
  <si>
    <t>SCIENTIA HORTICULTURAE</t>
  </si>
  <si>
    <t>Pleione; Nitrogen addition; Hysteranthous; Reproductive cost; Epiphytic plant; Isotope labeling</t>
  </si>
  <si>
    <t>NUTRIENT RESORPTION; EPIPHYTIC ORCHIDS; SENESCING LEAVES; FRUIT PRODUCTION; GROWTH; PATTERNS; EFFICIENCY; BIOMASS; CARBON; PLANTS</t>
  </si>
  <si>
    <t>As the main organ for storing water and nutrients, pseudobulbs are of central importance to the growth and survival of orchids. Quantifying nitrogen allocation and resorption of pseudobulbs is important for understanding the survival and adaptation strategies of orchids, but studies in this area are still lacking due to the complicated integration effect between pseudobulbs of different ages. In this study, nitrogen allocation to each organ and nitrogen resorption of Pleione aurita, an epiphytic orchid characterized by annually renewed pseudobulbs, were examined quantitatively under three nitrogen levels using 15N labeling. We found the old pseudobulb can act as a sink for exogenous nitrogen, although it had a much lower sink activity than the developing new pseudobulb. The single leaf accounted for the largest proportion of both exogenous and pseudobulb-stored nitrogen among all organs and in three nitrogen treatments, and the fruit tended to use pseudobulb-stored nitrogen preferentially regardless of exogenous nitrogen supply. The resorption of nitrogen in the leaf and pseudobulb was highly efficient, but decreased with increasing nitrogen supply. Overall, positive biomass accumulation was only observed in plants with exogenous nitrogen supply, while all fruit-bearing plants lost more than 30% of their biomass after a growing season regardless of nitrogen supply. The P. aurita plants exhibited a strong low nitrogen tolerance with only a slight loss of biomass for those nitrogen deficient and fruitless plants. Surprisingly, an increase in the nitrogen pool of the whole-plant was always observed regardless of biomass loss in fruit-bearing plants after nitrogen addition. Our results suggest an important role of the pseudobulb in the nitrogen economy of P. aurita, and the high dependence of the reproduction process on the pseudobulb-stored nitrogen. The findings will help to understand the adaptive strategies of orchids, and contribute to the conservation of endangered species.</t>
  </si>
  <si>
    <t>Zhang, Wei</t>
  </si>
  <si>
    <t>[Zhang, Wei; Fan, Ze-Xin] Chinese Acad Sci, Key Lab Trop Forest Ecol, Xishuangbanna Trop Bot Garden, Mengla 666303, Yunan, Peoples R China; [Zhang, Wei; Fan, Ze-Xin] Chinese Acad Sci, Ctr Plant Ecol, Core Bot Gardens, Mengla 666303, Yunnan, Peoples R China; [Zhang, Shi-Bao] Chinese Acad Sci, Kunming Inst Bot, Key Lab Econ Plants &amp; Biotechnol, Kunming 650201, Yunnan, Peoples R China</t>
  </si>
  <si>
    <t>Chinese Academy of Sciences; Xishuangbanna Tropical Botanical Garden, CAS; Chinese Academy of Sciences; Chinese Academy of Sciences; Kunming Institute of Botany, CAS</t>
  </si>
  <si>
    <t>Fan, ZX (通讯作者)，Chinese Acad Sci, Key Lab Trop Forest Ecol, Xishuangbanna Trop Bot Garden, Mengla 666303, Yunan, Peoples R China.;Fan, ZX (通讯作者)，Chinese Acad Sci, Ctr Plant Ecol, Core Bot Gardens, Mengla 666303, Yunnan, Peoples R China.;Zhang, SB (通讯作者)，Chinese Acad Sci, Kunming Inst Bot, Key Lab Econ Plants &amp; Biotechnol, Kunming 650201, Yunnan, Peoples R China.</t>
  </si>
  <si>
    <t>sbzhang@mail.kib.ac.cn; fanzexin@xtbg.org.cn</t>
  </si>
  <si>
    <t>Fan, Zexin/E-2344-2016; Fan, Ze-Xin/ABG-7176-2020</t>
  </si>
  <si>
    <t>Fan, Zexin/0000-0003-4623-6783; Fan, Ze-Xin/0000-0003-4623-6783</t>
  </si>
  <si>
    <t>National Natural Science Foun-dation of China [31800275, 31971411]; China Postdoctoral Science Foundation [2018M643550]; Project for Innovation Team of Yunnan Province [202105AE160012]; Project for Construction of Interna-tional Flower Technology Innovation Center [2019ZG006]</t>
  </si>
  <si>
    <t>National Natural Science Foun-dation of China(National Natural Science Foundation of China (NSFC)); China Postdoctoral Science Foundation(China Postdoctoral Science Foundation); Project for Innovation Team of Yunnan Province; Project for Construction of Interna-tional Flower Technology Innovation Center</t>
  </si>
  <si>
    <t>We thank Dr. John A. Meadows for proofreading and editing. This work was financially supported by the National Natural Science Foun-dation of China (31800275, 31971411) , China Postdoctoral Science Foundation (2018M643550) , the Project for Innovation Team of Yunnan Province (202105AE160012) , and Project for Construction of Interna-tional Flower Technology Innovation Center and Achievement Indus-trialization (2019ZG006) .</t>
  </si>
  <si>
    <t>0304-4238</t>
  </si>
  <si>
    <t>1879-1018</t>
  </si>
  <si>
    <t>SCI HORTIC-AMSTERDAM</t>
  </si>
  <si>
    <t>Sci. Hortic.</t>
  </si>
  <si>
    <t>10.1016/j.scienta.2021.110580</t>
  </si>
  <si>
    <t>SEP 2021</t>
  </si>
  <si>
    <t>Horticulture</t>
  </si>
  <si>
    <t>UX9LV</t>
  </si>
  <si>
    <t>WOS:000701158400004</t>
  </si>
  <si>
    <t>Liu, T; Liao, QH; Yu, FQ; Zi, SH; Tian, SH; Fan, LY</t>
  </si>
  <si>
    <t>Liu Tao; Liao Qiuhong; Yu Fuqiang; Zi Shuhui; Tian Suohui; Fan Linyuan</t>
  </si>
  <si>
    <t>Plant growth-promoting activities of bacterial endophytes isolated from the medicinal plant Pairs polyphylla var. yunnanensis</t>
  </si>
  <si>
    <t>WORLD JOURNAL OF MICROBIOLOGY &amp; BIOTECHNOLOGY</t>
  </si>
  <si>
    <t>P; polyphylla var; yunnanensis; Endophytic bacteria; Growth-promoting ability</t>
  </si>
  <si>
    <t>RHIZOBACTERIA PGPR; PAENIBACILLUS; YIELD</t>
  </si>
  <si>
    <t>Pairs polyphylla var. yunnanensis (Paris L.) is a valuable medicinal plant used in traditional Chinese medicine. The market demand for P. polyphylla has increased over time, but it has slow growth and a low natural propagation rate. Endophytic bacteria are bioactive microorganisms that form a mutualistic relationship with host plants in long-term coordinated evolution, and they can promote the growth and accumulation of effective components in host plants. The aims of this study were to identify endophytic bacteria of P. polyphylla and to characterize their properties in promoting plant growth. A total of 10 endophytic bacteria were isolated from rhizomes of P. polyphylla. The isolated endophytes exhibited a variable capacity for indole acetic acid production, phosphate solubilization and nitrogen fixation. To investigate the effects of the endophytes on plant growth, four endophyte strains, G5, J2, G20, and Y2, were selected to compare their ability to promote plant growth. The results indicated that microbial endophytes isolated from P. polyphylla rhizomes play a vital role in improving P. polyphylla plant growth and could be used as inoculants to establish a sustainable crop production system.</t>
  </si>
  <si>
    <t>Liu Tao</t>
  </si>
  <si>
    <t>[Liu Tao; Liao Qiuhong; Zi Shuhui; Tian Suohui] Yunnan Agr Univ, Coll Agr &amp; Biotechnol, Kunming 650201, Yunnan, Peoples R China; [Yu Fuqiang] Chinese Acad Sci, Kunming Inst Bot, Kunming 650201, Yunnan, Peoples R China; [Fan Linyuan] Yunnan Forest Seedling Stn, Kunming 650201, Yunnan, Peoples R China</t>
  </si>
  <si>
    <t>Fan, LY (通讯作者)，Yunnan Forest Seedling Stn, Kunming 650201, Yunnan, Peoples R China.</t>
  </si>
  <si>
    <t>52133490@qq.com</t>
  </si>
  <si>
    <t>National Nature Science Foundation of China [31860075]; Key R &amp; D program of Yunnan Province, China [202103AC100003]</t>
  </si>
  <si>
    <t>National Nature Science Foundation of China(National Natural Science Foundation of China (NSFC)); Key R &amp; D program of Yunnan Province, China</t>
  </si>
  <si>
    <t>This research was financially supported by the National Nature Science Foundation of China (Grant No. 31860075) and Key R &amp; D program of Yunnan Province, China (grant no. 202103AC100003).</t>
  </si>
  <si>
    <t>0959-3993</t>
  </si>
  <si>
    <t>1573-0972</t>
  </si>
  <si>
    <t>WORLD J MICROB BIOT</t>
  </si>
  <si>
    <t>World J. Microbiol. Biotechnol.</t>
  </si>
  <si>
    <t>10.1007/s11274-021-03194-0</t>
  </si>
  <si>
    <t>Biotechnology &amp; Applied Microbiology</t>
  </si>
  <si>
    <t>XL5FO</t>
  </si>
  <si>
    <t>WOS:000728170400001</t>
  </si>
  <si>
    <t>Hu, ZX; Zhang, P; Zou, JB; An, Q; Yi, P; Yuan, CM; Yang, J; Gu, W; Huang, LJ; Zhao, LH; Hao, XJ</t>
  </si>
  <si>
    <t>Hu, Zhan-Xing; Zhang, Peng; Zou, Ji-Bin; An, Qiao; Yi, Ping; Yuan, Chun-Mao; Yang, Jue; Gu, Wei; Huang, Lie-Jun; Zhao, Li-Hua; Hao, Xiao-Jiang</t>
  </si>
  <si>
    <t>Maillard Reaction Products with Anti-Tobacco Mosaic Virus Activities Generated in Processed Thermopsis lanceolata R. Br. Seed Extract</t>
  </si>
  <si>
    <t>JOURNAL OF ORGANIC CHEMISTRY</t>
  </si>
  <si>
    <t>DERIVATIVES; CYTISINE</t>
  </si>
  <si>
    <t>Six novel Maillard reaction products (MRPs) (1-6) were isolated from the processed Thermopsis lanceolata R. Br. seed extract, along with one biogenetically related intermediate (7). Compounds 1-4 possessed three rare dimerization patterns constructed by cytisine, whereas compounds 5 and 6 represented the first example of the addition products of cytisine and 5,6-dihydroxy-4-hexanolide. Their structures were elucidated by comprehensive spectroscopic data analysis and quantum chemistry calculations including GIAO C-13{H-1} NMR and ECD calculation, combined with single-crystal X-ray diffraction analysis. Biologically, compound 3 displayed significant anti-tobacco mosaic virus activity compared with the positive control ningnanmycin.</t>
  </si>
  <si>
    <t>Zhao, Li-Hua</t>
  </si>
  <si>
    <t>[Zhao, Li-Hua] Yunnan Acad Agr Sci, Inst Biotechnol &amp; Germplasm Resources, Kunming 650204, Peoples R China; [Hu, Zhan-Xing; Zhang, Peng; Zou, Ji-Bin; An, Qiao; Yi, Ping; Yuan, Chun-Mao; Yang, Jue; Gu, Wei; Huang, Lie-Jun; Hao, Xiao-Jiang] Guizhou Med Univ, State Key Lab Funct &amp; Applicat Med Plants, Guiyang 550014, Peoples R China; [Hu, Zhan-Xing; Zou, Ji-Bin; An, Qiao; Yi, Ping; Yuan, Chun-Mao; Yang, Jue; Gu, Wei; Huang, Lie-Jun; Hao, Xiao-Jiang] Chinese Acad Sci, Guiyang 550002, Peoples R China; [Hao, Xiao-Jiang] Chinese Acad Sci, Kunming Inst Bot, State Key Lab Phytochem &amp; Plant Resources West Chi, Kunming 650201, Peoples R China; [Zhang, Peng] Guizhou Univ Tradit Chinese Med, Guiyang 550025, Peoples R China; [Hu, Zhan-Xing; Zou, Ji-Bin; An, Qiao; Yi, Ping; Yuan, Chun-Mao; Yang, Jue; Gu, Wei; Huang, Lie-Jun; Hao, Xiao-Jiang] Key Lab Chem Nat Prod Guizhou Prov, Guiyang 550002, Peoples R China</t>
  </si>
  <si>
    <t>Yunnan Academy of Agricultural Sciences; Guizhou Medical University; Chinese Academy of Sciences; Chinese Academy of Sciences; Kunming Institute of Botany, CAS; Guizhou University of Traditional Chinese Medicine</t>
  </si>
  <si>
    <t>Zhao, LH (通讯作者)，Yunnan Acad Agr Sci, Inst Biotechnol &amp; Germplasm Resources, Kunming 650204, Peoples R China.;Hao, XJ (通讯作者)，Guizhou Med Univ, State Key Lab Funct &amp; Applicat Med Plants, Guiyang 550014, Peoples R China.;Hao, XJ (通讯作者)，Chinese Acad Sci, Guiyang 550002, Peoples R China.;Hao, XJ (通讯作者)，Chinese Acad Sci, Kunming Inst Bot, State Key Lab Phytochem &amp; Plant Resources West Chi, Kunming 650201, Peoples R China.;Hao, XJ (通讯作者)，Key Lab Chem Nat Prod Guizhou Prov, Guiyang 550002, Peoples R China.</t>
  </si>
  <si>
    <t>356429686@qq.com; haoxj@mail.kib.ac.cn</t>
  </si>
  <si>
    <t>National Natural Science Foundation of China [32160103, U1812403]; Science and Technology Department of Guizhou Province [QK H ZC- [2021] -YB181, QK H JC- [2020] -1Y398]; Special Project of Academic Young Cultivation and Innovation Exploration of Guizhou Medical University [QK H PTRC [2018] 5779-60]</t>
  </si>
  <si>
    <t>National Natural Science Foundation of China(National Natural Science Foundation of China (NSFC)); Science and Technology Department of Guizhou Province; Special Project of Academic Young Cultivation and Innovation Exploration of Guizhou Medical University</t>
  </si>
  <si>
    <t>The work was financially supported by the National Natural Science Foundation of China (32160103 and U1812403) , the Science and Technology Department of Guizhou Province (QK H ZC- [2021] -YB181 and QK H JC- [2020] -1Y398) , and the Special Project of Academic Young Cultivation and Innovation Exploration of Guizhou Medical University (QK H PTRC [2018] 5779-60) .</t>
  </si>
  <si>
    <t>0022-3263</t>
  </si>
  <si>
    <t>1520-6904</t>
  </si>
  <si>
    <t>J ORG CHEM</t>
  </si>
  <si>
    <t>J. Org. Chem.</t>
  </si>
  <si>
    <t>10.1021/acs.joc.2c00517</t>
  </si>
  <si>
    <t>4M7CS</t>
  </si>
  <si>
    <t>WOS:000849773200001</t>
  </si>
  <si>
    <t>Cayuela, H; Lemaitre, JF; Lena, JP; Ronget, V; Martinez-Solano, I; Muths, E; Pilliod, DS; Schmidt, BR; Sanchez-Montes, G; Gutierrez-Rodriguez, J; Pyke, G; Grossenbacher, K; Lenzi, O; Bosch, J; Beard, KH; Woolbright, LL; Lambert, BA; Green, DM; Jreidini, N; Garwood, JM; Fisher, RN; Matthews, K; Dudgeon, D; Lau, A; Speybroeck, J; Homan, R; Jehle, R; Baskale, E; Mori, E; Arntzen, JW; Joly, P; Stiles, RM; Lannoo, MJ; Maerz, JC; Lowe, WH; Valenzuela-Sanchez, A; Christiansen, DG; Angelini, C; Thirion, JM; Merila, J; Colli, GR; Vasconcellos, MM; Boas, TCV; Arantes, ID; Levionnois, P; Reinke, BA; Vieira, C; Marais, GAB; Gaillard, JM; Miller, DAW</t>
  </si>
  <si>
    <t>Cayuela, Hugo; Lemaitre, Jean-Francois; Lena, Jean-Paul; Ronget, Victor; Martinez-Solano, Inigo; Muths, Erin; Pilliod, David S.; Schmidt, Benedikt R.; Sanchez-Montes, Gregorio; Gutierrez-Rodriguez, Jorge; Pyke, Graham; Grossenbacher, Kurt; Lenzi, Omar; Bosch, Jaime; Beard, Karen H.; Woolbright, Lawrence L.; Lambert, Brad A.; Green, David M.; Jreidini, Nathalie; Garwood, Justin M.; Fisher, Robert N.; Matthews, Kathleen; Dudgeon, David; Lau, Anthony; Speybroeck, Jeroen; Homan, Rebecca; Jehle, Robert; Baskale, Eyup; Mori, Emiliano; Arntzen, Jan W.; Joly, Pierre; Stiles, Rochelle M.; Lannoo, Michael J.; Maerz, John C.; Lowe, Winsor H.; Valenzuela-Sanchez, Andres; Christiansen, Ditte G.; Angelini, Claudio; Thirion, Jean-Marc; Merila, Juha; Colli, Guarino R.; Vasconcellos, Mariana M.; Boas, Taissa C. V.; Arantes, isis da C.; Levionnois, Pauline; Reinke, Beth A.; Vieira, Cristina; Marais, Gabriel A. B.; Gaillard, Jean-Michel; Miller, David A. W.</t>
  </si>
  <si>
    <t>Sex-related differences in aging rate are associated with sex chromosome system in amphibians</t>
  </si>
  <si>
    <t>EVOLUTION</t>
  </si>
  <si>
    <t>Aging; senescence; sex chromosome; amphibians</t>
  </si>
  <si>
    <t>LIFE-SPAN; NATURAL-POPULATIONS; COMPARATIVE BIOLOGY; MORTALITY COSTS; EVOLUTION; TREE; SENESCENCE; SELECTION; INSIGHTS; MODELS</t>
  </si>
  <si>
    <t>Sex-related differences in mortality are widespread in the animal kingdom. Although studies have shown that sex determination systems might drive lifespan evolution, sex chromosome influence on aging rates have not been investigated so far, likely due to an apparent lack of demographic data from clades including both XY (with heterogametic males) and ZW (heterogametic females) systems. Taking advantage of a unique collection of capture-recapture datasets in amphibians, a vertebrate group where XY and ZW systems have repeatedly evolved over the past 200 million years, we examined whether sex heterogamy can predict sex differences in aging rates and lifespans. We showed that the strength and direction of sex differences in aging rates (and not lifespan) differ between XY and ZW systems. Sex-specific variation in aging rates was moderate within each system, but aging rates tended to be consistently higher in the heterogametic sex. This led to small but detectable effects of sex chromosome system on sex differences in aging rates in our models. Although preliminary, our results suggest that exposed recessive deleterious mutations on the X/Z chromosome (the unguarded X/Z effect) or repeat-rich Y/W chromosome (the toxic Y/W effect) could accelerate aging in the heterogametic sex in some vertebrate clades.</t>
  </si>
  <si>
    <t>Cayuela, Hugo</t>
  </si>
  <si>
    <t>[Cayuela, Hugo] Univ Lausanne, Dept Ecol &amp; Evolut, CH-1015 Lausanne, Switzerland; [Lemaitre, Jean-Francois; Marais, Gabriel A. B.; Gaillard, Jean-Michel] Univ Lyon 1, CNRS, Lab Biometrie &amp; Biol Evolut, UMR 5558, F-769622 Villeurbanne, France; [Lena, Jean-Paul; Joly, Pierre; Levionnois, Pauline] Univ Claude Bernard Lyon 1, CNRS, ENTPE, LEHNA,UMR5023, F-69622 Villeurbanne, France; [Ronget, Victor] Univ Paris Diderot, CNRS, Unite Ecoanthropol EA, Museum Natl Hist Nat, F-75016 Paris, France; [Martinez-Solano, Inigo; Sanchez-Montes, Gregorio; Gutierrez-Rodriguez, Jorge; Bosch, Jaime] CSIC, Museo Nacl Ciencias Nat, Madrid 28006, Spain; [Muths, Erin] US Geol Survey, Ft Collins Sci Ctr, Ft Collins, CO 80526 USA; [Pilliod, David S.] US Geol Survey, Forest &amp; Rangeland Ecosyst Sci Ctr, Boise, ID 83706 USA; [Schmidt, Benedikt R.; Lenzi, Omar; Christiansen, Ditte G.] Univ Zurich, Dept Evolutionary Biol &amp; Environm Studies, CH-8057 Zurich, Switzerland; [Schmidt, Benedikt R.] Info Fauna Karch, CH-2000 Neuchatel, Switzerland; [Gutierrez-Rodriguez, Jorge] Estn Biol Donana EBD CSIC, Dept Integrat Ecol, Seville, Spain; [Pyke, Graham] Chinese Acad Sci, Kunming Inst Bot, Key Lab Plant Divers &amp; Biogeog East Asia, Kunming 650201, Yunnan, Peoples R China; [Pyke, Graham] Macquarie Univ, Dept Biol Sci, Ryde, NSW 2109, Australia; [Grossenbacher, Kurt] Nat Hist Museum, Abt Wirbeltiere, CH-3005 Bern, Switzerland; [Bosch, Jaime] Univ Oviedo, UMIB Res Unit Biodivers CSIC, UO, PA, Campus Mieres, Mieres 33600, Spain; [Bosch, Jaime] Sierra Guadarrama Natl Pk, Ctr Invest Seguimiento &amp; Evaluac, Rascafria 28740, Spain; [Beard, Karen H.] Utah State Univ, Dept Wildland Resources, Logan, UT 84322 USA; [Beard, Karen H.] Utah State Univ, Ctr Ecol, Logan, UT 84322 USA; [Woolbright, Lawrence L.] Siena Coll, Biol Dept, Loudonville, NY 12211 USA; [Lambert, Brad A.] Colorado State Univ, Colorado Nat Heritage Program, Ft Collins, CO 80523 USA; [Green, David M.; Jreidini, Nathalie] McGill Univ, Redpath Museum, Montreal, PQ H3A 0C4, Canada; [Garwood, Justin M.] Calif Dept Fish &amp; Wildlife, Arcata, CA 95521 USA; [Fisher, Robert N.] US Geol Survey, Western Ecol Res Ctr, San Diego, CA 92101 USA; [Matthews, Kathleen] ARS, USDA, Pacific Southwest Res Stn, Albany, CA USA; [Dudgeon, David; Merila, Juha] Univ Hong Kong, Sch Biol Sci, Div Ecol &amp; Biodivers, Hong Kong, Peoples R China; [Lau, Anthony] Lingnan Univ, Sci Unit, Hong Kong, Peoples R China; [Speybroeck, Jeroen] Res Inst Nat &amp; Forest, B-1000 Brussels, Belgium; [Homan, Rebecca] Denison Univ, Dept Biol, Granville, OH 43023 USA; [Jehle, Robert] Univ Salford, Sch Sci Engn &amp; Environm, Salford, Lancs, England; [Baskale, Eyup] Pamukkale Univ, Fac Sci &amp; Arts, Dept Biol, Denizli, Turkey; [Mori, Emiliano] CNR, Ist Ric Ecosistemi Terrestri, I-50019 Sesto Fiorentino, Italy; [Arntzen, Jan W.] Naturalis Biodivers Ctr, Leiden, Netherlands; [Stiles, Rochelle M.] San Francisco Zool Soc, San Francisco, CA 94132 USA; [Lannoo, Michael J.] Indiana Univ, Sch Med TH, Terre Haute, IN 47809 USA; [Maerz, John C.] Univ Georgia, Warnell Sch Forestry &amp; Nat Resources, Athens, GA USA; [Lowe, Winsor H.] Univ Montana, Div Biol Sci, Missoula, MT 59812 USA; [Valenzuela-Sanchez, Andres] Univ Austral Chile, Fac Ciencias, Inst Ciencias Ambient &amp; Evolut, Valdivia 5090000, Chile; [Valenzuela-Sanchez, Andres] ONG Ranita Darwin, Valdivia 5112144, Chile; [Angelini, Claudio] Salamandrina Sezzese Search Soc, I-04018 Sezze, Italy; [Thirion, Jean-Marc] Objectifs Biodivers, F-17250 Pont Labbe Darnoult, France; [Merila, Juha] Univ Helsinki, Fac Biol &amp; Environm Sci, Ecol Genet Res Unit, Res Programme Organismal &amp; Evolutionary Biol, Helsinki 00014, Finland; [Colli, Guarino R.; Boas, Taissa C. V.] Univ Brasilia, Dept Zool, BR-70910900 Brasilia, DF, Brazil; [Vasconcellos, Mariana M.] CUNY, Dept Biol, City Coll New York, New York, NY 10021 USA; [Arantes, isis da C.] Univ Mississippi, Dept Biol, Oxford, MS 38677 USA; [Reinke, Beth A.] NE Illinois Univ, Dept Biol, Chicago, IL 60625 USA; [Marais, Gabriel A. B.] Univ Lisbon, Inst Super Agron, LEAF Linking Landscape Environm Agr &amp; Food, Lisbon, Portugal; [Miller, David A. W.] Penn State Univ, Dept Ecosyst Sci &amp; Management, University Pk, PA 16802 USA</t>
  </si>
  <si>
    <t>University of Lausanne; Centre National de la Recherche Scientifique (CNRS); CNRS - Institute of Ecology &amp; Environment (INEE); UDICE-French Research Universities; Universite Claude Bernard Lyon 1; VetAgro Sup; Centre National de la Recherche Scientifique (CNRS); CNRS - Institute of Ecology &amp; Environment (INEE); UDICE-French Research Universities; Universite Claude Bernard Lyon 1; Centre National de la Recherche Scientifique (CNRS); Museum National d'Histoire Naturelle (MNHN); UDICE-French Research Universities; Universite Paris Cite; Consejo Superior de Investigaciones Cientificas (CSIC); CSIC - Museo Nacional de Ciencias Naturales (MNCN); United States Department of the Interior; United States Geological Survey; United States Department of the Interior; United States Geological Survey; University of Zurich; Consejo Superior de Investigaciones Cientificas (CSIC); CSIC - Estacion Biologica de Donana (EBD); Chinese Academy of Sciences; Kunming Institute of Botany, CAS; Macquarie University; University of Oviedo; Utah System of Higher Education; Utah State University; Utah System of Higher Education; Utah State University; Colorado State University; McGill University; United States Department of the Interior; United States Geological Survey; United States Department of Agriculture (USDA); University of Hong Kong; Lingnan University; Research Institute for Nature &amp; Forest; Denison University; University of Salford; Pamukkale University; Consiglio Nazionale delle Ricerche (CNR); Naturalis Biodiversity Center; Indiana University System; University System of Georgia; University of Georgia; University of Montana System; University of Montana; Universidad Austral de Chile; University of Helsinki; Universidade de Brasilia; City University of New York (CUNY) System; City College of New York (CUNY); University of Mississippi; Universidade de Lisboa; Pennsylvania Commonwealth System of Higher Education (PCSHE); Pennsylvania State University; Pennsylvania State University - University Park</t>
  </si>
  <si>
    <t>Cayuela, H (通讯作者)，Univ Lausanne, Dept Ecol &amp; Evolut, CH-1015 Lausanne, Switzerland.</t>
  </si>
  <si>
    <t>hugo.cayuela51@gmail.com</t>
  </si>
  <si>
    <t>Bosch, Jaime/H-3042-2011; Fisher, Robert/AAA-7301-2022; Vasconcellos, Mariana Mira/L-4712-2016; Gutiérrez-Rodríguez, Jorge/O-5312-2019; Merila, Juha/A-4061-2008; Colli, Guarino Rinaldi/A-5368-2008; Schmidt, Benedikt R./B-8491-2008; Vieira, Cristina/Q-3137-2017; Sanchez-Montes, Gregorio/G-4964-2018; Martinez-Solano, Inigo/C-7179-2008</t>
  </si>
  <si>
    <t>Bosch, Jaime/0000-0002-0099-7934; Fisher, Robert/0000-0002-2956-3240; Vasconcellos, Mariana Mira/0000-0002-3175-2649; Gutiérrez-Rodríguez, Jorge/0000-0003-3968-5257; Merila, Juha/0000-0001-9614-0072; Colli, Guarino Rinaldi/0000-0002-2628-5652; Schmidt, Benedikt R./0000-0002-4023-1001; Speybroeck, Jeroen/0000-0002-7241-7804; Lenzi, Omar/0000-0003-1938-6786; Vieira, Cristina/0000-0003-3414-3993; Jreidini, Nathalie/0000-0002-2605-3050; Sanchez-Montes, Gregorio/0000-0001-8100-1061; Martinez-Solano, Inigo/0000-0002-2260-226X</t>
  </si>
  <si>
    <t>Vanier-Banting postdoctoral fellowship program; Swiss National Science Foundation (SNF) [31003A_182265]</t>
  </si>
  <si>
    <t>Vanier-Banting postdoctoral fellowship program; Swiss National Science Foundation (SNF)(Swiss National Science Foundation (SNSF))</t>
  </si>
  <si>
    <t>We thank researchers, technicians, and students as all everyone who contributed to collect the capture-recapture data used our study. We also thank Thomas Flatt (Associate Editor) and the three anonymous reviewers for their useful and constructive comments. HC was supported as a postdoctoral researcher by the Vanier-Banting postdoctoral fellowship program and the Swiss National Science Foundation (SNF grant number 31003A_182265). Any use of trade, firm, or product names is for descriptive purposes only and does not imply endorsement by the U.S. Government. This manuscript is contribution #782 of the USGS Amphibian Research and Monitoring Initiative.</t>
  </si>
  <si>
    <t>0014-3820</t>
  </si>
  <si>
    <t>1558-5646</t>
  </si>
  <si>
    <t>Evolution</t>
  </si>
  <si>
    <t>10.1111/evo.14410</t>
  </si>
  <si>
    <t>Ecology; Evolutionary Biology; Genetics &amp; Heredity</t>
  </si>
  <si>
    <t>Environmental Sciences &amp; Ecology; Evolutionary Biology; Genetics &amp; Heredity</t>
  </si>
  <si>
    <t>YZ0WR</t>
  </si>
  <si>
    <t>WOS:000740055600001</t>
  </si>
  <si>
    <t>Li, L; Liu, CK; Hou, KP; Liu, WZ</t>
  </si>
  <si>
    <t>Li, Li; Liu, Changkun; Hou, Kunpeng; Liu, Wenzhe</t>
  </si>
  <si>
    <t>Comparative Analyses of Plastomes of Four Anubias (Araceae) Taxa, Tropical Aquatic Plants Endemic to Africa</t>
  </si>
  <si>
    <t>GENES</t>
  </si>
  <si>
    <t>Anubias; aquarium plants; plastomes; positive selection</t>
  </si>
  <si>
    <t>NUCLEAR GENES; PHOTOSYSTEM-I; CHLOROPLAST; RNA; SEQUENCE; MITOCHONDRIAL; EXPRESSION; ALIGNMENT; TOOL</t>
  </si>
  <si>
    <t>Anubias Schott (Araceae) have high ornamental properties as aquarium plants. However, the genus has difficulties in species identification, and the mechanism of its adaptation to the aquatic environment is unknown. To better identify species and understand the evolutionary history of Anubias, the plastomes of Anubias barteri Schott, A. barteri var. nana (Engl.) Crusio, and A. hastifolia Engl., were sequenced. The sizes of the plastomes of Anubias ranged from 169,841 bp to 170,037 bp. These plastomes were composed of conserved quadripartite circular structures and comprised 112 unique genes, including 78 protein-coding genes, 30 transfer RNA genes, and 4 ribosomal RNA genes. The comparative analysis of genome structure, repeat sequences, codon usage and RNA editing sites revealed high similarities among the Anubias plastomes, indicating the conservation of plastomes of Anubias. Three spacer regions with relatively high nucleotide diversity, trnL-CAA-ndhB, ycf1-ndhF, and rps15-ycf1, were found within the plastomes of Anubias. Phylogenetic analysis, based on 75 protein-coding genes, showed that Anubias was sister to Montrichardia arborescens (L.) Schott (BS = 99). In addition, four genes (ccsA, matK, ndhF, and ycf4) that contain sites undergoing positive selection were identified within the Anubias plastomes. These genes may play an important role in the adaptation of Anubias to the aquatic environment. The present study provides a valuable resource for further studies on species identification and the evolutionary history of Anubias.</t>
  </si>
  <si>
    <t>Li, Li</t>
  </si>
  <si>
    <t>[Li, Li; Hou, Kunpeng; Liu, Wenzhe] Northwest Univ, Sch Life Sci, Xian 710069, Peoples R China; [Li, Li] Chinese Acad Sci, Kunming Inst Bot, CAS Key Lab Plant Divers &amp; Biogeog East Asia, Kunming 650201, Yunnan, Peoples R China; [Liu, Changkun] Sichuan Univ, Coll Life Sci, Key Lab Bioresources &amp; Ecoenvironm, Minist Educ, Chengdu 610065, Peoples R China</t>
  </si>
  <si>
    <t>Northwest University Xi'an; Chinese Academy of Sciences; Kunming Institute of Botany, CAS; Sichuan University</t>
  </si>
  <si>
    <t>Liu, WZ (通讯作者)，Northwest Univ, Sch Life Sci, Xian 710069, Peoples R China.</t>
  </si>
  <si>
    <t>lwenzhe@nwu.edu.cn</t>
  </si>
  <si>
    <t>Li, Li/0000-0002-2033-6367</t>
  </si>
  <si>
    <t>Key Research and Development Program of Shanxi Province of China [2019SF-305]; Fourth National Survey of Traditional Chinese Medicine Resources [2019-6]</t>
  </si>
  <si>
    <t>Key Research and Development Program of Shanxi Province of China; Fourth National Survey of Traditional Chinese Medicine Resources</t>
  </si>
  <si>
    <t>This work was supported by the Key Research and Development Program of Shanxi Province of China (Grant/Award Number: 2019SF-305) and the Fourth National Survey of Traditional Chinese Medicine Resources (Grant/Award Number: 2019-6).</t>
  </si>
  <si>
    <t>2073-4425</t>
  </si>
  <si>
    <t>GENES-BASEL</t>
  </si>
  <si>
    <t>Genes</t>
  </si>
  <si>
    <t>10.3390/genes13112043</t>
  </si>
  <si>
    <t>6F3MY</t>
  </si>
  <si>
    <t>WOS:000883970700001</t>
  </si>
  <si>
    <t>Song, WC; Chen, ZM; Shi, WB; Han, WQ; Feng, Q; Shi, C; Engel, MS; Wang, S</t>
  </si>
  <si>
    <t>Song, Weicai; Chen, Zimeng; Shi, Wenbo; Han, Weiqi; Feng, Qi; Shi, Chao; Engel, Michael S.; Wang, Shuo</t>
  </si>
  <si>
    <t>Comparative Analysis of Complete Chloroplast Genomes of Nine Species of Litsea (Lauraceae): Hypervariable Regions, Positive Selection, and Phylogenetic Relationships</t>
  </si>
  <si>
    <t>Litsea; chloroplast genome; structural variations; genetic relationship</t>
  </si>
  <si>
    <t>GENUS LITSEA; SEQUENCE; ANNOTATION; PUZZLE; TOOLS; DNA</t>
  </si>
  <si>
    <t>Litsea is a group of evergreen trees or shrubs in the laurel family, Lauraceae. Species of the genus are widely used for a wide range of medicinal and industrial aspects. At present, most studies related to the gene resources of Litsea are restricted to morphological analyses or features of individual genomes, and currently available studies of select molecular markers are insufficient. In this study, we assembled and annotated the complete chloroplast genomes of nine species in Litsea, carried out a series of comparative analyses, and reconstructed phylogenetic relationships within the genus. The genome length ranged from 152,051 to 152,747 bp and a total of 128 genes were identified. High consistency patterns of codon bias, repeats, divergent analysis, single nucleotide polymorphisms (SNP) and insertions and deletions (InDels) were discovered across the genus. Variations in gene length and the presence of the pseudogene ycf1(psi), resulting from IR contraction and expansion, are reported. The hyper-variable gene rpl16 was identified for its exceptionally high Ka/Ks and Pi values, implying that those frequent mutations occurred as a result of positive selection. Phylogenetic relationships were recovered for the genus based on analyses of full chloroplast genomes and protein-coding genes. Overall, both genome sequences and potential molecular markers provided in this study enrich the available genomic resources for species of Litsea. Valuable genomic resources and divergent analysis are also provided for further research of the evolutionary patterns, molecular markers, and deeper phylogenetic relationships of Litsea.</t>
  </si>
  <si>
    <t>[Song, Weicai; Chen, Zimeng; Shi, Wenbo; Han, Weiqi; Feng, Qi; Shi, Chao; Wang, Shuo] Qingdao Univ Sci &amp; Technol, Coll Marine Sci &amp; Biol Engn, Qingdao 266042, Peoples R China; [Shi, Chao] Chinese Acad Sci, Plant Germplasm &amp; Genom Ctr, Kunming Inst Bot, Germplasm Bank Wild Species Southwest China, Kunming 650204, Yunnan, Peoples R China; [Engel, Michael S.] Univ Kansas, Dept Ecol &amp; Evolutionary Biol, Lawrence, KS 66045 USA</t>
  </si>
  <si>
    <t>Qingdao University of Science &amp; Technology; Chinese Academy of Sciences; Kunming Institute of Botany, CAS; University of Kansas</t>
  </si>
  <si>
    <t>Shi, C; Wang, S (通讯作者)，Qingdao Univ Sci &amp; Technol, Coll Marine Sci &amp; Biol Engn, Qingdao 266042, Peoples R China.;Shi, C (通讯作者)，Chinese Acad Sci, Plant Germplasm &amp; Genom Ctr, Kunming Inst Bot, Germplasm Bank Wild Species Southwest China, Kunming 650204, Yunnan, Peoples R China.</t>
  </si>
  <si>
    <t>chaoshi@qust.edu.cn; shuowang@qust.edu.cn</t>
  </si>
  <si>
    <t>Engel, Michael S/C-5461-2012</t>
  </si>
  <si>
    <t>Engel, Michael S/0000-0003-3067-077X; Song, Weicai/0000-0003-2665-8874</t>
  </si>
  <si>
    <t>National Natural Science Foundation of China [31801022, 31701090]; Shandong Province Natural Science Foundation of China [ZR2019BC094]</t>
  </si>
  <si>
    <t>This work was supported by the National Natural Science Foundation of China (NO. 31801022 and NO. 31701090) and Shandong Province Natural Science Foundation of China (NO. ZR2019BC094).</t>
  </si>
  <si>
    <t>10.3390/genes13091550</t>
  </si>
  <si>
    <t>4T6RC</t>
  </si>
  <si>
    <t>WOS:000858240700001</t>
  </si>
  <si>
    <t>Li, HF; Li, C; Wang, YH; Qin, XS; Meng, LH; Sun, XD</t>
  </si>
  <si>
    <t>Li, Hefan; Li, Cheng; Wang, Yuhua; Qin, Xiangshi; Meng, Lihua; Sun, Xudong</t>
  </si>
  <si>
    <t>Genome-Wide Analysis of the WOX Transcription Factor Genes in Dendrobium catenatum Lindl.</t>
  </si>
  <si>
    <t>Dendrobium catenatum Lindl; WOX transcription factor family; phylogenetic analysis; regulation of gene expression; expression profiles; phytohormone response</t>
  </si>
  <si>
    <t>STEM-CELL REGULATION; EXPRESSION ANALYSIS; ARABIDOPSIS; WUSCHEL; FAMILY; IDENTIFICATION; ROLES; SHOOT; RICE</t>
  </si>
  <si>
    <t>The WUSCHEL-related homeobox (WOX) proteins are a class of transcription factors exclusive to plants. They can promote cell division or inhibit stem cell differentiation to regulate plant growth and development. However, the WOX transcription factor genes in the monocotyledon Dendrobium catenatum Lindl. remain relatively uncharacterized. Specifically, the effects of phytohormones on their expression levels are unclear. In this study, we identified and analyzed 10 candidate DcaWOX transcription factor genes in D. catenatum. The DcaWOX family was divided into the modern/WUS, intermediate, and ancient clades. The subcellular localization analysis detected DcaWOX-GFP fusion proteins in the tobacco epidermal leaf cell nucleus. In DcaWOX, members of the WUS clade with the WUS-box motif can significantly activate the expression of TPL in vivo, while members of the intermediate and ancient clades cannot. The expression of the DcaWOX genes varied among the examined tissues. Moreover, the DcaWOX expression patterns were differentially affected by the phytohormone treatments, with differences detected even between homologs of the same gene. Furthermore, the gene expression patterns were consistent with the predicted cis-acting elements in the promoters. The above results suggest that DcaWOX may have an important role in its growth and development and resistance to stress. The results of this comprehensive investigation of the DcaWOX gene family provide the basis for future studies on the roles of WOX genes in D. catenatum.</t>
  </si>
  <si>
    <t>Li, Hefan</t>
  </si>
  <si>
    <t>[Li, Hefan; Meng, Lihua] Yunnan Normal Univ, Sch Life Sci, Key Lab Yunnan Biomass Energy &amp; Biotechnol Enviro, Kunming 650500, Yunnan, Peoples R China; [Li, Hefan; Li, Cheng; Wang, Yuhua; Qin, Xiangshi; Sun, Xudong] Chinese Acad Sci, Kunming Inst Bot, Germplasm Bank Wild Species, Kunming 650201, Yunnan, Peoples R China; [Li, Cheng; Wang, Yuhua] Univ Chinese Acad Sci, Beijing 100049, Peoples R China</t>
  </si>
  <si>
    <t>menglihua@mails.ucas.ac.cn; sunxudong@mail.kib.ac.cn</t>
  </si>
  <si>
    <t>Sun, Xudong/HHN-3905-2022</t>
  </si>
  <si>
    <t>Project of Science &amp; Technology of Guizhou Province [NY [2017]2524]; Beijing DR PLANT Biotechnology Co., Ltd. [2019H078]</t>
  </si>
  <si>
    <t>Project of Science &amp; Technology of Guizhou Province; Beijing DR PLANT Biotechnology Co., Ltd.</t>
  </si>
  <si>
    <t>This research was supported by grants from the Beijing DR PLANT Biotechnology Co., Ltd. (2019H078) and the Project of Science &amp; Technology of Guizhou Province (NY [2017]2524).</t>
  </si>
  <si>
    <t>10.3390/genes13081481</t>
  </si>
  <si>
    <t>4B6FD</t>
  </si>
  <si>
    <t>WOS:000845869800001</t>
  </si>
  <si>
    <t>Wang, QW; Zhao, K; Gong, YQ; Yang, YQ; Yue, YL</t>
  </si>
  <si>
    <t>Wang, Qianwen; Zhao, Kai; Gong, Yuqiang; Yang, Yunqiang; Yue, Yanling</t>
  </si>
  <si>
    <t>Genome-Wide Identification and Functional Analysis of the Calcineurin B-like Protein and Calcineurin B-like Protein-Interacting Protein Kinase Gene Families in Chinese Cabbage (Brassica rapa ssp. pekinensis)</t>
  </si>
  <si>
    <t>abiotic stresses; BraCBL-BraCIPK; Chinese cabbage; expression profiles; functional differentiation; preferential interactions</t>
  </si>
  <si>
    <t>CALCIUM SENSOR; PHYLOGENETIC ANALYSIS; ION HOMEOSTASIS; PLANT-GROWTH; ORYZA-SATIVA; ARABIDOPSIS; EVOLUTION; RESPONSES; CHANNEL; DOMAIN</t>
  </si>
  <si>
    <t>In plants, calcineurin B-like proteins (CBL) are a unique set of calcium sensors that decode calcium signals by activating a plant-specific protein kinase family called CBL-interacting protein kinases (CIPKs). The CBL-CIPK family and its interacting complexes regulate plant responses to various environmental stimuli. Chinese cabbage (Brassica rapa ssp. pekinensis) is an important vegetable crop in Asia; however, there are no reports on the role of the CBLs-CIPKs' signaling system in response to abiotic stress during cabbage growth. In this study, 18 CBL genes and 47 CIPK genes were identified from the Chinese cabbage genome. Expansion of the gene families was mainly due to tandem repeats and segmental duplication. An analysis of gene expression patterns showed that different duplicate genes exhibited different expression patterns in response to treatment with Mg2+, K+, and low temperature. In addition, differences in the structural domain sequences of NAF/FISL and interaction profiles in yeast two-hybrid assays suggested a functional divergence of the duplicate genes during the long-term evolution of Chinese cabbage, a result further validated by potassium deficiency treatment using trans-BraCIPK23.1/23.2/23.3 Arabidopsis thaliana. Our results provide a basis for studies related to the functional divergence of duplicate genes and in-depth studies of BraCBL-BraCIPK functions in Chinese cabbage.</t>
  </si>
  <si>
    <t>Wang, Qianwen</t>
  </si>
  <si>
    <t>[Wang, Qianwen; Zhao, Kai; Gong, Yuqiang; Yue, Yanling] Yunnan Agr Univ, Coll Landscape &amp; Hort, Kunming 650201, Yunnan, Peoples R China; [Yang, Yunqiang] Chinese Acad Sci, Kunming Inst Bot, Germplasm Bank Wild Species, Kunming 650201, Yunnan, Peoples R China</t>
  </si>
  <si>
    <t>Yue, YL (通讯作者)，Yunnan Agr Univ, Coll Landscape &amp; Hort, Kunming 650201, Yunnan, Peoples R China.</t>
  </si>
  <si>
    <t>wqw18337387963@163.com; kailixian1023@aliyun.com; gyq415@126.com; yangyunqiang@mail.kib.ac.cn; yanlingyue@ynau.edu.cn</t>
  </si>
  <si>
    <t>National Natural Science Foundation of China [31460524]</t>
  </si>
  <si>
    <t>This research was funded by the National Natural Science Foundation of China (No. 31460524). The funding body played no role in the design of the study, analysis, and interpretation of data, and in writing the manuscript.</t>
  </si>
  <si>
    <t>10.3390/genes13050795</t>
  </si>
  <si>
    <t>1Q0JU</t>
  </si>
  <si>
    <t>WOS:000802386200001</t>
  </si>
  <si>
    <t>Song, WC; Chen, ZM; He, L; Feng, Q; Zhang, HR; Du, GL; Shi, C; Wang, S</t>
  </si>
  <si>
    <t>Song, Weicai; Chen, Zimeng; He, Li; Feng, Qi; Zhang, Hongrui; Du, Guilin; Shi, Chao; Wang, Shuo</t>
  </si>
  <si>
    <t>Comparative Chloroplast Genome Analysis of Wax Gourd (Benincasa hispida) with Three Benincaseae Species, Revealing Evolutionary Dynamic Patterns and Phylogenetic Implications</t>
  </si>
  <si>
    <t>Benincasa hispida; chloroplast genome; comparative analysis; divergence region; phylogenetic</t>
  </si>
  <si>
    <t>CUCURBITACEAE; SEQUENCES; PLANTS; ANNOTATION; EXTRACT; FAMILY; FRUITS; GENES; TOOLS</t>
  </si>
  <si>
    <t>Benincasa hispida (wax gourd) is an important Cucurbitaceae crop, with enormous economic and medicinal importance. Here, we report the de novo assembly and annotation of the complete chloroplast genome of wax gourd with 156,758 bp in total. The quadripartite structure of the chloroplast genome comprises a large single-copy (LSC) region with 86,538 bp and a small single-copy (SSC) region with 18,060 bp, separated by a pair of inverted repeats (IRa and IRb) with 26,080 bp each. Comparison analyses among B. hispida and three other species from Benincaseae presented a significant conversion regarding nucleotide content, genome structure, codon usage, synonymous and non-synonymous substitutions, putative RNA editing sites, microsatellites, and oligonucleotide repeats. The LSC and SSC regions were found to be much more varied than the IR regions through a divergent analysis of the species within Benincaseae. Notable IR contractions and expansions were observed, suggesting a difference in genome size, gene duplication and deletion, and the presence of pseudogenes. Intronic gene sequences, such as trnR-UCU-atpA and atpH-atpI, were observed as highly divergent regions. Two types of phylogenetic analysis based on the complete cp genome and 72 genes suggested sister relationships between B. hispida with the Citrullus, Lagenaria, and Cucumis. Variations and consistency with previous studies regarding phylogenetic relationships are discussed. The cp genome of B. hispida provides valuable genetic information for the detection of molecular markers, research on taxonomic discrepancies, and the inference of the phylogenetic relationships of Cucurbitaceae.</t>
  </si>
  <si>
    <t>[Song, Weicai; Chen, Zimeng; Feng, Qi; Zhang, Hongrui; Shi, Chao; Wang, Shuo] Qingdao Univ Sci &amp; Technol, Coll Marine Sci &amp; Biol Engn, Qingdao 266042, Peoples R China; [He, Li] Qingdao Univ Sci &amp; Technol, Aesthet Educ Ctr, Qingdao 266042, Peoples R China; [Du, Guilin] Chinese Acad Sci, Shanghai Adv Res Inst, Lab Biorefinery, Shanghai 201210, Peoples R China; [Shi, Chao] Chinese Acad Sci, Plant Germplasm &amp; Genom Ctr, Kunming Inst Bot, Germplasm Bank Wild Species Southwest China, Kunming 650204, Yunnan, Peoples R China</t>
  </si>
  <si>
    <t>Qingdao University of Science &amp; Technology; Qingdao University of Science &amp; Technology; Chinese Academy of Sciences; Shanghai Advanced Research Institute, CAS; Chinese Academy of Sciences; Kunming Institute of Botany, CAS</t>
  </si>
  <si>
    <t>Shi, C (通讯作者)，Qingdao Univ Sci &amp; Technol, Coll Marine Sci &amp; Biol Engn, Qingdao 266042, Peoples R China.;Shi, C (通讯作者)，Chinese Acad Sci, Plant Germplasm &amp; Genom Ctr, Kunming Inst Bot, Germplasm Bank Wild Species Southwest China, Kunming 650204, Yunnan, Peoples R China.</t>
  </si>
  <si>
    <t>weicai1123@163.com; chenzimeng1209@163.com; heli2612@163.com; qi_feng107@163.com; zhanghongrui1785@163.com; dugl1@shanghaitech.edu.cn; chaoshi@qust.edu.cn; shuowang@qust.edu.cn</t>
  </si>
  <si>
    <t>Chen, zimeng/0000-0002-8952-0664; Song, Weicai/0000-0003-2665-8874; Du, Guilin/0000-0001-8981-3259</t>
  </si>
  <si>
    <t>10.3390/genes13030461</t>
  </si>
  <si>
    <t>0C4MM</t>
  </si>
  <si>
    <t>WOS:000775289300001</t>
  </si>
  <si>
    <t>Qin, J; Feng, B</t>
  </si>
  <si>
    <t>Qin, Jiao; Feng, Bang</t>
  </si>
  <si>
    <t>Life Cycle and Phylogeography of True Truffles</t>
  </si>
  <si>
    <t>life cycle; mating type; genetic structure; glaciation; river isolation; ascocarp-associated bacteria</t>
  </si>
  <si>
    <t>SPATIAL GENETIC-STRUCTURE; MATING-TYPE DISTRIBUTION; TUBER-MELANOSPORUM; BLACK TRUFFLE; BACTERIAL COMMUNITIES; ITALIAN POPULATIONS; RIBOSOMAL DNA; DIVERSITY; AESTIVUM; VARIABILITY</t>
  </si>
  <si>
    <t>True truffle (Tuber spp.) is one group of ascomycetes with great economic importance. During the last 30 years, numerous fine-scale population genetics studies were conducted on different truffle species, aiming to answer several key questions regarding their life cycles; these questions are important for their cultivation. It is now evident that truffles are heterothallic, but with a prevalent haploid lifestyle. Strains forming ectomycorrhizas and germinating ascospores act as maternal and paternal partners respectively. At the same time, a number of large-scale studies were carried out, highlighting the influences of the last glaciation and river isolations on the genetic structure of truffles. A retreat to southern refugia during glaciation, and a northward expansion post glaciation, were revealed in all studied European truffles. The Mediterranean Sea, acting as a barrier, has led to the existence of several refugia in different peninsulas for a single species. Similarly, large rivers in southwestern China act as physical barriers to gene flow for truffles in this region. Further studies can pay special attention to population genetics of species with a wide distribution range, such as T. himalayense, and the correlation between truffle genetic structure and the community composition of truffle-associated bacteria.</t>
  </si>
  <si>
    <t>Qin, Jiao</t>
  </si>
  <si>
    <t>[Qin, Jiao] Chinese Acad Sci, Kunming Inst Bot, Key Lab Econ Plants &amp; Biotechnol, Kunming, Peoples R China; [Feng, Bang] Chinese Acad Sci, Kunming Inst Bot, CAS Key Lab Plant Div &amp; Biogeog East Asia, Kunming, Peoples R China; [Feng, Bang] Yunnan Key Lab Fungal Divers &amp; Green Dev, Kunming 650201, Peoples R China</t>
  </si>
  <si>
    <t>Feng, B (通讯作者)，Chinese Acad Sci, Kunming Inst Bot, CAS Key Lab Plant Div &amp; Biogeog East Asia, Kunming, Peoples R China.;Feng, B (通讯作者)，Yunnan Key Lab Fungal Divers &amp; Green Dev, Kunming 650201, Peoples R China.</t>
  </si>
  <si>
    <t>qinjiao@mail.kib.ac.cn; fengbang@mail.kib.ac.cn</t>
  </si>
  <si>
    <t>feng, bang/0000-0001-7237-2899; Qin, Jiao/0000-0003-3641-2931</t>
  </si>
  <si>
    <t>10.3390/genes13010145</t>
  </si>
  <si>
    <t>ZD1PF</t>
  </si>
  <si>
    <t>WOS:000757977300001</t>
  </si>
  <si>
    <t>Wang, XY; Wang, YB; Hu, GL; Hong, DF; Guo, TY; Li, JH; Li, ZR; Qiu, MH</t>
  </si>
  <si>
    <t>Wang, Xiaoyuan; Wang, Yanbing; Hu, Guilin; Hong, Defu; Guo, Tieying; Li, Jinhong; Li, Zhongrong; Qiu, Minghua</t>
  </si>
  <si>
    <t>Review on factors affecting coffee volatiles: from seed to cup</t>
  </si>
  <si>
    <t>JOURNAL OF THE SCIENCE OF FOOD AND AGRICULTURE</t>
  </si>
  <si>
    <t>aroma modification; controlled fermentation; superheated steam (SHS); cold brew; coffee omics</t>
  </si>
  <si>
    <t>STARTER CULTURES; AROMA COMPOUNDS; ROASTED COFFEE; ARABICA COFFEE; FERMENTATION; QUALITY; FLAVOR; BEANS; EXTRACTION; STORAGE</t>
  </si>
  <si>
    <t>The objective of this review is to evaluate the influence of six factors on coffee volatiles. At present, the poor aroma from robusta or low-quality arabica coffee can be significantly improved by advanced technology, and this subject will continue to be further studied. On the other hand, inoculating various starter cultures in green coffee beans has become a popular research direction for promoting coffee aroma and flavor. Several surveys have indicated that shade and altitude can affect the content of coffee aroma precursors and volatile organic compounds (VOCs), which remain to be fully elucidated. The emergence of the new roasting process has greatly enriched the aroma composition of coffee. Cold-brew coffee is one of the most popular trends in coffee extraction currently, and its influence on coffee aroma is worthy of in-depth and detailed study. Omics technology will be one of the most important means to analyze coffee aroma components and their quality formation mechanism. A better understanding of the effect of each parameter on VOCs would assist coffee researchers and producers in the optimal selection of post-harvest parameters that favor the continuous production of flavorful and top-class coffee beans and beverages. (c) 2021 Society of Chemical Industry.</t>
  </si>
  <si>
    <t>Wang, Xiaoyuan</t>
  </si>
  <si>
    <t>[Wang, Xiaoyuan; Wang, Yanbing] Guangxi Univ, Coll Agr, Nanning, Peoples R China; [Wang, Xiaoyuan; Wang, Yanbing; Hu, Guilin; Hong, Defu; Li, Zhongrong; Qiu, Minghua] Chinese Acad Sci, Kunming Inst Bot, State Key Lab Phytochem &amp; Plant Resources West Ch, Kunming 650201, Yunnan, Peoples R China; [Wang, Xiaoyuan; Wang, Yanbing; Guo, Tieying; Li, Jinhong] Dehong Trop Agr Res Inst Yunnan, Ruili, Peoples R China</t>
  </si>
  <si>
    <t>Guangxi University; Chinese Academy of Sciences; Kunming Institute of Botany, CAS</t>
  </si>
  <si>
    <t>National Natural Science Foundation of China [U1902206, 31670364]; Project of Key R&amp;D of Yunnan Province [202003AD150006, 2018ZG014]; Cooperation Project of International Sci-Tech of Yunnan Province, China [202003AE140002]; Expert Workstation Project of Dr Qiu (2018); Foundation of State Key Laboratory of Phytochemistry and Plant Resources in West China [P2015-ZZ09]</t>
  </si>
  <si>
    <t>National Natural Science Foundation of China(National Natural Science Foundation of China (NSFC)); Project of Key R&amp;D of Yunnan Province; Cooperation Project of International Sci-Tech of Yunnan Province, China; Expert Workstation Project of Dr Qiu (2018); Foundation of State Key Laboratory of Phytochemistry and Plant Resources in West China</t>
  </si>
  <si>
    <t>This research work was financially supported by the National Natural Science Foundation of China (Nos. U1902206, 31670364), Project of Key R&amp;D of Yunnan Province (Nos. 202003AD150006, 2018ZG014), Cooperation Project of International Sci-Tech of Yunnan Province, China (No. 202003AE140002), Expert Workstation Project of Dr Qiu (2018) and Foundation of State Key Laboratory of Phytochemistry and Plant Resources in West China (No. P2015-ZZ09).</t>
  </si>
  <si>
    <t>0022-5142</t>
  </si>
  <si>
    <t>1097-0010</t>
  </si>
  <si>
    <t>J SCI FOOD AGR</t>
  </si>
  <si>
    <t>J. Sci. Food Agric.</t>
  </si>
  <si>
    <t>10.1002/jsfa.11647</t>
  </si>
  <si>
    <t>YW7MP</t>
  </si>
  <si>
    <t>WOS:000723369500001</t>
  </si>
  <si>
    <t>Zhang, JH; Cao, MM; Zhang, Y; Li, XH; Gu, YC; Li, XN; Di, YT; Hao, XJ</t>
  </si>
  <si>
    <t>Zhang, Jia-Hui; Cao, Mingming; Zhang, Yu; Li, Xiao-Hui; Gu, Yu-Cheng; Li, Xiao-Nian; Di, Ying-Tong; Hao, Xiao-Jiang</t>
  </si>
  <si>
    <t>Scalemic myrionsumamide A, tetracyclic skeleton alkaloids from Myrioneuron effusum</t>
  </si>
  <si>
    <t>RSC ADVANCES</t>
  </si>
  <si>
    <t>UNITS</t>
  </si>
  <si>
    <t>Investigation of the alkaloids from Myrioneuron effusum leads to the isolation of myrionsumamide A (1), a pair of enantiomeric alkaloids with an unprecedented tetracyclic system skeleton. These two alkaloids were separated by chiral HPLC with a ratio of 3 : 5 from the scalemic mixture. Their structures including absolute configurations were determined by NMR spectroscopy, X-ray diffraction data and ECD calculations. Both (+)-1 and (-)-1 showed antibacterial activity against Staphylococcus aureus with MIC at 7.81 mu g ml(-)(1).</t>
  </si>
  <si>
    <t>Zhang, Jia-Hui</t>
  </si>
  <si>
    <t>[Zhang, Jia-Hui; Cao, Mingming; Zhang, Yu; Li, Xiao-Hui; Li, Xiao-Nian; Di, Ying-Tong; Hao, Xiao-Jiang] Chinese Acad Sci, State Key Lab Phytochem &amp; Plant Resources West Ch, Kunming Inst Bot, Kunming 650201, Yunnan, Peoples R China; [Hao, Xiao-Jiang] Key Lab Chemist Nat Prod Guizhou Prov, Guiyang 550014, Peoples R China; [Hao, Xiao-Jiang] Chinese Acad Sci, Guiyang 550014, Peoples R China; [Zhang, Jia-Hui; Hao, Xiao-Jiang] Chinese Acad Med Sci, Res Unit Chem Biol Nat Antivirus Prod, Beijing 100730, Peoples R China; [Li, Xiao-Hui] Yunnan Inst Mat Med, Kunming 650111, Yunnan, Peoples R China; [Gu, Yu-Cheng] Syngenta, Jealotts Hill Int Res Ctr, Bracknell RG42 6EY, Berks, England</t>
  </si>
  <si>
    <t>Chinese Academy of Sciences; Kunming Institute of Botany, CAS; Chinese Academy of Sciences; Chinese Academy of Medical Sciences - Peking Union Medical College; Syngenta</t>
  </si>
  <si>
    <t>Di, YT; Hao, XJ (通讯作者)，Chinese Acad Sci, State Key Lab Phytochem &amp; Plant Resources West Ch, Kunming Inst Bot, Kunming 650201, Yunnan, Peoples R China.;Hao, XJ (通讯作者)，Key Lab Chemist Nat Prod Guizhou Prov, Guiyang 550014, Peoples R China.;Hao, XJ (通讯作者)，Chinese Acad Sci, Guiyang 550014, Peoples R China.;Hao, XJ (通讯作者)，Chinese Acad Med Sci, Res Unit Chem Biol Nat Antivirus Prod, Beijing 100730, Peoples R China.</t>
  </si>
  <si>
    <t>diyt@mail.kib.ac.cn; haoxj@mail.kib.ac.cn</t>
  </si>
  <si>
    <t>National Science Foundation of China [U1812403, 81573323, 31770392, 22177050]; Yunnan Provincial Science and Technology Department [202003AD150012, 202201AS070040]; Foundation of Central Asian Drug Discovery and Development Center of Chinese Academy of Sciences [CAM202103]; Youth Innovation Promotion Association CAS [2022-2026]; Syngenta postgraduate studentship</t>
  </si>
  <si>
    <t>National Science Foundation of China(National Natural Science Foundation of China (NSFC)); Yunnan Provincial Science and Technology Department; Foundation of Central Asian Drug Discovery and Development Center of Chinese Academy of Sciences; Youth Innovation Promotion Association CAS; Syngenta postgraduate studentship(Syngenta)</t>
  </si>
  <si>
    <t>This research was supported financially by grants from the National Science Foundation of China (U1812403 to X.-J. Hao, 81573323 and 31770392 to Y.-T. Di, 22177050 to M. Cao), Yunnan Provincial Science and Technology Department (No. 202003AD150012 and 202201AS070040), Foundation of Central Asian Drug Discovery and Development Center of Chinese Academy of Sciences (CAM202103, China), and Youth Innovation Promotion Association CAS to M. Cao (2022-2026). The Syngenta postgraduate studentship awarded to J.-H. Zhang (2014-2016) is appreciated.</t>
  </si>
  <si>
    <t>2046-2069</t>
  </si>
  <si>
    <t>RSC ADV</t>
  </si>
  <si>
    <t>RSC Adv.</t>
  </si>
  <si>
    <t>SEP 28</t>
  </si>
  <si>
    <t>10.1039/d2ra05342j</t>
  </si>
  <si>
    <t>5A4MC</t>
  </si>
  <si>
    <t>WOS:000862862200001</t>
  </si>
  <si>
    <t>Ding, M; Wu, SL; Hu, J; He, XF; Huang, XY; Li, TZ; Ma, YB; Zhang, XM; Geng, CA</t>
  </si>
  <si>
    <t>Ding, Min; Wu, Sheng-Li; Hu, Jing; He, Xiao-Feng; Huang, Xiao-Yan; Li, Tian-Ze; Ma, Yun-Bao; Zhang, Xue-Mei; Geng, Chang-An</t>
  </si>
  <si>
    <t>Norlignans as potent GLP-1 secretagogues from the fruits of Amomum villosum</t>
  </si>
  <si>
    <t>PHYTOCHEMISTRY</t>
  </si>
  <si>
    <t>Amomum villosum; Zingiberaceae; Amovillosumins A-D; Norlignans; Chiral resolution; Hypoglycemic effects; GLP-1 secretagogues</t>
  </si>
  <si>
    <t>ALPHA-GLUCOSIDASE; XANTHOIDES EXTRACT; CONSTITUENTS; INHIBITION; DITERPENOIDS; DISEASE; DEATH; CELLS</t>
  </si>
  <si>
    <t>The dried fruit of Amomum villosum (Amomi Fructus) is an important spices and traditional Chinese medicine. In this study, the EtOH extract of Amomi Fructus was revealed with hypoglycemic effects on db/db mice by increasing plasma insulin levels. After extracted with EtOAc, the EtOAc fraction showed increased activity in stimulating glucagon-like peptide-1 (GLP-1) secretion compared with the EtOH extract. In order to clarify the antidiabetic constituents, four undescribed norlignans, amovillosumins A-D, were isolated from the EtOAc fraction, and the subsequent chiral resolution yielded three pairs of enantiomers. Their structures were determined by extensive spectroscopic data (1D and 2D NMR, HRESIMS, IR, UV and [alpha]D) and ECD calculations. Amovillosumins A and B significantly stimulated GLP-1 secretion by 375.1% and 222.7% at 25.0 mu M, and 166.9% and 62.7% at 12.5 mu M, representing a new type of GLP-1 secretagogues.</t>
  </si>
  <si>
    <t>Ding, Min</t>
  </si>
  <si>
    <t>[Ding, Min; Wu, Sheng-Li; Hu, Jing; He, Xiao-Feng; Huang, Xiao-Yan; Li, Tian-Ze; Ma, Yun-Bao; Zhang, Xue-Mei; Geng, Chang-An] Chinese Acad Sci, Kunming Inst Bot, State Key Lab Phytochem &amp; Plant Resources West Ch, Yunnan Key Lab Nat Med Chem, Kunming 650201, Yunnan, Peoples R China; [Ding, Min] Univ Chinese Acad Sci, Beijing 100049, Peoples R China; [Wu, Sheng-Li] Yunnan Univ, Sch Life Sci, Kunming 650500, Yunnan, Peoples R China</t>
  </si>
  <si>
    <t>Ding, M (通讯作者)，Chinese Acad Sci, Kunming Inst Bot, State Key Lab Phytochem &amp; Plant Resources West Ch, 132 Lanhei Rd, Kunming 650201, Yunnan, Peoples R China.</t>
  </si>
  <si>
    <t>Geng, Changan/0000-0001-9834-0756</t>
  </si>
  <si>
    <t>National Natural Science Foundation of China [82173718]; Yunnan Wanren Project [YNWR-QNBJ-2018-061]; Fund of State Key Laboratory of Phytochemistry and Plant Resources in West China [P2020-KF05]; Yunnan Science Fund for Excellent Young Scholars [2019FI017]; Distinguished Young Scholars; Reserve Talents of Young and Middle-aged Academic and Technical Leaders in Yunnan Province [2018HB067]</t>
  </si>
  <si>
    <t>National Natural Science Foundation of China(National Natural Science Foundation of China (NSFC)); Yunnan Wanren Project; Fund of State Key Laboratory of Phytochemistry and Plant Resources in West China; Yunnan Science Fund for Excellent Young Scholars; Distinguished Young Scholars(National Natural Science Foundation of China (NSFC)National Science Fund for Distinguished Young Scholars); Reserve Talents of Young and Middle-aged Academic and Technical Leaders in Yunnan Province</t>
  </si>
  <si>
    <t>This work was financially supported by the National Natural Science Foundation of China (82173718), the Yunnan Wanren Project (YNWR-QNBJ-2018-061), the Fund of State Key Laboratory of Phytochemistry and Plant Resources in West China (P2020-KF05), the Yunnan Science Fund for Excellent Young Scholars (2019FI017) and Distinguished Young Scholars, and the Reserve Talents of Young and Middle-aged Academic and Technical Leaders in Yunnan Province (2018HB067).</t>
  </si>
  <si>
    <t>0031-9422</t>
  </si>
  <si>
    <t>1873-3700</t>
  </si>
  <si>
    <t>Phytochemistry</t>
  </si>
  <si>
    <t>10.1016/j.phytochem.2022.113204</t>
  </si>
  <si>
    <t>http://dx.doi.org/10.1016/j.phytochem.2022.113204</t>
  </si>
  <si>
    <t>7V8GV</t>
  </si>
  <si>
    <t>WOS:000913051900002</t>
  </si>
  <si>
    <t>Liu, Y; Zhou, YY; Luo, SH; Guo, K; Zhang, MW; Jing, SX; Li, CH; Hua, J; Li, SH</t>
  </si>
  <si>
    <t>Liu, Yan; Zhou, Yan-Ying; Luo, Shi-Hong; Guo, Kai; Zhang, Man-Wen; Jing, Shu-Xi; Li, Chun-Huan; Hua, Juan; Li, Sheng-Hong</t>
  </si>
  <si>
    <t>Labdane diterpenoids from the heartwood of Leucosceptrum canum that impact on root growth and seed germination of Arabidopsis thaliana</t>
  </si>
  <si>
    <t>Leucosceptrum canum; Lamiaceae; Labdane diterpenoids; Leucolactones A-K; Phytotoxic activity; Auxin accumulation</t>
  </si>
  <si>
    <t>GLANDULAR TRICHOMES; COLORED NECTAR; AUXIN; TRANSPORT; GRADIENT; WOOD</t>
  </si>
  <si>
    <t>Eleven undescribed diterpenoids possessing labdane, 3,18-cyclo-labdane, 19 (4 -&gt; 3)-labdane and 12-nor-labdane skeletons, named leucolactones A-K, were isolated from the heartwood of a large woody Lamiaceae plant, Leucosceptrum canum. Their structures were determined by NMR, MS, and in the case of leucolactones A by single crystal X-ray diffraction analysis. Plausible biosynthetic pathway of leucolactones were proposed. Leucolactones showed significant inhibitory effects against seed germination and root elongation of Arabidopsis thaliana in the Petri dish bioassay. Among them, the diastereomeric leucolactones G and H were the most potent, with EC50 values for root elongation of 6.53 +/- 1.35 and 9.75 +/- 1.25 mu M, respectively. The preliminary structure-activity relationship of leucolactones was discussed. The increase of auxin reporter activity in A. thaliana DR5::GUS roots by leucolactone H was observed, indicating that leucolactones altered auxin accumulation and distribution. These findings suggested that leucolactones might be involved in regulation of plant growth and development through altering auxin accumulation and distribution, presumably contributing to the heartwood formation in L. canum.</t>
  </si>
  <si>
    <t>Liu, Yan</t>
  </si>
  <si>
    <t>[Liu, Yan; Guo, Kai; Li, Sheng-Hong] Chengdu Univ Tradit Chinese Med, State Key Lab Southwestern Chinese Med Resources, Chengdu 611137, Peoples R China; [Liu, Yan; Guo, Kai; Li, Sheng-Hong] Chengdu Univ Tradit Chinese Med, Innovat Inst Chinese Med &amp; Pharm, Chengdu 611137, Peoples R China; [Zhou, Yan-Ying; Luo, Shi-Hong; Zhang, Man-Wen; Jing, Shu-Xi; Li, Chun-Huan; Hua, Juan; Li, Sheng-Hong] Chinese Acad Sci, Kunming Inst Bot, State Key Lab Phytochem &amp; Plant Resources West Chi, Kunming 650201, Peoples R China</t>
  </si>
  <si>
    <t>Chengdu University of Traditional Chinese Medicine; Chengdu University of Traditional Chinese Medicine; Chinese Academy of Sciences; Kunming Institute of Botany, CAS</t>
  </si>
  <si>
    <t>Li, SH (通讯作者)，Chengdu Univ Tradit Chinese Med, State Key Lab Southwestern Chinese Med Resources, Chengdu 611137, Peoples R China.;Li, SH (通讯作者)，Chengdu Univ Tradit Chinese Med, Innovat Inst Chinese Med &amp; Pharm, Chengdu 611137, Peoples R China.</t>
  </si>
  <si>
    <t>Liu, Yan/0000-0002-7020-6341</t>
  </si>
  <si>
    <t>National Natural Science Foundation of China; Yunnan Key Research and Development Program; Research Project of Sichuan Province;  [21937006];  [U1902214];  [82222072];  [2019ZF011-2];  [2022JDJQ0055]</t>
  </si>
  <si>
    <t xml:space="preserve">National Natural Science Foundation of China(National Natural Science Foundation of China (NSFC)); Yunnan Key Research and Development Program; Research Project of Sichuan Province; ; ; ; ; </t>
  </si>
  <si>
    <t>We thank the members of the analytical center of Kunming Institute of Botany, Chinese Academy of Sciences, for measurements of the NMR, MS, IR, UV and ORD spectral data. The research was financially sup- ported by the National Natural Science Foundation of China (21937006, U1902214 and 82222072) , Yunnan Key Research and Development Program (2019ZF011-2) , and the Research Project of Sichuan Province (2022JDJQ0055) .</t>
  </si>
  <si>
    <t>10.1016/j.phytochem.2022.113531</t>
  </si>
  <si>
    <t>http://dx.doi.org/10.1016/j.phytochem.2022.113531</t>
  </si>
  <si>
    <t>7H9GN</t>
  </si>
  <si>
    <t>WOS:000903504400013</t>
  </si>
  <si>
    <t>Yu, LL; Wang, S; Wang, J; Yan, H; Ni, W; Liu, HY</t>
  </si>
  <si>
    <t>Yu, Ling-Ling; Wang, Shan; Wang, Jie; Yan, Huan; Ni, Wei; Liu, Hai-Yang</t>
  </si>
  <si>
    <t>Steroidal saponin components and their cancer cell cytotoxicity from Paris rugosa</t>
  </si>
  <si>
    <t>Paris rugosa; Melanthiaceae; Molecular networking; Steroidal saponins; Parisrugosides A -K; Cytotoxicity</t>
  </si>
  <si>
    <t>GEMINAL PROTONS; ELUCIDATION; RHIZOMES</t>
  </si>
  <si>
    <t>The chemical components and availability of Paris rugosa were investigated for the first time, using a UPLC-MS/ MS-based molecular networking strategy and phytochemical research. Ultimately, eleven undescribed steroidal saponins, parisrugosides A-K, and ten known analogs were identified. Their structures were confirmed using comprehensive spectroscopic data and chemical methods. The aglycones of parisrugosides A-D are first spirostanes with an epoxy group at C-5/C-6, a hydroxy group at C-7, and a double bond at C-8/C-9 or C-8/C-14. Parisrugosides G and H possess an undescribed spirostane aglycone with two double bonds located at C-5/C-6 and C-8/C-9, which are conjugated with a carbonyl group at C-7. The isolates were evaluated for their cytotoxicity against five human cancer cell lines (human HL-60 leukemia, A549 lung, MCF-7 breast, SMMC-7721 liver, and SW480 colon solid cancer cell lines). Parisyunnanoside D, kingianoside K, and dichotomin displayed significant cytotoxicity against these cancer lines, with IC50 values ranging from 0.50 to 19.58 mu M.</t>
  </si>
  <si>
    <t>Yu, Ling-Ling</t>
  </si>
  <si>
    <t>[Yu, Ling-Ling; Wang, Shan; Wang, Jie; Yan, Huan; Ni, Wei; Liu, Hai-Yang] Chinese Acad Sci, Kunming Inst Bot, State Key Lab Phytochemistry &amp; Plant Resources Wes, Kunming 650201, Peoples R China; [Yu, Ling-Ling; Wang, Shan; Wang, Jie; Yan, Huan; Ni, Wei; Liu, Hai-Yang] Chinese Acad Sci, Yunnan Key Lab Nat Med Chem, Kunming 650201, Peoples R China; [Yu, Ling-Ling] Univ Chinese Acad Sci, Beijing 100049, Peoples R China; [Liu, Hai-Yang] Yunnan Characterist Plant Extract Lab, Mile, Peoples R China</t>
  </si>
  <si>
    <t>Chinese Academy of Sciences; Kunming Institute of Botany, CAS; Chinese Academy of Sciences; Chinese Academy of Sciences; University of Chinese Academy of Sciences, CAS</t>
  </si>
  <si>
    <t>Liu, HY (通讯作者)，Chinese Acad Sci, Kunming Inst Bot, State Key Lab Phytochemistry &amp; Plant Resources Wes, Kunming 650201, Peoples R China.;Liu, HY (通讯作者)，Chinese Acad Sci, Yunnan Key Lab Nat Med Chem, Kunming 650201, Peoples R China.</t>
  </si>
  <si>
    <t>haiyangliu@mail.kib.ac.cn</t>
  </si>
  <si>
    <t>National Natural Science Foundation of China [U1802287, 31770391]; Ten Thousand Talents Plan of Yunnan Province for Industrial Technology Leading Talents [YNWR-CYJS-2019-011]; Major Biomedical Project of Yunnan Province [2019ZF010]; State Key Laboratory of Phytochemistry and Plant Resources in West China [P2019-ZZ02]; State Key Laboratory of Natural and Biomimetic Drugs [K20180207]; open research project of Cross-Cooperative Team of the Germplasm Bank of Wild Species, Kunming Institute of Botany, CAS; Academicians &amp; Experts Workstation of Yunnan Province [202105AF150074]; Project of Yunnan Characteristic Plant Screening and R&amp;D Service CXO Platform [2022YKZY001]</t>
  </si>
  <si>
    <t>National Natural Science Foundation of China(National Natural Science Foundation of China (NSFC)); Ten Thousand Talents Plan of Yunnan Province for Industrial Technology Leading Talents; Major Biomedical Project of Yunnan Province; State Key Laboratory of Phytochemistry and Plant Resources in West China; State Key Laboratory of Natural and Biomimetic Drugs; open research project of Cross-Cooperative Team of the Germplasm Bank of Wild Species, Kunming Institute of Botany, CAS; Academicians &amp; Experts Workstation of Yunnan Province; Project of Yunnan Characteristic Plant Screening and R&amp;D Service CXO Platform</t>
  </si>
  <si>
    <t>This work was financially supported by the National Natural Science Foundation of China (U1802287 and 31770391), the Ten Thousand Talents Plan of Yunnan Province for Industrial Technology Leading Talents (YNWR-CYJS-2019-011), the Major Biomedical Project of Yunnan Province (2019ZF010), the State Key Laboratory of Phytochemistry and Plant Resources in West China (P2019-ZZ02), the State Key Laboratory of Natural and Biomimetic Drugs (K20180207), the open research project of Cross-Cooperative Team of the Germplasm Bank of Wild Species, Kunming Institute of Botany, CAS, and the Academicians &amp; Experts Workstation of Yunnan Province (202105AF150074), and Project of Yunnan Characteristic Plant Screening and R&amp;D Service CXO Platform (2022YKZY001).</t>
  </si>
  <si>
    <t>10.1016/j.phytochem.2022.113452</t>
  </si>
  <si>
    <t>5D0PW</t>
  </si>
  <si>
    <t>WOS:000864654200004</t>
  </si>
  <si>
    <t>Yu, MY; Liu, SN; Luo, EE; Jin, Q; Liu, H; Liu, HY; Luo, XD; Qin, XJ</t>
  </si>
  <si>
    <t>Yu, Mu-Yuan; Liu, Si-Na; Luo, E-E; Jin, Qing; Liu, Hui; Liu, Hai-Yang; Luo, Xiao-Dong; Qin, Xu-Jie</t>
  </si>
  <si>
    <t>Phloroglucinols with hAChE and ?-glucosidase inhibitory activities from the leaves of tropic Rhodomyrtus tomentosa</t>
  </si>
  <si>
    <t>Rhodomyrtus tomentosa; Myrtaceae; h AChE inhibitory; ?-Glucosidase inhibitory; Molecular docking</t>
  </si>
  <si>
    <t>MYRTUCOMMULONE; ACETYLCHOLINESTERASE; ACYLPHLOROGLUCINOL; MEROTERPENOIDS; COMPLEX; CELLS; TWIGS</t>
  </si>
  <si>
    <t>Four undescribed phloroglucinol meroterpenoids, rhodotomentodiones A-D, and one undescribed phloroglucinol dimer, rhodotomentodimer A, were obtained and structurally established from tropic Rhodomyrtus tomentosa leaves. Their structures were unambiguously elucidated based on the comprehensive analyses of the NMR and MS spectroscopic data, electronic circular dichroism (ECD) calculation, and single-crystal X-ray diffraction. In particular, rhodotomentodiones A and B represent the first examples of phloroglucinol meroterpenoids featuring a unique gamma-pyranoid moiety. More importantly, rhodotomentodimer A exhibited the most potential human acetylcholinesterase (hAChE) and alpha-glucosidase inhibitory effects with IC50 values of 7.5 mu M and 5.6 mu M, respectively. The possible interaction sites of the above potential hAChE and alpha-glucosidase inhibitor were achieved by molecular docking studies. These findings greatly enrich the diversity of natural products from Myrtaceae species, and provide potential candidates for the further development of anti-Alzheimer and antidiabetic diseases.</t>
  </si>
  <si>
    <t>Yu, Mu-Yuan</t>
  </si>
  <si>
    <t>[Yu, Mu-Yuan; Liu, Si-Na; Luo, E-E; Jin, Qing; Liu, Hui; Liu, Hai-Yang; Luo, Xiao-Dong; Qin, Xu-Jie] Chinese Acad Sci, Kunming Inst Bot, State Key Lab Phytochem &amp; Plant Resources West Chi, Kunming 650201, Peoples R China; [Luo, E-E; Jin, Qing; Liu, Hui; Liu, Hai-Yang; Luo, Xiao-Dong; Qin, Xu-Jie] Univ Chinese Acad Sci, Beijing 100049, Peoples R China</t>
  </si>
  <si>
    <t>Liu, HY; Luo, XD; Qin, XJ (通讯作者)，Chinese Acad Sci, Kunming Inst Bot, State Key Lab Phytochem &amp; Plant Resources West Chi, Kunming 650201, Peoples R China.;Liu, HY; Luo, XD; Qin, XJ (通讯作者)，Univ Chinese Acad Sci, Beijing 100049, Peoples R China.</t>
  </si>
  <si>
    <t>haiyangliu@mail.kib.ac.cn; xdluo@mail.kib.ac.cn; qinxujie@mail.kib.ac.cn</t>
  </si>
  <si>
    <t>National Natural Science Foundation of China [31970377]; Yunnan Science Foundation for Excellent Young Scholars [202001AW070010]; Youth Innovation Promotion Association CAS [2019381]; Reserve Talents of Young and Middle -Aged Academic and Technical Leaders of Yunnan Province [202105AC160023]; Science and Technology Project of Yunnan Province [202201AT070181]; Top Young Talent of Ten Thou- sand Talents Program of Yunnan Province [YNWR-QNBJ-2020-253]</t>
  </si>
  <si>
    <t>National Natural Science Foundation of China(National Natural Science Foundation of China (NSFC)); Yunnan Science Foundation for Excellent Young Scholars; Youth Innovation Promotion Association CAS; Reserve Talents of Young and Middle -Aged Academic and Technical Leaders of Yunnan Province; Science and Technology Project of Yunnan Province; Top Young Talent of Ten Thou- sand Talents Program of Yunnan Province</t>
  </si>
  <si>
    <t>This work was financially supported by the National Natural Science Foundation of China (31970377) , the Yunnan Science Foundation for Excellent Young Scholars (202001AW070010) , the Youth Innovation Promotion Association CAS (2019381) , the Reserve Talents of Young and Middle -Aged Academic and Technical Leaders of Yunnan Province (202105AC160023) , the Science and Technology Project of Yunnan Province (202201AT070181) , and the Top Young Talent of Ten Thou- sand Talents Program of Yunnan Province (YNWR-QNBJ-2020-253) . We are also appreciated China Scientific Computing Grid (http:// www.scgrid.cn) for the assistance of ECD calculations.</t>
  </si>
  <si>
    <t>10.1016/j.phytochem.2022.113394</t>
  </si>
  <si>
    <t>5A7UU</t>
  </si>
  <si>
    <t>WOS:000863089100014</t>
  </si>
  <si>
    <t>Chen, C; Liu, JW; Guo, LL; Xiong, F; Ran, XQ; Guo, YR; Yao, YG; Hao, XJ; Luo, RC; Zhang, Y</t>
  </si>
  <si>
    <t>Chen, Chen; Liu, Jian-Wen; Guo, Ling-Li; Xiong, Feng; Ran, Xiao-Qian; Guo, Ya-Rong; Yao, Yong-Gang; Hao, Xiao-Jiang; Luo, Rong-Can; Zhang, Yu</t>
  </si>
  <si>
    <t>Monoterpenoid indole alkaloid dimers from Kopsia arborea inhibit cyclin-dependent kinase 5 and tau phosphorylation</t>
  </si>
  <si>
    <t>Kopsia arborea Blume; Apocynaceae; Monoterpenoid indole alkaloids; Kopoffines A-C; Cyclin-dependent kinase 5; Tau phosphorylation</t>
  </si>
  <si>
    <t>ALZHEIMERS-DISEASE; BISINDOLE ALKALOIDS; A-I; CDK5; NEURODEGENERATION; RHAZINILAM; NEURONS</t>
  </si>
  <si>
    <t>Three undescribed monoterpenoid indole alkaloid dimers (kopoffines A-C, which are connected via a methylene unit) and with nine known alkaloids were isolated and identified from the fruits of Kopsia arborea Blume. Their structures, including their absolute configurations, were established by HRESIMS, NMR, single-crystal X-ray diffraction, and ECD analyses. Kopoffines A-C showed significant inhibition against cyclin-dependent kinase 5 (IC50: 0.34-2.18 mu M). Western blotting analyses showed that kopoffines A-C significantly decreased the protein levels of CDK5 and phospho-CDK5 (Tyr15) (pCDK5) at concentrations of 2.5 and 10 mu M. The levels of phospho-Tau (Thr217) (pTau217, a new biomarker of AD), and phospho-Tau (Ser396) (pTau396), which play major roles in the formation of neurofibrillary tangles , were decreased by the kopoffines A-C treatment. Molecular docking studies indicated that kopoffines A-C could form stable interactions with CDK5.</t>
  </si>
  <si>
    <t>Chen, Chen</t>
  </si>
  <si>
    <t>[Chen, Chen; Liu, Jian-Wen; Guo, Ling-Li; Xiong, Feng; Hao, Xiao-Jiang; Zhang, Yu] Chinese Acad Sci, Kunming Inst Bot, State Key Lab Phytochem &amp; Plant Resources West Chi, Kunming 650201, Yunnan, Peoples R China; [Ran, Xiao-Qian; Guo, Ya-Rong; Yao, Yong-Gang; Luo, Rong-Can] Chinese Acad Sci &amp; Yunnan Prov, Key Lab Anim Models &amp; Human Dis Mech, Kunming 650204, Yunnan, Peoples R China; [Ran, Xiao-Qian; Guo, Ya-Rong; Yao, Yong-Gang; Luo, Rong-Can] Chinese Acad Sci, Kunming Inst Zool, KIZ CUHK Joint Lab Bioresources &amp; Mol Res Common D, Kunming 650204, Yunnan, Peoples R China; [Hao, Xiao-Jiang] Chinese Acad Med Sci, Res Unit Chem Biol Nat Antivirus Prod, Beijing 100730, Peoples R China; [Ran, Xiao-Qian; Yao, Yong-Gang; Luo, Rong-Can] Univ Chinese Acad Sci, Kunming Coll Life Sci, Kunming 650201, Yunnan, Peoples R China; [Guo, Ya-Rong] Univ Sci &amp; Technol China, Sch Life Sci, Div Life Sci &amp; Med, Hefei 230026, Anhui, Peoples R China</t>
  </si>
  <si>
    <t>Chinese Academy of Sciences; Kunming Institute of Botany, CAS; Chinese Academy of Sciences; Chinese Academy of Sciences; Kunming Institute of Zoology; Chinese Academy of Medical Sciences - Peking Union Medical College; Chinese Academy of Sciences; University of Chinese Academy of Sciences, CAS; Chinese Academy of Sciences; University of Science &amp; Technology of China, CAS</t>
  </si>
  <si>
    <t>Hao, XJ; Zhang, Y (通讯作者)，Chinese Acad Sci, Kunming Inst Bot, State Key Lab Phytochem &amp; Plant Resources West Chi, Kunming 650201, Yunnan, Peoples R China.;Luo, RC (通讯作者)，Chinese Acad Sci &amp; Yunnan Prov, Key Lab Anim Models &amp; Human Dis Mech, Kunming 650204, Yunnan, Peoples R China.;Luo, RC (通讯作者)，Chinese Acad Sci, Kunming Inst Zool, KIZ CUHK Joint Lab Bioresources &amp; Mol Res Common D, Kunming 650204, Yunnan, Peoples R China.</t>
  </si>
  <si>
    <t>haoxj@mail.kib.ac.cn; luorongcan@mail.kiz.ac.cn; zhangyu@mail.kib.ac.cn</t>
  </si>
  <si>
    <t>/0000-0001-8562-344X; Luo, Rongcan/0000-0003-4472-7079</t>
  </si>
  <si>
    <t>National Natural Science Foundation of China [81874295, 32170988, 31900737]; Yunnan Revitalization Talents Support Plan-Young Talent Project; DR PLANT, Basic Research Program of Yunnan Province [202201AW070010, 202001AT070107]; Youth Innovation Promotion Association of CAS [2021000011]; Original Innovation Project from 0 to 1 of the Basic Frontier Scientific Research Program, CAS [ZDBS-LY-SM031]; CAS Light of West China Program [2020000023]; Young scientific and technological talents promotion project of Yunnan Association for Science and Technology [2022000043]</t>
  </si>
  <si>
    <t>National Natural Science Foundation of China(National Natural Science Foundation of China (NSFC)); Yunnan Revitalization Talents Support Plan-Young Talent Project; DR PLANT, Basic Research Program of Yunnan Province; Youth Innovation Promotion Association of CAS; Original Innovation Project from 0 to 1 of the Basic Frontier Scientific Research Program, CAS; CAS Light of West China Program; Young scientific and technological talents promotion project of Yunnan Association for Science and Technology</t>
  </si>
  <si>
    <t>We thank the National Natural Science Foundation of China (81874295 to Y. Z, 32170988 and 31900737 to R. C. L.), Yunnan Revitalization Talents Support Plan-Young Talent Project (to Y. Z.), DR PLANT, Basic Research Program of Yunnan Province (202201AW070010 and 202001AT070107 to R. C. L.), the Youth Innovation Promotion Association of CAS (2021000011 to R. C. L.), the Original Innovation Project from 0 to 1 of the Basic Frontier Scientific Research Program, CAS (ZDBS-LY-SM031 to R. C. L.), the CAS Light of West China Program (2020000023 to R. C. L.), and the Young scientific and technological talents promotion project of Yunnan Association for Science and Technology (2022000043 to R. C. L) for financial support.</t>
  </si>
  <si>
    <t>10.1016/j.phytochem.2022.113392</t>
  </si>
  <si>
    <t>4W9HV</t>
  </si>
  <si>
    <t>WOS:000860466700005</t>
  </si>
  <si>
    <t>Luo, Q; Cao, WW; Cheng, YX</t>
  </si>
  <si>
    <t>Luo, Qi; Cao, Wen-Wen; Cheng, Yong-Xian</t>
  </si>
  <si>
    <t>Alkaloids, sesquiterpenoids and hybrids of terpenoid with p-hydroxycinnamic acid from Ganoderma sinensis and their biological evaluation</t>
  </si>
  <si>
    <t>Ganoderma sinensis; Ganodermataceae; Alkaloids; Sesquiterpenoids; Anti-acetylcholinesterase activities; Neurotrophic activities</t>
  </si>
  <si>
    <t>FRUITING BODIES; MEROTERPENOIDS; DIKETOPIPERAZINES; TRITERPENOIDS; METABOLITES; LUCIDUM; LEAVES</t>
  </si>
  <si>
    <t>The fruiting bodies of Ganoderma sinensis are used as food raw materials of marketed healthcare products. To gain an insight into the chemical and biological profling of G. sinensis, twenty-five compounds including eleven undescribed ones (ganodermasines A-K) and fourteen known ones were isolated. Among them, ganodermasines A-D are undescribed diketopiperazine alkaloids, ganodermasines E and F are alkaloids containing a pyridine. The structures of undescribed compounds were identified by spectroscopic, computational, and crystallographic methods. The results of acetylcholinesterase (AchE) inhibitory activity show that ganodermasines I and J could inhibit AchE with IC50 values of 26.05 and 20.40 mu M, respectively. In addition, neurotrophic assay in PC-12 cells showed that (+)-ganodermasine E, (-)-ganodermasine E, and ganodermasine I could stimulate neurite outgrowth at 10 mu M, while the other isolates are inactive. The present findings will lend a hand for further utilization of G. sinensis.</t>
  </si>
  <si>
    <t>Luo, Qi</t>
  </si>
  <si>
    <t>[Luo, Qi; Cao, Wen-Wen; Cheng, Yong-Xian] Chinese Acad Sci, Kunming Inst Bot, State Key Lab Phytochem &amp; Plant Resource West Chin, Kunming 650201, Peoples R China; [Cheng, Yong-Xian] Shenzhen Univ, Inst Inheritance Based Innovat Chinese Med, Hlth Sci Ctr, Sch Pharmaceut Sci, Shenzhen 518060, Peoples R China; [Luo, Qi] Southern Med Univ, Sch Tradit Chinese Med, Guangdong Prov Key Lab Chinese Med Pharmaceut, Guangzhou 510515, Peoples R China; [Cheng, Yong-Xian] Hanshan Normal Univ, Sch Life Sci &amp; Food Engn, Guangdong Key Lab Funct Subst Med Edible Resources, Chaozhou 521041, Peoples R China</t>
  </si>
  <si>
    <t>Chinese Academy of Sciences; Kunming Institute of Botany, CAS; Shenzhen University; Southern Medical University - China; Hanshan Normal University</t>
  </si>
  <si>
    <t>Cheng, YX (通讯作者)，Chinese Acad Sci, Kunming Inst Bot, State Key Lab Phytochem &amp; Plant Resource West Chin, Kunming 650201, Peoples R China.</t>
  </si>
  <si>
    <t>yxcheng@szu.edu.cn</t>
  </si>
  <si>
    <t>National Science Fund for Distinguished Young Scholars [81525026]; National Natural Science Foundation of China [82030115, 82104039]; Guangdong Key Laboratory for Functional Substances in Medicinal Edible Resources and Healthcare Products [2021B1212040015]</t>
  </si>
  <si>
    <t>National Science Fund for Distinguished Young Scholars(National Natural Science Foundation of China (NSFC)National Science Fund for Distinguished Young Scholars); National Natural Science Foundation of China(National Natural Science Foundation of China (NSFC)); Guangdong Key Laboratory for Functional Substances in Medicinal Edible Resources and Healthcare Products</t>
  </si>
  <si>
    <t>This study was financially supported by National Science Fund for Distinguished Young Scholars (81525026) , National Natural Science Foundation of China (82030115 and 82104039) , Guangdong Key Laboratory for Functional Substances in Medicinal Edible Resources and Healthcare Products (2021B1212040015) .</t>
  </si>
  <si>
    <t>10.1016/j.phytochem.2022.113379</t>
  </si>
  <si>
    <t>4W7DY</t>
  </si>
  <si>
    <t>WOS:000860320000004</t>
  </si>
  <si>
    <t>Geng, XW; Tang, RH; Zhang, AL; Du, ZZ; Yang, LP; Xu, YQ; Zhong, YL; Yang, R; Chen, WY; Pu, CX</t>
  </si>
  <si>
    <t>Geng, Xiuwen; Tang, Renhua; Zhang, Aili; Du, Zhizhi; Yang, Lipan; Xu, Yuqi; Zhong, Yiling; Yang, Run; Chen, Wenyun; Pu, Chunxia</t>
  </si>
  <si>
    <t>Mining, expression, and phylogenetic analysis of volatile terpenoid biosynthesis-related genes in different tissues of ten Elsholtzia species based on transcriptomic analysis</t>
  </si>
  <si>
    <t>Elsholtzia; Elsholtzieae; Transcriptome; Essential oil; Volatile terpenoids; Phylogenetic analysis</t>
  </si>
  <si>
    <t>METABOLIC CROSS-TALK; ESSENTIAL OIL; ISOPRENOID BIOSYNTHESIS; FUNCTIONAL-CHARACTERIZATION; SPECIALIZED METABOLISM; GLANDULAR TRICHOMES; SYNTHASE GENE; DIVERSITY; PATHWAYS; GERANIOL</t>
  </si>
  <si>
    <t>We sequenced the leaf and inflorescence transcriptomes of 10 Elsholtzia species to mine genes related to the volatile terpenoid metabolic pathway. A total of 184.68 GB data and 1,231,162,678 clean reads were obtained from 20 Elsholtzia samples, and 333,848 unigenes with an average length of at least 1440 bp were obtained by Trinity assembly. KEGG pathway analysis showed that there were three pathways related to volatile terpene metabolism: terpenoid backbone biosynthesis (No. ko00900), monoterpenoid biosynthesis (No. ko00902), and sesquiterpenoid and triterpenoid biosynthesis (No. ko00909), with 437, 125, and 121 related unigenes, respectively. The essential oil content and composition in 20 Elsholtzia samples were determined by gas chromatography-mass spectrometry. The results showed that there were obvious interspecific differences among the 10 Elsholtzia species, but there were no significant differences between the different tissues among species. The expression levels of seven candidate genes involved in volatile terpenoid biosynthesis in Elsholtzia were further analyzed by quantitative real-time PCR. The results showed that HMGS had the highest expression among all genes, followed by GGPS4. In addition, there was not a significant correlation between the seven genes and the components with high essential oil contents. Combined with the essential oil components detected in this study, the possible biosynthetic pathway of the characteristic components in Elsholtzia plants was speculated to be a metabolic pathway with geraniol as the starting point and elsholtzione as the end product. Phylogenetic analysis was conducted using the nucleotide sequences of the geranyl diphosphate synthase candidate genes, and the results showed that genes related to the volatile terpenoid biosynthetic pathway may be more suitable gene fragments for resolving the Elsholtzia phylogeny.</t>
  </si>
  <si>
    <t>Geng, Xiuwen</t>
  </si>
  <si>
    <t>[Geng, Xiuwen; Tang, Renhua; Zhang, Aili; Yang, Lipan; Xu, Yuqi; Zhong, Yiling; Yang, Run; Pu, Chunxia] Yunnan Univ Chinese Med, Coll Chinese Mat Med, Kunming 650500, Yunnan, Peoples R China; [Geng, Xiuwen; Tang, Renhua; Zhang, Aili; Yang, Lipan; Xu, Yuqi; Zhong, Yiling; Yang, Run; Pu, Chunxia] Yunnan Univ Chinese Med, Yunnan Key Lab Southern Med Utilizat, Kunming 650500, Yunnan, Peoples R China; [Du, Zhizhi; Chen, Wenyun] Chinese Acad Sci, Key Lab Econ Plants &amp; Biotechnol, Kunming 650201, Peoples R China; [Du, Zhizhi; Chen, Wenyun] Chinese Acad Sci, Kunming Inst Bot, Yunnan Key Lab Wild Plant Resources, Kunming 650201, Peoples R China</t>
  </si>
  <si>
    <t>Yunnan University of Chinese Medicine; Yunnan University of Chinese Medicine; Chinese Academy of Sciences; Chinese Academy of Sciences; Kunming Institute of Botany, CAS</t>
  </si>
  <si>
    <t>Pu, CX (通讯作者)，Yunnan Univ Chinese Med, Coll Chinese Mat Med, Kunming 650500, Yunnan, Peoples R China.;Pu, CX (通讯作者)，Yunnan Univ Chinese Med, Yunnan Key Lab Southern Med Utilizat, Kunming 650500, Yunnan, Peoples R China.;Chen, WY (通讯作者)，Chinese Acad Sci, Key Lab Econ Plants &amp; Biotechnol, Kunming 650201, Peoples R China.;Chen, WY (通讯作者)，Chinese Acad Sci, Kunming Inst Bot, Yunnan Key Lab Wild Plant Resources, Kunming 650201, Peoples R China.</t>
  </si>
  <si>
    <t>chenwy@mail.kib.ac.cn; puchunxia@ynutcm.edu.cn</t>
  </si>
  <si>
    <t>Geng, Xiuwen/0000-0002-5181-7227; Tang, Renhua/0000-0002-1363-6679; Chen, Wen-Yun/0000-0001-5560-407X</t>
  </si>
  <si>
    <t>National Natural Science Foundation of China [31660082]; Yunnan Key Laboratory of Southern Medicinal Utilization [202005AG070157]</t>
  </si>
  <si>
    <t>National Natural Science Foundation of China(National Natural Science Foundation of China (NSFC)); Yunnan Key Laboratory of Southern Medicinal Utilization</t>
  </si>
  <si>
    <t>Acknowledgments This work is supported by grants from the National Natural Science Foundation of China (31660082) , and Yunnan Key Laboratory of Southern Medicinal Utilization (202005AG070157) . We thank Mallory Eckstut, PhD, from Liwen Bianji (Edanz) ( www.liwenbianji.cn/) , for editing the English text of a draft of this manuscript.</t>
  </si>
  <si>
    <t>10.1016/j.phytochem.2022.113419</t>
  </si>
  <si>
    <t>4P7DP</t>
  </si>
  <si>
    <t>WOS:000855552500002</t>
  </si>
  <si>
    <t>Gao, Z; Ma, WJ; Li, TZ; Ma, YB; Hu, J; Huang, XY; Geng, CA; He, XF; Zhang, XM; Chen, JJ</t>
  </si>
  <si>
    <t>Gao, Zhen; Ma, Wen-Jing; Li, Tian-Ze; Ma, Yun-Bao; Hu, Jing; Huang, Xiao-Yan; Geng, Chang-An; He, Xiao-Feng; Zhang, Xue-Mei; Chen, Ji-Jun</t>
  </si>
  <si>
    <t>Artemidubolides A-T, cytotoxic unreported guaiane-type sesquiterpenoid dimers against three hepatoma cell lines from Artemisia dubia</t>
  </si>
  <si>
    <t>Artemisia dubia; Asteraceae; Guaianolide dimers; Antihepatoma activity; Artemidubolides A-T</t>
  </si>
  <si>
    <t>GUAIANOLIDES; INHIBITORS</t>
  </si>
  <si>
    <t>A random bioassay revealed that the EtOH extract and EtOAc fraction of Artemisia dubia Wall. (Asteraceae) exhibited cytotoxic activity against HepG2 cells with inhibitory ratios of 57.1% and 84.2% at a concentration of 100.0 mu g/mL. Bio-guided isolation combined by LC-MS-IT-TOF analyses of the active fractions led to the isolation of 20 previously undescribed guaiane-type sesquiterpenoid dimers named artemidubolides A-T (1-20). Their structures and the absolute configurations were determined by comprehensive spectral analyses, comparison of the experimental and calculated ECD spectra, and seven compounds (artemidubolides A, B, D, F, K, O and R) were confirmed unequivocally by single crystal X-ray diffraction analysis. Structurally, artemidubolides A-Q were [4 + 2] Diels-Alder adducts of two monomeric guaianolides, and artemidubolides R-T were linked though an ester bond. All the isolated compounds were evaluated for their hepatomatic cytotoxicity against HepG2, Huh7, and SK-Hep-1 cell lines to demonstrate that 18 compounds exhibited obvious cytotoxicity against three tested hepatoma cell lines with IC50 values in the range of 5.4-87.6 mu M. Importantly, artemidubolides B, D, and M exhibited hepatoma cytotoxicity with IC50 values of 5.4, 5.7, and 9.7 (HepG2), 8.2, 4.3, and 12.2 (Huh7), and 13.4, 8.4, and 12.9 mu M (SK-Hep-1), respectively. Mechanism investigation in HepG2 cells suggested the most active artemidubolide D dose-dependently inhibited cell migration and invasion, induced G1/M cell cycle arrest by down-regulating proteins CDK4, CDK6 and CyclinD1 and up-regulating the level of protein P21; and induced apoptosis by down-regulated of PARP-1 and BCL-2 expression and up-regulating Bax and cleaved PARP-1 levels.</t>
  </si>
  <si>
    <t>Gao, Zhen</t>
  </si>
  <si>
    <t>[Gao, Zhen; Ma, Wen-Jing; Li, Tian-Ze; Ma, Yun-Bao; Hu, Jing; Huang, Xiao-Yan; Geng, Chang-An; He, Xiao-Feng; Zhang, Xue-Mei; Chen, Ji-Jun] Chinese Acad Sci, Kunming Inst Bot, State Key Lab Phytochemistry &amp; Plant Resources Wes, Yunnan Key Lab Nat Med Chem, Kunming 650201, Peoples R China; [Gao, Zhen; Ma, Wen-Jing; Chen, Ji-Jun] Univ Chinese Acad Sci, Beijing 100049, Peoples R China; [Chen, Ji-Jun] Chinese Acad Sci, Kunming Inst Bot, State Key Lab Phytochemistry &amp; Plant Resources Wes, 132 Lanhei Rd, Kunming 650201, Yunnan, Peoples R China</t>
  </si>
  <si>
    <t>Chen, JJ (通讯作者)，Chinese Acad Sci, Kunming Inst Bot, State Key Lab Phytochemistry &amp; Plant Resources Wes, 132 Lanhei Rd, Kunming 650201, Yunnan, Peoples R China.</t>
  </si>
  <si>
    <t>DAAD (Deutscher Akademischer Aus-tauschdienst/German Academic Exchange Service) [22137008]; Xingdian Yingcai Project [YNWR-KJLJ-2019-002]; Youth Innovation Promotion Association, CAS [2020386]; Reserve Talents of Young and Middle-aged Academic and Technical Leaders in Yunnan Province [202105AC160021]; State Key Laboratory of Phytochemistry and Plant Resources in West China [P2021-ZZ06]</t>
  </si>
  <si>
    <t>DAAD (Deutscher Akademischer Aus-tauschdienst/German Academic Exchange Service)(Deutscher Akademischer Austausch Dienst (DAAD)); Xingdian Yingcai Project; Youth Innovation Promotion Association, CAS; Reserve Talents of Young and Middle-aged Academic and Technical Leaders in Yunnan Province; State Key Laboratory of Phytochemistry and Plant Resources in West China</t>
  </si>
  <si>
    <t>This work was supported by the Key Program of the National Natural Science Foundation of China (22137008) , the Xingdian Yingcai Project (YNWR-KJLJ-2019-002) , the Youth Innovation Promotion Association, CAS (2020386) , the Reserve Talents of Young and Middle-aged Academic and Technical Leaders in Yunnan Province (202105AC160021) , and the State Key Laboratory of Phytochemistry and Plant Resources in West China (P2021-ZZ06) .</t>
  </si>
  <si>
    <t>10.1016/j.phytochem.2022.113299</t>
  </si>
  <si>
    <t>3Y4CJ</t>
  </si>
  <si>
    <t>WOS:000843673700006</t>
  </si>
  <si>
    <t>Yu, GX; Yu, Y; Jing-Wu; Zeng, LH; Schinnerl, J; Cai, XH</t>
  </si>
  <si>
    <t>Yu, Guang-Xing; Yu, Yang; Jing-Wu; Zeng, Ling-Hui; Schinnerl, Johann; Cai, Xiang-Hai</t>
  </si>
  <si>
    <t>Cephalotaxine homologous alkaloids from seeds of Cephalotaxus oliveri Mast</t>
  </si>
  <si>
    <t>Cephalotaxusoliveri; Cephalotaxaceae; Isoquinolinealkaloids; CephaloliverinesA-F</t>
  </si>
  <si>
    <t>BIOSYNTHESIS; HOMOHARRINGTONINE; MEPESUCCINATE; ERYTHRINA</t>
  </si>
  <si>
    <t>Six undescribed isoquinoline alkaloids, named as cephaloliverines A-F, were isolated from the seeds of Ceph-alotaxus oliveri. They were identified by NMR and MS spectroscopic data analyses, combined with the time -dependent density functional theory ECD calculation for cephaloliverines A and B and also by X-ray crystal diffraction for cephaloliverine E. Biosynthetic considerations suggest that cephaloliverines A-D are homologous of cephalotaxine-, homoerythrina-and Erythrina-type alkaloids. The performed bioassay revealed no cytotoxic activity against cancer cells and no neuroprotective properties on HEI-OC-1 cells model.</t>
  </si>
  <si>
    <t>Yu, Guang-Xing</t>
  </si>
  <si>
    <t>[Yu, Guang-Xing; Yu, Yang; Jing-Wu; Cai, Xiang-Hai] Chinese Acad Sci, Kunming Inst Bot, State Key Lab Phytochem &amp; Plant Resources West Chi, Kunming 650201, Peoples R China; [Yu, Guang-Xing] Univ Chinese Acad Sci, Beijing 100039, Peoples R China; [Zeng, Ling-Hui] Zhejiang Univ City Coll, Hangzhou 310015, Peoples R China; [Schinnerl, Johann] Univ Vienna, Dept Bot &amp; Biodivers Res, Rennweg 14, A-1030 Vienna, Austria</t>
  </si>
  <si>
    <t>Chinese Academy of Sciences; Kunming Institute of Botany, CAS; Chinese Academy of Sciences; University of Chinese Academy of Sciences, CAS; Zhejiang University City College; University of Vienna</t>
  </si>
  <si>
    <t>Cai, XH (通讯作者)，Chinese Acad Sci, Kunming Inst Bot, State Key Lab Phytochem &amp; Plant Resources West Chi, Kunming 650201, Peoples R China.;Zeng, LH (通讯作者)，Zhejiang Univ City Coll, Hangzhou 310015, Peoples R China.</t>
  </si>
  <si>
    <t>zenglh@zucc.edu.cn; xhcai@mail.kib.ac.cn</t>
  </si>
  <si>
    <t>National Natural Science Foundation of China [31872677]</t>
  </si>
  <si>
    <t>Acknowledgments This project was funded in part by the National Natural Science Foundation of China (No. 31872677) .</t>
  </si>
  <si>
    <t>10.1016/j.phytochem.2022.113220</t>
  </si>
  <si>
    <t>3F9YE</t>
  </si>
  <si>
    <t>WOS:000831014500001</t>
  </si>
  <si>
    <t>Liang, Y; Li, LQ; Shen, Y; Zheng, YY; Li, Q; Tong, QY; Zhou, Q; Li, XN; Li, DY; Zhu, HC; Sun, WG; Chen, CM; Zhang, YH</t>
  </si>
  <si>
    <t>Liang, Yu; Li, Lanqin; Shen, Yong; Zheng, Yuyi; Li, Qin; Tong, Qingyi; Zhou, Qun; Li, Xiao-Nian; Li, Dongyan; Zhu, Hucheng; Sun, Weiguang; Chen, Chunmei; Zhang, Yonghui</t>
  </si>
  <si>
    <t>Four undescribed ergostane-type steroids from Lasiodiplodia pseudotheobromae and their neuroprotective activity</t>
  </si>
  <si>
    <t>Lasiodiplodia pseudotheobromae; Botryosphaeriaceae; Ergostane-type steroids; Single-crystal X-ray diffraction; Neuroprotective activity</t>
  </si>
  <si>
    <t>ACID</t>
  </si>
  <si>
    <t>Four undescribed ergostane-type steroids, (22E,24R)-4 alpha,5 alpha-epoxyergosta-9 alpha,14 beta-dihydroxy-7,22-diene-3,6dione, (22E,24R)-4 alpha,5 alpha-epoxyergosta-9 alpha,14 alpha-dihydroxy-7,22-diene-3,6-dione, 12 alpha-hydroxyergosta-7,22,24(28)triene-3-one, and 3 beta,12 alpha-dihydroxyergosta-7,24(28)-diene, along with a known congener (22E,24R)-9 alpha,14 beta dihydroxyergosta-4,7,22-triene-3,6-dione, were isolated from the fungus Lasiodiplodia pseudotheobromae. Their structures were elucidated using NMR, HRESIMS, ECD calculation, and X-ray diffraction analyses. (22E,24R)4 alpha,5 alpha-epoxyergosta-9 alpha,14 beta-dihydroxy-7,22-diene-3,6-dione and (22E,24R)-4 alpha,5 alpha-epoxyergosta-9 alpha,14 alpha-dihydroxy-7,22-diene-3,6-dione are a pair of C-14 epimers possessing an unusual epoxy group between C-4 and C-5, which was demonstrated using single-crystal X-ray diffraction analyses. The absolute configurations of 12 alpha hydroxyergosta-7,22,24(28)-triene-3-one and 3 beta,12 alpha-dihydroxyergosta-7,24(28)-diene were determined by ECD calculations. Moreover, 3 beta,12 alpha-dihydroxyergosta-7,24(28)-diene exhibited neuroprotective activity in vitro in glutamate-treated SH-SY5Y cell lines.</t>
  </si>
  <si>
    <t>Liang, Yu</t>
  </si>
  <si>
    <t>[Liang, Yu; Li, Lanqin; Shen, Yong; Zheng, Yuyi; Li, Qin; Tong, Qingyi; Zhou, Qun; Li, Xiao-Nian; Zhu, Hucheng; Sun, Weiguang; Chen, Chunmei; Zhang, Yonghui] Huazhong Univ Sci &amp; Technol, Tongji Med Coll, Sch Pharm, Hubei Key Lab Nat Med Chem &amp; Resource Evaluat, Wuhan 430030, Peoples R China; [Li, Xiao-Nian] Chinese Acad Sci, Kunming Inst Bot, State Key Lab Phytochemistry &amp; Plant Resources Wes, Kunming 650204, Peoples R China; [Li, Dongyan] Huazhong Univ Sci &amp; Technol, Tongji Hosp, Tongji Med Coll, Wuhan 430030, Peoples R China</t>
  </si>
  <si>
    <t>Huazhong University of Science &amp; Technology; Chinese Academy of Sciences; Kunming Institute of Botany, CAS; Huazhong University of Science &amp; Technology</t>
  </si>
  <si>
    <t>Sun, WG; Chen, CM; Zhang, YH (通讯作者)，Huazhong Univ Sci &amp; Technol, Tongji Med Coll, Sch Pharm, Hubei Key Lab Nat Med Chem &amp; Resource Evaluat, Wuhan 430030, Peoples R China.</t>
  </si>
  <si>
    <t>weiguang_sun@hust.edu.cn; chenchunmei@hust.edu.cn; zhangyh@mails.tjmu.edu.cn</t>
  </si>
  <si>
    <t>zhu, hu/GQQ-8365-2022</t>
  </si>
  <si>
    <t>Program for Changjiang Scholars of Ministry of Education of the People's Republic of China [T2016088]; National Natural Science Foundation for Distinguished Young Scholars [81725021]; National Natural Science Foundation for Excellent Young Scholars [81922065]; Innovative Research Groups of the National Natural Science Foundation of China [81721005]; National Natural Science Foundation of China [31972865]; Science and Technology Major Project of Hubei Province [2021ACA012]; Research and Development Program of Hubei Province [2020BCA058]; Natural Science Foundation of Hubei Province [2021CFB362]; Tongji-Rongcheng Center for Biomedicine, Huazhong University of Science and Technology</t>
  </si>
  <si>
    <t>Program for Changjiang Scholars of Ministry of Education of the People's Republic of China; National Natural Science Foundation for Distinguished Young Scholars(National Natural Science Foundation of China (NSFC)National Science Fund for Distinguished Young Scholars); National Natural Science Foundation for Excellent Young Scholars; Innovative Research Groups of the National Natural Science Foundation of China(National Natural Science Foundation of China (NSFC)); National Natural Science Foundation of China(National Natural Science Foundation of China (NSFC)); Science and Technology Major Project of Hubei Province; Research and Development Program of Hubei Province; Natural Science Foundation of Hubei Province(Natural Science Foundation of Hubei Province); Tongji-Rongcheng Center for Biomedicine, Huazhong University of Science and Technology</t>
  </si>
  <si>
    <t>This work was financially supported by the Program for Changjiang Scholars of Ministry of Education of the People's Republic of China (No. T2016088) ; the National Natural Science Foundation for Distinguished Young Scholars (81725021) ; the National Natural Science Foundation for Excellent Young Scholars (81922065) ; Innovative Research Groups of the National Natural Science Foundation of China (81721005) ; the National Natural Science Foundation of China (31972865) ; the Science and Technology Major Project of Hubei Province (2021ACA012) ; the Research and Development Program of Hubei Province (2020BCA058) ; the Natural Science Foundation of Hubei Province (2021CFB362) ; and Tongji-Rongcheng Center for Biomedicine, Huazhong University of Science and Technology. We thank the Analytical and Testing Center at Huazhong University of Science and Technology for assistance in the acquisition of the ECD, UV, and IR spectra.</t>
  </si>
  <si>
    <t>10.1016/j.phytochem.2022.113248</t>
  </si>
  <si>
    <t>2D3DP</t>
  </si>
  <si>
    <t>WOS:000811432500009</t>
  </si>
  <si>
    <t>Yang, YH; Zhao, J; Du, ZZ</t>
  </si>
  <si>
    <t>Yang, Yu-Han; Zhao, Jie; Du, Zhi-Zhi</t>
  </si>
  <si>
    <t>Unravelling the key aroma compounds in the characteristic fragrance of Dendrobium officinale flowers for potential industrial application</t>
  </si>
  <si>
    <t>Dendrobium officinale; Orchidaceae; Aroma-active compounds; Solvent-assisted flavor evaporation; Progressive addition test; Aroma profile reconstruction</t>
  </si>
  <si>
    <t>POLYSACCHARIDES</t>
  </si>
  <si>
    <t>Dendrobium officinale Kimura et Migo, one of the most important orchids because of its medicinal and edible value, has a typical Dendrobium Sw. flora scent, which has great application potential and commercial value to be characterized. The aroma-active compounds originating from D. officinale fresh flowers (DFF) were investigated using a sensomics approach. A combined solid phase microextraction and solvent-assisted flavor evaporation method were used to accurately capture the overall aromatic profile. Exactly 34 odorants were detected and identified by aroma extract dilution analysis (AEDA) coupled with gas chromatography/olfactometry-mass spectrometry (GC/O-MS) in DFF, of which nine odorants had a flavor dilution (FD) factor &gt;= 27. All 34 odorants were further quantified. The odor activity values (OAVs) were calculated with the highest value of 7444, in which 18 compounds were confirmed to be key odorants, including 1-octen-3-ol, hexanal, nonanal, phenyl-acetaldehyde, linalool, 4-oxoisophorone, theaspirane, methyl salicylate, etc. Among the studies above, 42 out of 78 volatiles and 14 out of 34 odorants were identified in DFF for the first time. Then, the aroma profile of the DFF was simulated successfully by aroma recombination experiments based on the quantitation results, and the omission test suggested that alcohols are the decisive type of compounds in the DFF key odorants. In addition, a progressive addition test showed that the aroma recombinate prepared with 18 reference key odorants was able to reconstruct the characteristic aroma of DFF. In comparison, the recombinate constituted by mixing all 34 reference odorants in the same concentrations as determined in the DDF sample could mimic the flower scent and closely match the sensory attributes of the original D. officinale fresh flower.</t>
  </si>
  <si>
    <t>Yang, Yu-Han</t>
  </si>
  <si>
    <t>[Yang, Yu-Han; Zhao, Jie; Du, Zhi-Zhi] Chinese Acad Sci, Kunming Inst Bot, Dept Econ Plants &amp; Biotechnol, Yunnan Key Lab Wild Plant Resources, Kunming 650201, Yunnan, Peoples R China; [Yang, Yu-Han; Zhao, Jie] Univ Chinese Acad Sci, Beijing 100049, Peoples R China; [Du, Zhi-Zhi] Chinese Acad Sci, Kunming Inst Bot, Bioinnovat Ctr DR PLANT, Kunming 650201, Yunnan, Peoples R China</t>
  </si>
  <si>
    <t>Yunnan Provincial Scientific Research Project of 'FangGuanFu' [2019-1-N-25318000002120]; Bio-Innovation Center of DR PLANT</t>
  </si>
  <si>
    <t>Yunnan Provincial Scientific Research Project of 'FangGuanFu'; Bio-Innovation Center of DR PLANT</t>
  </si>
  <si>
    <t>This research was supported by grants from Yunnan Provincial Scientific Research Project of 'FangGuanFu' (2019-1-N-25318000002120) and Bio-Innovation Center of DR PLANT.</t>
  </si>
  <si>
    <t>10.1016/j.phytochem.2022.113223</t>
  </si>
  <si>
    <t>1U5DT</t>
  </si>
  <si>
    <t>WOS:000805433900005</t>
  </si>
  <si>
    <t>Tu, WC; Ding, LF; Peng, LY; Song, LD; Wu, XD; Zhao, QS</t>
  </si>
  <si>
    <t>Tu, Wen-Chao; Ding, Lin-Fen; Peng, Li-Yan; Song, Liu-Dong; Wu, Xing-De; Zhao, Qin-Shi</t>
  </si>
  <si>
    <t>Cassane diterpenoids from the seeds of Caesalpinia bonduc and their nitric oxide production and alpha-glucosidase inhibitory activities</t>
  </si>
  <si>
    <t>Caesalpinia bonduc (L.) roxb; Fabaceae; Cassane diterpenoids; alpha-glucosidase inhibitory activity; Nitric oxide (NO) inhibitory activity</t>
  </si>
  <si>
    <t>CRISTA; FURANODITERPENES; STEREOCHEMISTRY; LEAVES; L.</t>
  </si>
  <si>
    <t>Ten previously undescribed cassane diterpenoids, cassabonducins A-J, and eleven known compounds were isolated from the seeds of Caesalpinia bonduc. The structures of the undescribed compounds were elucidated by extensive analysis of spectroscopic data (IR, HRESIMS, and H-1, C-13 and 2D NMR) and their absolute configurations were determined by the ECD data and single-crystal X-ray diffraction analysis. epsilon-Caesalpin-VII was obtained from natural resources for the first time. Cassabonducin A possessed noteworthy inhibitory activity against LPS-induced nitric oxide (NO) production in RAW 264.7 macrophages with IC50 value of 6.12 mu M. Cassabonducin D and neocaesalpin N showed moderate alpha-glucosidase inhibition at the concentration of 50 mu M with inhibitory capacities of 47.17% and 43.83%, respectively.</t>
  </si>
  <si>
    <t>Tu, Wen-Chao</t>
  </si>
  <si>
    <t>[Tu, Wen-Chao; Peng, Li-Yan; Wu, Xing-De; Zhao, Qin-Shi] Chinese Acad Sci, Kunming Inst Bot, State Key Lab Phytochem &amp; Plant Resources West Ch, Kunming 650201, Yunnan, Peoples R China; [Ding, Lin-Fen; Song, Liu-Dong] Kunming Med Univ, Sch Pharmaceut Sci, Kunming 650500, Yunnan, Peoples R China; [Ding, Lin-Fen; Song, Liu-Dong] Kunming Med Univ, Yunnan Key Lab Pharmacol Nat Prod, Kunming 650500, Yunnan, Peoples R China; [Wu, Xing-De] Yunnan Minzu Univ, Key Lab Ethn Med Resource Chem, State Ethn Affairs Commiss, Kunming 650500, Yunnan, Peoples R China; [Wu, Xing-De] Yunnan Minzu Univ, Minist Educ, Kunming 650500, Yunnan, Peoples R China</t>
  </si>
  <si>
    <t>peng, li/GQH-5153-2022</t>
  </si>
  <si>
    <t>National Natural Science Foundation of China [81773611, 21837003]; Science and Technology Program of Yunnan province [2019FA037]; Top Young Talent of the Ten Thousand Talents Program of Yunnan Province; Famous Teacher of the Ten Thousand Talents Program of Yunnan Province</t>
  </si>
  <si>
    <t>National Natural Science Foundation of China(National Natural Science Foundation of China (NSFC)); Science and Technology Program of Yunnan province; Top Young Talent of the Ten Thousand Talents Program of Yunnan Province; Famous Teacher of the Ten Thousand Talents Program of Yunnan Province</t>
  </si>
  <si>
    <t>This work was financially supported by the National Natural Science Foundation of China (Nos. 81773611 and 21837003), the Science and Technology Program of Yunnan province (No. 2019FA037), the Top Young Talent of the Ten Thousand Talents Program of Yunnan Province (X.-D. Wu), and the Famous Teacher of the Ten Thousand Talents Program of Yunnan Province (L.-D. Song).</t>
  </si>
  <si>
    <t>10.1016/j.phytochem.2021.112973</t>
  </si>
  <si>
    <t>1U2HO</t>
  </si>
  <si>
    <t>WOS:000805238400001</t>
  </si>
  <si>
    <t>Tang, YT; Wu, J; Bao, MF; Tan, QG; Cai, XH</t>
  </si>
  <si>
    <t>Tang, Yu-Ting; Wu, Jing; Bao, Mei-Fen; Tan, Qin-Gang; Cai, Xiang-Hai</t>
  </si>
  <si>
    <t>Dimeric Erythrina alkaloids as well as their key units from Erythrina variegata</t>
  </si>
  <si>
    <t>Erythrina variegata; Fabaceae; Dimeric alkaloids; Erythrivarines O-Z; Neuroprotective effect</t>
  </si>
  <si>
    <t>Ten dimeric and two monomeric Erythrina alkaloids, all of them are undescribed, were isolated from the bark of Erythrina variegata L. and named as erythrivarines O-Z. Their structures were determined on the basis of NMR and UV-spectroscopy and mass spectrometry. Dimeric Erythrina alkaloids with a C-10/11 linkage in erythrivarine O and a C-7/10' connectivity in erythrivarines P-U are not yet reported. The two identified monomeric alkaloids may be the precursors of the described dimeric derivatives. These co-occurring dimeric and monomeric alkaloids enabled us to propose a possible biosynthetic pathway leading to these dimers. Their effects of preventing hearing loss were additionally evaluated and erythrivarine T showed as a potential protector of the House Ear Institute-Organ of Corti 1 (HEI-OC-1) cells against neomycin.</t>
  </si>
  <si>
    <t>Tang, Yu-Ting</t>
  </si>
  <si>
    <t>[Tang, Yu-Ting; Tan, Qin-Gang] Guilin Med Univ, Sch Pharmaceut Sci, Guilin 541199, Peoples R China; [Tang, Yu-Ting; Wu, Jing; Bao, Mei-Fen; Cai, Xiang-Hai] Chinese Acad Sci, Kunming Inst Bot, State Key Lab Phytochem &amp; Plant Resources West Ch, Kunming 650201, Yunnan, Peoples R China</t>
  </si>
  <si>
    <t>Guilin Medical University; Chinese Academy of Sciences; Kunming Institute of Botany, CAS</t>
  </si>
  <si>
    <t>Tan, QG (通讯作者)，Guilin Med Univ, Sch Pharmaceut Sci, Guilin 541199, Peoples R China.;Cai, XH (通讯作者)，Chinese Acad Sci, Kunming Inst Bot, State Key Lab Phytochem &amp; Plant Resources West Ch, Kunming 650201, Yunnan, Peoples R China.</t>
  </si>
  <si>
    <t>qgtan@glmc.edu.cn; xhcai@mail.kib.ac.cn</t>
  </si>
  <si>
    <t>Tan, Qingang/0000-0003-1626-1240</t>
  </si>
  <si>
    <t>Acknowledgements This work was supported by the National Natural Science Foundation of China (31872677) .</t>
  </si>
  <si>
    <t>10.1016/j.phytochem.2022.113160</t>
  </si>
  <si>
    <t>0Z6XF</t>
  </si>
  <si>
    <t>WOS:000791218100003</t>
  </si>
  <si>
    <t>Xu, ZL; Yan, DJ; Tan, XM; Niu, SB; Yu, M; Sun, BD; Ding, CF; Zhang, YG; Ding, G</t>
  </si>
  <si>
    <t>Xu, Zhen-Lu; Yan, Dao-Jiang; Tan, Xiang-Mei; Niu, Shu-Bin; Yu, Meng; Sun, Bing-Da; Ding, Cai-Feng; Zhang, Yong-Gang; Ding, Gang</t>
  </si>
  <si>
    <t>Phaeosphspirone (1/1 '), a pair of unique polyketide enantiomers with an unusual 6/5/5/6 tetracyclic ring from the desert plant endophytic fungus Phaeosphaeriaceae sp.</t>
  </si>
  <si>
    <t>Phaeosphspirone; Phaeosphaeriaceae; Absolute configurations; Biosynthetic pathway; Cytotoxicity</t>
  </si>
  <si>
    <t>ASSISTED STRUCTURE ELUCIDATION; BIOSYNTHESIS; REVISION</t>
  </si>
  <si>
    <t>Phaeosphspirone, an undescribed polyketide with a unique 6/5/5/6-fused tetracyclic system, and two known analogues, herbarin and O-methylherbarin, were purified from the endophytic fungus Phaeosphaeriaceae sp. isolated from the desert plant Bassia dasyphylla. The connectivity and relative configuration of phaeosphspirone was elucidated by comprehensive HR-ESI-MS and NMR analysis together with a computer-assisted structure elucidation (CASE) method. A pair of enantiomers existing in phaeosphspirone were separated by HPLC chromatography after reacting with chiral reagents, from which the absolute configuration of phaeosphspirone was simultaneously determined based on Mosher's rule. This tandem strategy provides a useful approach for the separation and stereochemical determination of enantiomers possessing secondary hydroxyl groups. The structural feature of phaeosphspirone, herbarin and O-methylherbarin together with gene cluster analysis suggested their polyketide biosynthetic origin. Herbarin and O-methylherbarin exhibited moderate cytotoxicity against three cancer cell lines.</t>
  </si>
  <si>
    <t>Xu, Zhen-Lu</t>
  </si>
  <si>
    <t>[Xu, Zhen-Lu; Tan, Xiang-Mei; Yu, Meng; Ding, Gang] Peking Union Med Coll &amp; Chinese Acad Med Sci, Key Lab Bioact Subst &amp; Resources Utilizat Chinese, Minist Educ, Inst Med Plant Dev, Beijing 100193, Peoples R China; [Xu, Zhen-Lu; Zhang, Yong-Gang] Qilu Univ Technol, Biol Inst, Shandong Acad Sci, Jinan 250103, Shandong, Peoples R China; [Xu, Zhen-Lu; Zhang, Yong-Gang] Shandong Normal Univ, Coll Life Sci, Jinan 250014, Shandong, Peoples R China; [Yan, Dao-Jiang] Chinese Acad Med Sci &amp; Peking Union Med Coll, Inst Mat Med, State Key Lab Bioact Subst &amp; Funct Nat Med, Beijing 100050, Peoples R China; [Niu, Shu-Bin] Beijing City Univ, Sch Biol Med, Beijing 450046, Peoples R China; [Sun, Bing-Da] Chinese Acad Sci, Inst Microbiol, Beijing 100101, Peoples R China; [Ding, Cai-Feng] Chinese Acad Sci, Kunming Inst Bot, State Key Lab Phytochem &amp; Plant Resources West Ch, Kunming 650201, Yunnan, Peoples R China</t>
  </si>
  <si>
    <t>Chinese Academy of Medical Sciences - Peking Union Medical College; Institute of Medicinal Plant Development - CAMS; Peking Union Medical College; Qilu University of Technology; Shandong Normal University; Chinese Academy of Medical Sciences - Peking Union Medical College; Peking Union Medical College; Chinese Academy of Sciences; Institute of Microbiology, CAS; Chinese Academy of Sciences; Kunming Institute of Botany, CAS</t>
  </si>
  <si>
    <t>Ding, G (通讯作者)，Peking Union Med Coll &amp; Chinese Acad Med Sci, Key Lab Bioact Subst &amp; Resources Utilizat Chinese, Minist Educ, Inst Med Plant Dev, Beijing 100193, Peoples R China.;Zhang, YG (通讯作者)，Qilu Univ Technol, Biol Inst, Shandong Acad Sci, Jinan 250103, Shandong, Peoples R China.</t>
  </si>
  <si>
    <t>zhangygcq@163.com; gding@implad.ac.cn</t>
  </si>
  <si>
    <t>tan, xiangmei/GZA-7369-2022</t>
  </si>
  <si>
    <t>sun, bing da/0000-0003-0272-6422</t>
  </si>
  <si>
    <t>key project at central government level: The ability establishment of sustainable use for valuable Chinese medicine resources [2060302-2101-18]; National Natural Science Foundation of China [31570340, 31670011]</t>
  </si>
  <si>
    <t>key project at central government level: The ability establishment of sustainable use for valuable Chinese medicine resources; National Natural Science Foundation of China(National Natural Science Foundation of China (NSFC))</t>
  </si>
  <si>
    <t>We acknowledge financial support from key project at central government level: The ability establishment of sustainable use for valuable Chinese medicine resources (2060302-2101-18), and the National Natural Science Foundation of China (31570340 and 31670011).</t>
  </si>
  <si>
    <t>10.1016/j.phytochem.2021.112969</t>
  </si>
  <si>
    <t>XZ4DA</t>
  </si>
  <si>
    <t>WOS:000737602700001</t>
  </si>
  <si>
    <t>Wang, YJ; Chen, G; Meng, QQ; Yao, XH; Li, Y; Cao, HL; Lin, B; Hou, Y; Zhou, D; Li, N</t>
  </si>
  <si>
    <t>Wang, Yingjie; Chen, Gang; Meng, Qingqi; Yao, Xiaohu; Li, Yang; Cao, Honglin; Lin, Bin; Hou, Yue; Zhou, Di; Li, Ning</t>
  </si>
  <si>
    <t>Potential inhibitors of microglial activation from the roots of Vernicia montana Lour</t>
  </si>
  <si>
    <t>Vernicia montana Lour; Euphorbiaceae; Terpenoids; Lignans; Microglia</t>
  </si>
  <si>
    <t>ANTIINFLAMMATORY ACTIVITIES; MULTIDRUG-RESISTANCE; CONSTITUENTS; TERPENOIDS; NEOLIGNANS; DITERPENES; LEAVES; OIL</t>
  </si>
  <si>
    <t>During our continuous investigation of natural, herbal inhibitors of microglial over-activation in the Euphorbiaceae family, two plants of the Vernicia genus showed remarkable inhibitory effects on nitric oxide (NO) production in over-activated microglia. In this study, bioactivity-guided phytochemical research on the active fraction of the roots of V. montana was carried out. As a result, seven undescribed terpenoids and lignans, together with thirty-one known components, were isolated and identified using comprehensive spectral analysis. All the identified compounds were evaluated for their inhibitory effects on NO production in lipopolysaccharidestimulated BV-2 cells. Combined with our previous research on the Vernicia genus, the effective material basis of different plants and medicinal components was analyzed systematically.</t>
  </si>
  <si>
    <t>Wang, Yingjie</t>
  </si>
  <si>
    <t>[Wang, Yingjie; Chen, Gang; Li, Yang; Zhou, Di; Li, Ning] Shenyang Pharmaceut Univ, Sch Tradit Chinese Mat Med, Wenhua Rd 103, Shenyang 110016, Peoples R China; [Meng, Qingqi; Yao, Xiaohu; Hou, Yue] Northeastern Univ, Coll Life &amp; Hlth Sci, Shenyang 110004, Peoples R China; [Cao, Honglin] Chinese Acad Sci, South China Bot Garden, Guangzhou 510650, Peoples R China; [Lin, Bin] Shenyang Pharmaceut Univ, Sch Pharmaceut Engn, Shenyang 110016, Peoples R China; [Chen, Gang] Chinese Acad Sci, Kunming Inst Bot, State Key Lab Phytochem &amp; Plant Resources West Ch, Kunming, Yunnan, Peoples R China; [Chen, Gang] Guangxi Normal Univ, Sate Key Lab Chem &amp; Mol Engn Med Resources, Nanning, Peoples R China</t>
  </si>
  <si>
    <t>Shenyang Pharmaceutical University; Northeastern University - China; Chinese Academy of Sciences; South China Botanical Garden, CAS; Shenyang Pharmaceutical University; Chinese Academy of Sciences; Kunming Institute of Botany, CAS; Guangxi Normal University</t>
  </si>
  <si>
    <t>Zhou, D; Li, N (通讯作者)，Shenyang Pharmaceut Univ, Sch Tradit Chinese Mat Med, Wenhua Rd 103, Shenyang 110016, Peoples R China.</t>
  </si>
  <si>
    <t>zhoudi930322@163.com; liningsypharm@163.com</t>
  </si>
  <si>
    <t>National Natural Science Foundation of China, China [U1903122, 81872768]; Liaoning Revitalization Talents Program, China [XLYC1807118]; Shenyang Young Scientific and Technological Innovators Program, China [RC200408]; Fund of State Key Laboratory of Phytochemistry and Plant Resources in West China, China [P2020-KF01]; State Key Laboratory for Chemistry and Molecular Engineering of Medicinal Resources, China (Guangxi Normal University, China) [CMEMR2021-B01]; Educational Committee Foundation of Liaoning Province, China [2020LJC09]; Doctoral Scientific Research Foundation of Liaoning Province, China [2020-BS-129]; Special Fund of Research Institute of Drug Regula-tory Science Research Shenyang Pharmaceutical University, China [2021jgkx010]</t>
  </si>
  <si>
    <t>National Natural Science Foundation of China, China(National Natural Science Foundation of China (NSFC)); Liaoning Revitalization Talents Program, China; Shenyang Young Scientific and Technological Innovators Program, China; Fund of State Key Laboratory of Phytochemistry and Plant Resources in West China, China; State Key Laboratory for Chemistry and Molecular Engineering of Medicinal Resources, China (Guangxi Normal University, China); Educational Committee Foundation of Liaoning Province, China; Doctoral Scientific Research Foundation of Liaoning Province, China; Special Fund of Research Institute of Drug Regula-tory Science Research Shenyang Pharmaceutical University, China</t>
  </si>
  <si>
    <t>This work was financially supported by National Natural Science Foundation of China, China (Grant No. U1903122, 81872768) , Liaoning Revitalization Talents Program, China (XLYC1807118) , Shenyang Young Scientific and Technological Innovators Program, China (RC200408) , The Fund of State Key Laboratory of Phytochemistry and Plant Resources in West China, China (P2020-KF01) , State Key Laboratory for Chemistry and Molecular Engineering of Medicinal Resources, China (Guangxi Normal University, China) (CMEMR2021-B01) , Educational Committee Foundation of Liaoning Province, China (2020LJC09) , Doctoral Scientific Research Foundation of Liaoning Province, China (2020-BS-129) and Special Fund of Research Institute of Drug Regula-tory Science Research Shenyang Pharmaceutical University, China (2021jgkx010) .</t>
  </si>
  <si>
    <t>10.1016/j.phytochem.2021.113019</t>
  </si>
  <si>
    <t>XE5HE</t>
  </si>
  <si>
    <t>WOS:000723417800004</t>
  </si>
  <si>
    <t>Li, YN; Zeng, YR; Yang, J; He, WW; Chen, JL; Deng, LL; Yi, P; Huang, LJ; Gu, W; Hu, ZX; Yuan, CM; Hao, XJ</t>
  </si>
  <si>
    <t>Li, Ya-Nan; Zeng, Yan-Rong; Yang, Jue; He, Wenwen; Chen, Junlei; Deng, Lulu; Yi, Ping; Huang, Lie-Jun; Gu, Wei; Hu, Zhan-Xing; Yuan, Chun-Mao; Hao, Xiao-Jiang</t>
  </si>
  <si>
    <t>Chemical constituents from the flowers of Hypericum monogynum L. with COX-2 inhibitory activity</t>
  </si>
  <si>
    <t>Hypericum monogynum L.; Hypericaceae; Chemical constituents; Polycyclic polyprenylated acylphloroglucinols; Flavonoids; COX-2 inhibitors</t>
  </si>
  <si>
    <t>Hypericum monogynum L. (Hypericaceae) has been used as a folk Chinese medicine for the treatment of in-flammatory related diseases. Cyclooxygenase-2 (COX-2) is a crucial target for the development of agents to treat inflammation. To search for anti-inflammatory compounds from traditional Chinese medicines, a chemical constituent study along with COX-2 inhibitory activity analysis was performed for this plant. In this study, sixteen chemical monomers, including three undescribed oxidative degradation polycyclic polyprenylated acylphloroglucinols (PPAPs, hypemoins C-E), two undescribed PPAPs (hypemoins A and B), and 11 known compounds, were identified from the flowers of H. monogynum. Their structures were characterized by HRESIMS, NMR techniques, ECD, and single crystal X-ray diffraction. Four flavonoid derivatives showed remarkable COX-2 inhibitory activities, with IC50 values ranging from 0.220 +/- 0.006 to 1.655 +/- 0.098 mu M. Among these compounds, the possible recognition mechanism between quercetin 3-(6-O-caffeoyl)-beta-3-D-galactoside and COX-2 was predicted by molecular docking analysis. Moreover, the multidrug resistance reversal activities for the selected compounds were evaluated.</t>
  </si>
  <si>
    <t>Li, Ya-Nan</t>
  </si>
  <si>
    <t>[Li, Ya-Nan; Zeng, Yan-Rong; Yang, Jue; He, Wenwen; Chen, Junlei; Deng, Lulu; Yi, Ping; Huang, Lie-Jun; Gu, Wei; Hu, Zhan-Xing; Yuan, Chun-Mao; Hao, Xiao-Jiang] Guizhou Med Univ, State Key Lab Funct &amp; Applicat Med Plants, Guiyang 550014, Peoples R China; [Li, Ya-Nan; Zeng, Yan-Rong; Yang, Jue; He, Wenwen; Chen, Junlei; Deng, Lulu; Yi, Ping; Huang, Lie-Jun; Gu, Wei; Hu, Zhan-Xing; Yuan, Chun-Mao; Hao, Xiao-Jiang] Key Lab Chem Nat Prod Guizhou Prov, Guiyang 550014, Peoples R China; [Li, Ya-Nan; Zeng, Yan-Rong; Yang, Jue; He, Wenwen; Chen, Junlei; Deng, Lulu; Yi, Ping; Huang, Lie-Jun; Gu, Wei; Hu, Zhan-Xing; Yuan, Chun-Mao; Hao, Xiao-Jiang] Chinese Acad Sci, Guiyang 550014, Peoples R China; [Zeng, Yan-Rong] Guizhou Minzu Univ, Sch Ethn Med, Guiyang 550025, Peoples R China; [Hao, Xiao-Jiang] Chinese Acad Sci, Kunming Inst Boanty, State Key Lab Phytochem &amp; Plant Resources West Ch, Kunming 650201, Yunnan, Peoples R China</t>
  </si>
  <si>
    <t>Guizhou Medical University; Chinese Academy of Sciences; Guizhou Minzu University; Chinese Academy of Sciences</t>
  </si>
  <si>
    <t>Yuan, CM (通讯作者)，Guizhou Med Univ, State Key Lab Funct &amp; Applicat Med Plants, Guiyang 550014, Peoples R China.;Hao, XJ (通讯作者)，Key Lab Chem Nat Prod Guizhou Prov, Guiyang 550014, Peoples R China.;Hao, XJ (通讯作者)，Chinese Acad Sci, Guiyang 550014, Peoples R China.</t>
  </si>
  <si>
    <t>zhanxing, hu/I-1488-2013</t>
  </si>
  <si>
    <t>National Natural Science Foundation of China [U1812403, 81502959]; Science and Technology Department of Guizhou Province [QKH 2020-1Z076]; Natural Science and Technology Foundation of Guizhou Province [J[2019] 1216]; High-level Innovative Talents in Guizhou Province (Thousand Levels of Talent for Chunmao Yuan in 2018); Light of the West Talent Cultivation Program of Chinese Academy of Sciences [RZ [2020]82]</t>
  </si>
  <si>
    <t>National Natural Science Foundation of China(National Natural Science Foundation of China (NSFC)); Science and Technology Department of Guizhou Province; Natural Science and Technology Foundation of Guizhou Province; High-level Innovative Talents in Guizhou Province (Thousand Levels of Talent for Chunmao Yuan in 2018); Light of the West Talent Cultivation Program of Chinese Academy of Sciences</t>
  </si>
  <si>
    <t>The work was financially supported by the National Natural Science Foundation of China (U1812403 and 81502959), the Science and Technology Department of Guizhou Province (QKH 2020-1Z076), Natural Science and Technology Foundation of Guizhou Province (J[2019] 1216), High-level Innovative Talents in Guizhou Province (Thousand Levels of Talent for Chunmao Yuan in 2018), and Light of the West Talent Cultivation Program of Chinese Academy of Sciences for Chunmao Yuan (RZ [2020]82).</t>
  </si>
  <si>
    <t>10.1016/j.phytochem.2021.112970</t>
  </si>
  <si>
    <t>WS3OQ</t>
  </si>
  <si>
    <t>WOS:000715094900001</t>
  </si>
  <si>
    <t>Liu, DT; Yang, JB; Chen, SY; Sun, WB</t>
  </si>
  <si>
    <t>Liu, Detuan; Yang, Jianbo; Chen, Suiyun; Sun, Weibang</t>
  </si>
  <si>
    <t>Potential distribution of threatened maples in China under climate change: Implications for conservation</t>
  </si>
  <si>
    <t>GLOBAL ECOLOGY AND CONSERVATION</t>
  </si>
  <si>
    <t>Acer; SDM; Spatial pattern; Climate change; Conservation</t>
  </si>
  <si>
    <t>SPECIES DISTRIBUTION MODELS; RANGE SHIFTS; PREDICTION; RICHNESS; FORESTS</t>
  </si>
  <si>
    <t>Detailed information on the spatial distribution of threatened species is important for biodiversity conservation. Climate change may have an impact on the geographical distribution of organisms worldwide. As a result, research on the effects of climate change on spatial patterns of threatened species is therefore necessary. Although China has the greatest diversity of Acer species of any country in the world, nearly a quarter of them are threatened. We performed species distribution modelling with Maxent to explore the spatial patterns of 20 threatened Acer species in China under present climate and land use conditions, as well as their responses to the predicted future climate change. According to our findings, the two most important climatic factors in determining the potential distribution patterns of threatened Acer in China are annual precipitation and iso-thermality. The predicted high-richness regions in the current conditions are primarily concen-trated in Southeast Tibet, West, Northwest and Southeast Yunnan, the junctions of Yunnan and Guizhou. Our findings show that the majority of threatened Acer species are vulnerable to climate change, fifteen species are likely to be subject to dramatic reductions in areas of potentially suitable habitat in 2070, and four species will undergo significant expansion. Our research sug-gests that more attention must be paid to global change when enacting conservation measures for threatened Acer trees in China. These findings provide us with valuable information and will inform future conservation as well as decision taking regarding threatened Acer species.</t>
  </si>
  <si>
    <t>Liu, Detuan</t>
  </si>
  <si>
    <t>[Liu, Detuan] Yunnan Univ, Sch Life Sci, Kunming 650091, Peoples R China; [Liu, Detuan; Sun, Weibang] Chinese Acad Sci, Kunming Inst Bot, Yunnan Key Lab Integrat Conservat Plant Species Ex, Kunming 650201, Peoples R China; [Liu, Detuan; Yang, Jianbo] Univ Chinese Acad Sci, Beijing 100049, Peoples R China; [Yang, Jianbo] Chinese Acad Sci, Kunming Inst Bot, Key Lab Econ Plants &amp; Biotechnol, Kunming 650201, Peoples R China; [Chen, Suiyun] Yunnan Univ, Sch Ecol &amp; Environm Sci, Kunming 650091, Peoples R China</t>
  </si>
  <si>
    <t>Yunnan University; Chinese Academy of Sciences; Kunming Institute of Botany, CAS; Chinese Academy of Sciences; University of Chinese Academy of Sciences, CAS; Chinese Academy of Sciences; Kunming Institute of Botany, CAS; Yunnan University</t>
  </si>
  <si>
    <t>Sun, WB (通讯作者)，Chinese Acad Sci, Kunming Inst Bot, Yunnan Key Lab Integrat Conservat Plant Species Ex, Kunming 650201, Peoples R China.</t>
  </si>
  <si>
    <t>Second Tibetan Plateau Scientific Expedition and Research Program [2019QZKK0502]; Science and Technology Basic Resources Investigation Program of China Survey and Germplasm Conservation of Plant Species with Extremely Small Populations in Southwest China [2017FY100100]; Yunnan Fundamental Research Projects [202001AT070071]</t>
  </si>
  <si>
    <t>Second Tibetan Plateau Scientific Expedition and Research Program; Science and Technology Basic Resources Investigation Program of China Survey and Germplasm Conservation of Plant Species with Extremely Small Populations in Southwest China; Yunnan Fundamental Research Projects</t>
  </si>
  <si>
    <t>This work was supported by the Second Tibetan Plateau Scientific Expedition and Research Program [2019QZKK0502] , by the Science and Technology Basic Resources Investigation Program of China Survey and Germplasm Conservation of Plant Species with Extremely Small Populations in Southwest China [2017FY100100] and by the Yunnan Fundamental Research Projects [202001AT070071] .</t>
  </si>
  <si>
    <t>2351-9894</t>
  </si>
  <si>
    <t>GLOB ECOL CONSERV</t>
  </si>
  <si>
    <t>Glob. Ecol. Conserv.</t>
  </si>
  <si>
    <t>e02337</t>
  </si>
  <si>
    <t>10.1016/j.gecco.2022.e02337</t>
  </si>
  <si>
    <t>6O5TC</t>
  </si>
  <si>
    <t>WOS:000890303100004</t>
  </si>
  <si>
    <t>Ma, YQ; Li, CJ; Jin, J; Liao, CF; Yang, J; Sun, WB</t>
  </si>
  <si>
    <t>Ma, Yuqian; Li, Congjia; Jin, Jie; Liao, Chengfei; Yang, Jing; Sun, Weibang</t>
  </si>
  <si>
    <t>Conservation genetics of Firmiana major, a threatened tree species with potential for afforestation of hot, arid climates</t>
  </si>
  <si>
    <t>Firmiana major; Savanna vegetation; Population genetic; Demographic history; Conservation management; Plant Species of Extremely Small Populations</t>
  </si>
  <si>
    <t>EFFECTIVE POPULATION-SIZE; MICROSATELLITE MARKERS; RE-IMPLEMENTATION; COMPUTER-PROGRAM; LIFE-HISTORY; HABITAT LOSS; SOFTWARE; DIVERSITY; DISTANCE; CONSEQUENCES</t>
  </si>
  <si>
    <t>Firmiana major (Malvaceae) is a dominant tree species in hot, arid valleys with savanna vegetation in southwest China. Due to severe human disturbance, the populations of F. major declined sharply and was once considered extinct in the wild. Until 2020, eight populations of F. major were found by our investigation and it was listed as a Plant Species of Extremely Small Populations (PSESP) in Yunnan Province, China, for urgent rescuing during the next decade. To guide its conservation, the genetic structure, demographic history, and distribution model were studied. Four genetic groups of F. major were revealed and their divergence times coincided with warming periods during the last glacial stage. The distribution model showed a narrow habitat for F. major around the hot, arid areas of Yuanmou Basin, Jingsha arid-hot valleys and their adjacent areas, which enhanced its endangered situation. Based on the study, several conservation suggestions for F. major were proposed including adopting its germplasms with better drought tolerance for afforestation in this area.</t>
  </si>
  <si>
    <t>Ma, Yuqian</t>
  </si>
  <si>
    <t>[Ma, Yuqian; Li, Congjia; Yang, Jing; Sun, Weibang] Chinese Acad Sci, Kunming Inst Bot, Yunnan Key Lab Integrat Conservat Plant Species Ex, Kunming 650201, Yunnan, Peoples R China; [Yang, Jing; Sun, Weibang] Chinese Acad Sci, Kunming Inst Bot, Key Lab Plant Divers &amp; Biogeog East Asia, Kunming 650201, Yunnan, Peoples R China; [Li, Congjia; Jin, Jie; Liao, Chengfei] Yunnan Acad Agr Sci, Inst Trop Ecoagr, Yuanmou 651300, Yunnan, Peoples R China; [Sun, Weibang] Chinese Acad Sci, Kunming Inst Bot, Kunming Bot Garden, Kunming 650201, Yunnan, Peoples R China; [Ma, Yuqian; Li, Congjia] Univ Chinese Acad Sci, Beijing 100049, Peoples R China</t>
  </si>
  <si>
    <t>Chinese Academy of Sciences; Kunming Institute of Botany, CAS; Chinese Academy of Sciences; Kunming Institute of Botany, CAS; Yunnan Academy of Agricultural Sciences; Chinese Academy of Sciences; Kunming Institute of Botany, CAS; Chinese Academy of Sciences; University of Chinese Academy of Sciences, CAS</t>
  </si>
  <si>
    <t>Yang, J; Sun, WB (通讯作者)，Chinese Acad Sci, Kunming Inst Bot, Yunnan Key Lab Integrat Conservat Plant Species Ex, Kunming 650201, Yunnan, Peoples R China.</t>
  </si>
  <si>
    <t>yangjing@mail.kib.ac.cn; wbsun@mail.kib.ac.cn</t>
  </si>
  <si>
    <t>Natural Science Foundation of Yunnan Province [202101AS070162]; Science and Technology Basic Resources Investigation Program of China [2017FY100100]; Second Tibetan Plateau Scientific Expedition and Research Program [2019QZKK0502]; Yunnan Ten Thousand Talents Plan Young &amp; Elite Talent Project [YNWR-QNBJ-2019-127]</t>
  </si>
  <si>
    <t>Natural Science Foundation of Yunnan Province(Natural Science Foundation of Yunnan Province); Science and Technology Basic Resources Investigation Program of China; Second Tibetan Plateau Scientific Expedition and Research Program; Yunnan Ten Thousand Talents Plan Young &amp; Elite Talent Project</t>
  </si>
  <si>
    <t>This work was equally supported by the Natural Science Foundation of Yunnan Province (202101AS070162) , Science and Technology Basic Resources Investigation Program of China (2017FY100100) , the Second Tibetan Plateau Scientific Expedition and Research Program (2019QZKK0502) , and Yunnan Ten Thousand Talents Plan Young &amp; Elite Talent Project (YNWR-QNBJ-2019-127) .</t>
  </si>
  <si>
    <t>e02136</t>
  </si>
  <si>
    <t>10.1016/j.gecco.2022.e02136</t>
  </si>
  <si>
    <t>1Q6KD</t>
  </si>
  <si>
    <t>WOS:000802792700006</t>
  </si>
  <si>
    <t>Wang, KL; Zhou, XH; Liu, DT; Li, YZ; Yao, Z; He, WM; Liu, YB</t>
  </si>
  <si>
    <t>Wang, Kailai; Zhou, Xiao-Hui; Liu, Detuan; Li, Youzhi; Yao, Zhi; He, Wei-Ming; Liu, Yongbo</t>
  </si>
  <si>
    <t>The uplift of the Hengduan Mountains contributed to the speciation of three Rhododendron species</t>
  </si>
  <si>
    <t>DdRAD; Demographic history; Genetic diversity; Narrow-ranged species; Rhododendron</t>
  </si>
  <si>
    <t>QINGHAI-TIBETAN PLATEAU; MOLECULAR PHYLOGEOGRAPHY; NATURAL HYBRIDIZATION; POPULATION-GENETICS; DEMOGRAPHIC HISTORY; DIVERSITY; CHINA; EVOLUTIONARY; PATTERNS; DRIVEN</t>
  </si>
  <si>
    <t>Plant speciation in mountain systems is crucial for shaping plant biodiversity, particularly for those endemic species with small populations. The mountain-geobiodiversity hypothesis (MGH) is among the possible mechanisms underlying mountain biodiversity. To test the MGH, we selected three Rhododendron species occupying the Hengduan Mountains (HDM) as focal species and then genotyped 12 populations using Restriction-site Associated DNA sequencing (RAD-seq) to reveal their speciation and divergence history. We found that there was high interspecific differentia-tion, low gene flow, and a high genetic drift among three Rhododendron species, suggesting that founder effects might play a key role in their differentiation. Historical gene flow occurred from R. brachypodum to R. calophytum var. pauciflorum. The effective population size of three Rhodo-dendron species declined about 1 Kya ago. Rhododendron brachypodum experienced a bottleneck event during the Last Glacial Maximum (15-20 Kya). Three Rhododendron species diverged be-tween 15.5 Mya and 3.13 Mya, which might be associated with the uplift of the HDM. These findings suggest that the speciation of three Rhododendron may be partly attributable to geological processes and climate fluctuations, strongly supporting the MGH. Additionally, our results provide new insights into the speciation patterns of endemic species and the protection of narrow-ranged species in mountain systems.</t>
  </si>
  <si>
    <t>Wang, Kailai</t>
  </si>
  <si>
    <t>[Wang, Kailai; Yao, Zhi; Liu, Yongbo] Chinese Res Inst Environm Sci, State Key Lab Environm Criteria &amp; Risk Assessment, 8 Dayangfang, Beijing 100012, Peoples R China; [Wang, Kailai; Yao, Zhi; Liu, Yongbo] CRAES, State Environm Protect Key Lab Reg Ecoproc &amp; Func, 8 Dayangfang, Beijing 100012, Peoples R China; [Zhou, Xiao-Hui; He, Wei-Ming] Chinese Acad Sci, Inst Bot, State Key Lab Vegetat &amp; Environm Change, Beijing 100093, Peoples R China; [Liu, Detuan] Chinese Acad Sci, Kunming Inst Bot, Yunnan Key Lab Integrat Conservat Plant Species E, Kunming, Yunnan, Peoples R China; [Li, Youzhi] Hunan Agr Univ, Coll Resources &amp; Environm, Changsha 410128, Peoples R China</t>
  </si>
  <si>
    <t>Chinese Research Academy of Environmental Sciences; Chinese Academy of Sciences; Institute of Botany, CAS; Chinese Academy of Sciences; Kunming Institute of Botany, CAS; Hunan Agricultural University</t>
  </si>
  <si>
    <t>Liu, YB (通讯作者)，Chinese Res Inst Environm Sci, State Key Lab Environm Criteria &amp; Risk Assessment, 8 Dayangfang, Beijing 100012, Peoples R China.;He, WM (通讯作者)，Chinese Acad Sci, Inst Bot, State Key Lab Vegetat &amp; Environm Change, Beijing 100093, Peoples R China.</t>
  </si>
  <si>
    <t>weiminghe@ibcas.ac.cn; liuyb@craes.org.cn</t>
  </si>
  <si>
    <t>Liu, Yongbo/H-3984-2015</t>
  </si>
  <si>
    <t>Liu, Yongbo/0000-0003-1618-8813</t>
  </si>
  <si>
    <t>Biodiversity Survey, Observation and Assessment of the Ministry of Ecology and Environment, China [2019HJ2096001006]; General Research Project of CRAES, China [2016YSKY-08]</t>
  </si>
  <si>
    <t>Biodiversity Survey, Observation and Assessment of the Ministry of Ecology and Environment, China; General Research Project of CRAES, China</t>
  </si>
  <si>
    <t>This work was financially supported by the Biodiversity Survey, Observation and Assessment of the Ministry of Ecology and Environment, China (2019HJ2096001006), and the General Research Project of CRAES, China (No. 2016YSKY-08).</t>
  </si>
  <si>
    <t>e02085</t>
  </si>
  <si>
    <t>10.1016/j.gecco.2022.e02085</t>
  </si>
  <si>
    <t>0Z0RX</t>
  </si>
  <si>
    <t>WOS:000790789400007</t>
  </si>
  <si>
    <t>Shrestha, L; Sarkar, MS; Shrestha, K; Aung, PS; Wen, X; Yang, YP; Huang, ZP; Yang, XF; Yi, SL; Chettri, N</t>
  </si>
  <si>
    <t>Shrestha, Lily; Sarkar, Mriganka Shekhar; Shrestha, Kripa; Aung, Pyi Soe; Wen, Xiao; Yongping Yang; Zhipang Huang; Xuefei Yang; Shaoliang Yi; Chettri, Nakul</t>
  </si>
  <si>
    <t>Mammalian research, diversity and conservation in the Far Eastern Himalaya Landscape: A review</t>
  </si>
  <si>
    <t>Biodiversity; Mammal; Far Eastern Himalaya; Threats; Transboundary</t>
  </si>
  <si>
    <t>NATIONAL NATURE-RESERVE; SNUB-NOSED MONKEY; RHINOPITHECUS-STRYKERI; MUNTIACUS-PUTAOENSIS; ARUNACHAL-PRADESH; TENGCHONG SECTION; GAOLIGONGSHAN; MYANMAR; BIODIVERSITY; FORESTS</t>
  </si>
  <si>
    <t>We conducted a systematic review on the research on mammals in the Far Eastern Himalaya Landscape using the SALSA approach, with a focus on opportunities for cross-border collaboration among India, Myanmar and China. A total of 124 literatures from 1962 to 2021 were identified and reviewed. Over the decades, there has been a steady increase in research and publications on the subject and their thematic focuses have been on inventory, distribution, conservation, behaviour, taxonomy and discovery of new species. There are more inter-region than intra-region collaborations in the researches with contributions from 408 authors from 30 countries. The review recorded a total of 240 mammal species in the landscape belonging to 11 orders, 36 families, and 123 genera. Sixty-one species were common to all three countries while eighteen to twenty two species have cross-border distribution between the two countries. At least eleven new mammal species unknown to science have been discovered from the region in recent decades out of which eight are endemic to the region. There is a clear comparative data deficit in Myanmar as well as areas outside the existing protected area of the landscape. Mammals in the landscape are facing multiple anthropogenic threats such as illegal hunting, wildlife trade, and habitat loss and fragmentation. According to the IUCN Red List, 19.6% (n = 47) of the total species recorded in the landscape are threatened with extinction, including five Critically Endangered, 19 Endangered and 23 Vulnerable species. We recommend strengthening joint research to address data deficit, improving regional or transboundary collaboration for conservation management, bridging the gaps of protected area network, and empowering local communities for effective mammal conservation in the landscape.</t>
  </si>
  <si>
    <t>Shrestha, Lily</t>
  </si>
  <si>
    <t>[Shrestha, Lily; Shrestha, Kripa; Shaoliang Yi; Chettri, Nakul] Int Ctr Integrated Mt Dev, GPO Box 3226, Kathmandu, Nepal; [Sarkar, Mriganka Shekhar] GB Pant Natl Inst Himalayan Environm, North East Reg Ctr, Itanagar 791110, Arunachal Prade, India; [Aung, Pyi Soe] Int Union Conservat Nat, Myanmar Country Off, Nay Pyi Taw, Myanmar; [Wen, Xiao; Zhipang Huang] Dali Univ, Inst Eastern Himalaya Biodivers Res, Dali 671003, Yunnan, Peoples R China; [Yongping Yang] Chinese Acad Sci, Xishuangbanna Trop Bot Garden, Yunnan, Xishuangbanna, Peoples R China; [Zhipang Huang] Int Ctr Biodivers &amp; Primates Conservat, Dali 671003, Yunnan, Peoples R China; [Xuefei Yang] Chinese Acad Sci, Kunming Inst Bot, Kunming 650102, Yunnan, Peoples R China</t>
  </si>
  <si>
    <t>G.B. Pant National Institute of Himalayan Environment &amp; Sustainable Development (GBPNIHESD); Dali University; Chinese Academy of Sciences; Xishuangbanna Tropical Botanical Garden, CAS; Chinese Academy of Sciences; Kunming Institute of Botany, CAS</t>
  </si>
  <si>
    <t>Chettri, N (通讯作者)，Int Ctr Integrated Mt Dev, GPO Box 3226, Kathmandu, Nepal.</t>
  </si>
  <si>
    <t>Nakul.Chettri@icimod.org</t>
  </si>
  <si>
    <t>Sarkar, Mriganka Shekhar/AAB-9892-2019</t>
  </si>
  <si>
    <t>Sarkar, Mriganka Shekhar/0000-0001-8367-2774; CHETTRI, NAKUL/0000-0002-3338-8879</t>
  </si>
  <si>
    <t>government of Afghanistan; government of Australia; government of Austria; government of Bangladesh; government of Bhutan; government of China; government of India; government of Myanmar; government of Nepal; government of Norway; government of Pakistan; government of Sweden; government of Switzerland</t>
  </si>
  <si>
    <t>This study was partially supported by core funds of ICIMOD contributed by the governments of Afghanistan, Australia, Austria, Bangladesh, Bhutan, China, India, Myanmar, Nepal, Norway, Pakistan, Sweden, and Switzerland.</t>
  </si>
  <si>
    <t>e02003</t>
  </si>
  <si>
    <t>10.1016/j.gecco.2022.e02003</t>
  </si>
  <si>
    <t>YP6EF</t>
  </si>
  <si>
    <t>WOS:000748714000005</t>
  </si>
  <si>
    <t>Hu, YW; Bandara, AR; Xu, JC; Kakumyan, P; Hyde, KD; Mortimer, PE</t>
  </si>
  <si>
    <t>Hu, Yuwei; Bandara, Asanka R.; Xu, Jianchu; Kakumyan, Pattana; Hyde, Kevin D.; Mortimer, Peter E.</t>
  </si>
  <si>
    <t>The Use of Agaricus subrufescens for Rehabilitation of Agricultural Soils</t>
  </si>
  <si>
    <t>AGRONOMY-BASEL</t>
  </si>
  <si>
    <t>bioremediation; compost; hyphae; mushroom cultivation; soil quality</t>
  </si>
  <si>
    <t>BETA-CYPERMETHRIN; ANTIOXIDANT PROPERTIES; GLUFOSINATE-AMMONIUM; OXIDATIVE STRESS; DEGRADATION; PESTICIDES; TOXICITY; REMEDIATION; ENVIRONMENT; STRAIN</t>
  </si>
  <si>
    <t>Globally, the quality of agricultural soils is in decline as a result of mismanagement and the overuse of agrichemicals, negatively impacting crop yields. Agaricus subrufescens Peck is widely cultivated as an edible and medicinal mushroom; however, its application in soil bioremediation and amendment remains insufficiently studied. In order to determine if A. subrufescens can positively impact agricultural soils, we designed two experiments: the first, a glasshouse experiment investigating the ways in which A. subrufescens production alters soil nutrients and soil health; the second, a laboratory experiment investigating if A. subrufescens can degrade beta-cypermethrin (beta-CY) and glufosinate ammonium (Gla), two widely used agrichemicals. The glasshouse experiment results indicated that the use of compost and compost combined with A. subrufescens led to increases in soil organic matter, nitrogen, phosphorus, and potassium compared to the control treatments (sterilized soil). However, the incorporation of A. subrufescens with compost resulted in significantly greater levels of both available nitrogen and available phosphorus in the soils compared to all other treatments. Laboratory experiments determined that the mycelium of A. subrufescens were unable to grow at concentrations above 24.71 mu g/mL and 63.15 mu g/g for beta-CY and Gla, respectively. Furthermore, results indicated that fungal mycelia were able to degrade 44.68% of beta-CY within 15 days, whereas no significant changes were found in the concentration of Gla. This study highlights that cultivation of A. subrufescens may be a sustainable alternative for the rehabilitation of agricultural soils, whilst providing an additional source of income for farmers.</t>
  </si>
  <si>
    <t>Hu, Yuwei</t>
  </si>
  <si>
    <t>[Hu, Yuwei; Bandara, Asanka R.; Xu, Jianchu; Mortimer, Peter E.] Chinese Acad Sci, Kunming Inst Bot, Dept Econ Plants &amp; Biotechnol, Yunnan Key Lab Wild Plant Resources, Kunming 650201, Yunnan, Peoples R China; [Hu, Yuwei; Kakumyan, Pattana; Hyde, Kevin D.] Mae Fah Luang Univ, Sch Sci, Chiang Rai 57100, Thailand; [Hu, Yuwei; Hyde, Kevin D.] Mae Fah Luang Univ, Ctr Excellence Fungal Res, Chiang Rai 57100, Thailand; [Hu, Yuwei; Bandara, Asanka R.; Xu, Jianchu; Mortimer, Peter E.] Kunming Inst Bot, Ctr Mt Futures, Kunming 650201, Yunnan, Peoples R China; [Hyde, Kevin D.] Mushroom Res Fdn, 128 M3 Ban Pa Deng T Pa Pae, Chiang Mai 50150, Thailand; [Hyde, Kevin D.] Zhongkai Univ Agr &amp; Engn, Innovat Inst Plant Hlth, Guangzhou 510225, Peoples R China</t>
  </si>
  <si>
    <t>Chinese Academy of Sciences; Kunming Institute of Botany, CAS; Mae Fah Luang University; Mae Fah Luang University; Chinese Academy of Sciences; Kunming Institute of Botany, CAS; Zhongkai University of Agriculture &amp; Engineering</t>
  </si>
  <si>
    <t>Hyde, KD (通讯作者)，Mae Fah Luang Univ, Sch Sci, Chiang Rai 57100, Thailand.;Hyde, KD (通讯作者)，Mae Fah Luang Univ, Ctr Excellence Fungal Res, Chiang Rai 57100, Thailand.;Hyde, KD (通讯作者)，Mushroom Res Fdn, 128 M3 Ban Pa Deng T Pa Pae, Chiang Mai 50150, Thailand.;Hyde, KD (通讯作者)，Zhongkai Univ Agr &amp; Engn, Innovat Inst Plant Hlth, Guangzhou 510225, Peoples R China.</t>
  </si>
  <si>
    <t>Hyde, Kevin D/F-7890-2010; Bandara, Asanka R./HII-9966-2022</t>
  </si>
  <si>
    <t>NSFC-CGIAR Project [31861143002]; Yunnan Provincial Science and Technology Department [202003AD150004]; `High-End Foreign Experts' in the High-Level Talent Recruitment Plan of Yunnan Province; CAS President's International Fellowship Initiative (PIFI) [2018PC0006]; National Science Foundation of China (NSFC) [31750110478]; National Sciences Foundation, China (NSFC) [41771063]; National Research Council of Thailand (NRCT) [N42A650547]; Lancang-MekongWatershed and surrounding areas [DBG6280009]</t>
  </si>
  <si>
    <t>NSFC-CGIAR Project(CGIAR); Yunnan Provincial Science and Technology Department; `High-End Foreign Experts' in the High-Level Talent Recruitment Plan of Yunnan Province; CAS President's International Fellowship Initiative (PIFI); National Science Foundation of China (NSFC)(National Natural Science Foundation of China (NSFC)); National Sciences Foundation, China (NSFC); National Research Council of Thailand (NRCT)(National Research Council of Thailand (NRCT)); Lancang-MekongWatershed and surrounding areas</t>
  </si>
  <si>
    <t>This research was funded by the NSFC-CGIAR Project (Grant No. 31861143002), and the Yunnan Provincial Science and Technology Department (grant number 202003AD150004); `High-End Foreign Experts' in the High-Level Talent Recruitment Plan of Yunnan Province, 2021; CAS President's International Fellowship Initiative (PIFI) (number 2018PC0006); National Science Foundation of China (NSFC) (grant number 31750110478); National Sciences Foundation, China (NSFC) (grant number 41771063); National Research Council of Thailand (NRCT) grant Total fungal diversity in a given forest area with implications towards species numbers, chemical diversity and biotechnology (grant no. N42A650547); and Thailand Science Research and Innovation grant Macrofungi diversity research from the Lancang-MekongWatershed and surrounding areas (grant number DBG6280009).</t>
  </si>
  <si>
    <t>2073-4395</t>
  </si>
  <si>
    <t>Agronomy-Basel</t>
  </si>
  <si>
    <t>10.3390/agronomy12092034</t>
  </si>
  <si>
    <t>Agronomy; Plant Sciences</t>
  </si>
  <si>
    <t>4Q6HW</t>
  </si>
  <si>
    <t>WOS:000856182900001</t>
  </si>
  <si>
    <t>Yan, P; Shen, C; Zou, ZH; Fan, LC; Li, X; Zhang, LP; Zhang, L; Dong, CW; Fu, JY; Han, WY; Shi, LL</t>
  </si>
  <si>
    <t>Yan, Peng; Shen, Chen; Zou, Zhenhao; Fan, Lichao; Li, Xin; Zhang, Liping; Zhang, Lan; Dong, Chunwang; Fu, Jianyu; Han, Wenyan; Shi, Lingling</t>
  </si>
  <si>
    <t>Increased Soil Fertility in Tea Gardens Leads to Declines in Fungal Diversity and Complexity in Subsoils</t>
  </si>
  <si>
    <t>community assembly; fungal functional guilds; soil fertility; tea garden; vertical soil profile</t>
  </si>
  <si>
    <t>ORGANIC-MATTER; ARABLE SOIL; NITROGEN; BACTERIAL; CARBON; COMMUNITIES; FOREST; MICROORGANISMS; ACIDIFICATION; PH</t>
  </si>
  <si>
    <t>Soil fungi are key drivers regulating processes between ecosystem fertility and plant growth; however, the responses of soil fungi community composition and diversity in deeper soil layers to the plantation and fertilization remain limited. Using soil samples along with vertical soil profile gradients with 0-10 cm, 0-20 cm, 20-40 cm, and 40-60 cm in a tea garden, we used Illumina sequencing to investigate the fungal diversity and assemblage complexity, and correlated to the low, middle, and high-level fertilize levels. The results showed that the fungal community dissimilarities were different between adjacent forests and tea gardens, with predominate groups changed from saprotrophs to symbiotrophs and pathotrophs after the forest converted to the tea garden. Additionally, the symbiotrophs were more sensitive to soil fertility than pathotrophs and saprotrophs. Subsoil fungal communities present lower diversity and fewer network connections under high soil fertility, which contrasted with the trends of topsoil fungi. Soil pH and nutrients were correlated with fungal diversity in the topsoils, while soil K and P concentrations showed significant effects in the subsoil. Overall, the soil fungal communities in tea gardens responded to soil fertility varied with soil vertical spatial locations, which can be explained by the vertical distribution of fungal species. It was revealed that fertility treatment could affect fungal diversity, and alter network structure and potential ecosystem function in tea garden subsoils.</t>
  </si>
  <si>
    <t>Yan, Peng</t>
  </si>
  <si>
    <t>[Yan, Peng; Shen, Chen; Zou, Zhenhao; Fan, Lichao; Li, Xin; Zhang, Liping; Zhang, Lan; Dong, Chunwang; Fu, Jianyu; Han, Wenyan] Chinese Acad Agr Sci, Tea Res Inst, Key Lab Tea Qual &amp; Safety Control, Minist Agr, Hangzhou 310008, Peoples R China; [Fan, Lichao] Univ Gottingen, Dept Soil Sci Temperate Ecosyst, D-37077 Gottingen, Germany; [Shi, Lingling] Univ Gottingen, Dept Crop Sci, Biogeochem Agroecosyst, D-37077 Gottingen, Germany; [Shi, Lingling] Chinese Acad Sci, Kunming Inst Bot, Key Lab Plant Divers &amp; Biogeog East Asia, Kunming 650201, Yunnan, Peoples R China; [Shi, Lingling] World Agroforestry Ctr, East &amp; Cent Asia, Kunming 650201, Yunnan, Peoples R China</t>
  </si>
  <si>
    <t>Chinese Academy of Agricultural Sciences; Tea Research Institute, CAAS; Ministry of Agriculture &amp; Rural Affairs; University of Gottingen; University of Gottingen; Chinese Academy of Sciences; Kunming Institute of Botany, CAS</t>
  </si>
  <si>
    <t>Fu, JY (通讯作者)，Chinese Acad Agr Sci, Tea Res Inst, Key Lab Tea Qual &amp; Safety Control, Minist Agr, Hangzhou 310008, Peoples R China.</t>
  </si>
  <si>
    <t>yanpengzn@163.com; shenolivia@163.com; zouzhenhao@tricaas.com; flcxsy@126.com; lixin@tricaas.com; zhanglp2016@tricaas.com; zhanglan@tricaas.com; dongchunwang@tricaas.com; mybatigoal@tricaas.com; hanwy@tricaas.com; shilingling@mail.kib.ac.cn</t>
  </si>
  <si>
    <t>Zhang, Li/GWM-7501-2022</t>
  </si>
  <si>
    <t>National Natural Science Foundation of China [42007096]; National Key R and D Program of China [2020YFD1000701]</t>
  </si>
  <si>
    <t>National Natural Science Foundation of China(National Natural Science Foundation of China (NSFC)); National Key R and D Program of China</t>
  </si>
  <si>
    <t>The National Natural Science Foundation of China (42007096), P.Y. The National Key R and D Program of China (2020YFD1000701), P.Y.</t>
  </si>
  <si>
    <t>10.3390/agronomy12081751</t>
  </si>
  <si>
    <t>4C2CB</t>
  </si>
  <si>
    <t>WOS:000846267400001</t>
  </si>
  <si>
    <t>Rahaingoson, FR; Oyebanji, O; Stull, GW; Zhang, R; Yi, TS</t>
  </si>
  <si>
    <t>Rahaingoson, Fabien Robert; Oyebanji, Oyetola; Stull, Gregory W.; Zhang, Rong; Yi, Ting-Shuang</t>
  </si>
  <si>
    <t>A Dated Phylogeny of the Pantropical Genus Dalbergia L.f. (Leguminosae: Papilionoideae) and Its Implications for Historical Biogeography</t>
  </si>
  <si>
    <t>Dalbergia; Early Miocene; ITS; long-distance dispersal; matK; monophyletic; rbcL</t>
  </si>
  <si>
    <t>MOLECULAR PHYLOGENY; TROPICAL FLORAS; DISPERSAL; EVOLUTION; FABACEAE; MADAGASCAR; NUCLEAR; ORIGIN; DIVERSIFICATION; VICARIANCE</t>
  </si>
  <si>
    <t>The genus Dalbergia has a pantropical distribution and comprises approximately 250 species. Previous phylogenetic studies on the genus revealed that Dalbergia is monophyletic and is sister to Machaerium and Aeschynomene sect. Ochopodium. However, due to limited samples or DNA regions in these studies, relationships among the major clades are still unresolved, and divergence dates and biogeographical history of the genus have not been addressed. In this study, phylogenetic analyses of Dalbergia were conducted using broad taxon sampling and a combined dataset of two plastid DNA markers (matK and rbcL) and one nuclear marker (ITS). We evaluated the infrageneric classification of the genus based on the reconstructed tree, and investigated biogeographical history of this genus through molecular dating and ancestral area reconstruction analyses. The monophyly of Dalbergia was strongly supported and the genus was resolved into five major clades with high support, several of which correspond to the previous recognized sections. We inferred that Dalbergia originated in South America during the Early Miocene (c. 22.9 Ma) and achieved its current pantropical distribution through multiple recent transoceanic long-distance dispersals (LDD). We highlighted the important historical events which may explain the pantropical distribution pattern of Dalbergia.</t>
  </si>
  <si>
    <t>Rahaingoson, Fabien Robert</t>
  </si>
  <si>
    <t>[Rahaingoson, Fabien Robert; Oyebanji, Oyetola; Stull, Gregory W.; Zhang, Rong; Yi, Ting-Shuang] Chinese Acad Sci, Kunming Inst Bot, Germplasm Bank Wild Species, Kunming 650201, Yunnan, Peoples R China; [Rahaingoson, Fabien Robert; Oyebanji, Oyetola] Univ Chinese Acad Sci, Beijing 100049, Peoples R China</t>
  </si>
  <si>
    <t>Zhang, R; Yi, TS (通讯作者)，Chinese Acad Sci, Kunming Inst Bot, Germplasm Bank Wild Species, Kunming 650201, Yunnan, Peoples R China.</t>
  </si>
  <si>
    <t>fabienrobertrahaingo@mail.kib.ac.cn; oyetola@mail.kib.ac.cn; gwstull@gmail.com; zhangronga@mail.kib.ac.cn; tingshuangyi@mail.kib.ac.cn</t>
  </si>
  <si>
    <t>Rahaingoson, Fabien Robert/0000-0003-1573-4077</t>
  </si>
  <si>
    <t>National Natural Science Foundation of China, key international (regional) cooperative research project [31720103903]; Strategic Priority Research Program of Chinese Academy of Sciences [XDB31000000]; Science and Technology Basic Resources Investigation Program of China [2019FY100900]; Large-scale Scientific Facilities of the Chinese Academy of Sciences [2017-LSF-GBOWS-02]; National Natural Science Foundation of China [31270274]; Yunling International High-end Experts Program of Yunnan Province, China [YNQR-GDWG-2017-002, YNQR-GDWG-2018012]; China Postdoctoral Science Foundation [2020M683391]; Postdoctoral Directional Training Foundation of Yunnan Province</t>
  </si>
  <si>
    <t>National Natural Science Foundation of China, key international (regional) cooperative research project; Strategic Priority Research Program of Chinese Academy of Sciences(Chinese Academy of Sciences); Science and Technology Basic Resources Investigation Program of China; Large-scale Scientific Facilities of the Chinese Academy of Sciences; National Natural Science Foundation of China(National Natural Science Foundation of China (NSFC)); Yunling International High-end Experts Program of Yunnan Province, China; China Postdoctoral Science Foundation(China Postdoctoral Science Foundation); Postdoctoral Directional Training Foundation of Yunnan Province</t>
  </si>
  <si>
    <t>This research was supported by the National Natural Science Foundation of China, key international (regional) cooperative research project (No. 31720103903), the Strategic Priority Research Program of Chinese Academy of Sciences (XDB31000000), the Science and Technology Basic Resources Investigation Program of China (2019FY100900), the Large-scale Scientific Facilities of the Chinese Academy of Sciences (No. 2017-LSF-GBOWS-02), and the National Natural Science Foundation of China (Project No. 31270274), the Yunling International High-end Experts Program of Yunnan Province, China (grant No. YNQR-GDWG-2017-002 to P.S.S. and T.-S.Y. and YNQR-GDWG-2018012 to D.E.S. and T.-S.Y.), China Postdoctoral Science Foundation (2020M683391) and Postdoctoral Directional Training Foundation of Yunnan Province.</t>
  </si>
  <si>
    <t>10.3390/agronomy12071612</t>
  </si>
  <si>
    <t>3J1HG</t>
  </si>
  <si>
    <t>WOS:000833153300001</t>
  </si>
  <si>
    <t>Ediriweera, AN; Karunarathna, SC; Yapa, PN; Schaefer, DA; Ranasinghe, AK; Suwannarach, N; Xu, JC</t>
  </si>
  <si>
    <t>Ediriweera, Aseni Navoda; Karunarathna, Samantha Chandranath; Yapa, Pinnaduwage Neelamanie; Schaefer, Douglas Allen; Ranasinghe, Arani Koshathaki; Suwannarach, Nakarin; Xu, Jianchu</t>
  </si>
  <si>
    <t>Ectomycorrhizal Mushrooms as a Natural Bio-Indicator for Assessment of Heavy Metal Pollution</t>
  </si>
  <si>
    <t>contamination; ectomycorrhiza; heavy metal; homeostasis; mycorrhiza</t>
  </si>
  <si>
    <t>AGARIC AMANITA-MUSCARIA; EDIBLE MUSHROOMS; MINERAL CONSTITUENTS; FRUITING BODIES; LACTARIUS-DELICIOSUS; FUNGAL COMMUNITIES; PISOLITHUS-ALBUS; CADMIUM UPTAKE; HEALTH-RISKS; MERCURY</t>
  </si>
  <si>
    <t>Environmental changes and heavy metal pollution are some of the consequences of anthropogenic activities. Many ecosystems, including edaphic ecosystems, suffer from the effects of pollution. The accurate assessment of soil heavy metal contamination leads to better approaches for remediating soils. The exploration of different ways, including biological methods, to conduct environmental monitoring is still ongoing. Here, we focus on reviewing the potential of ectomycorrhizal fungi as a natural indicator of soil heavy metal pollution. Mycorrhizal fungi fulfill basic criteria required as natural bio-indicators for heavy metal contamination. These fungi use different on. mechanisms such as avoidance and tolerance to survive in metalliferous soils. Thus, we promote ectomycorrhizal fungi as natural indicators. This review also synthesizes existing research on ectomycorrhizal mushrooms as natural bio-indicators for heavy metal pollution and the elaboration of mechanisms, by which ectomycorrhizal fungi meet the criteria required for a successful bio-indicator.</t>
  </si>
  <si>
    <t>Ediriweera, Aseni Navoda</t>
  </si>
  <si>
    <t>[Ediriweera, Aseni Navoda; Karunarathna, Samantha Chandranath; Schaefer, Douglas Allen; Xu, Jianchu] Chinese Acad Sci, Ctr Mt Futures, Kunming Inst Bot, Kunming 650201, Yunnan, Peoples R China; [Ediriweera, Aseni Navoda] Mae Fah Luang Univ, Ctr Excellence Fungal Res, Sch Sci, Chiang Rai 57100, Thailand; [Ediriweera, Aseni Navoda; Karunarathna, Samantha Chandranath; Schaefer, Douglas Allen; Xu, Jianchu] World Agroforestry Ctr, CIFOR ICRAF China Program, 132 Lanhei Rd, Kunming 650201, Yunnan, Peoples R China; [Ediriweera, Aseni Navoda; Ranasinghe, Arani Koshathaki] Univ Ruhuna, Fac Technol, Dept Biosyst Technol, Matara 81000, Sri Lanka; [Karunarathna, Samantha Chandranath] Qujing Normal Univ, Coll Biol Resource &amp; Food Engn, Ctr Yunnan Plateau Biol Resources Protect &amp; Utili, Qujing 655011, Peoples R China; [Yapa, Pinnaduwage Neelamanie] Rajarata Univ Sri Lanka, Fac Appl Sci, Mihintale 50300, Sri Lanka; [Suwannarach, Nakarin] Chiang Mai Univ, Res Ctr Microbial Divers &amp; Sustainable Utilizat, Chiang Mai 50200, Thailand</t>
  </si>
  <si>
    <t>Chinese Academy of Sciences; Kunming Institute of Botany, CAS; Mae Fah Luang University; University Ruhuna; Rajarata University of Sri Lanka; Chiang Mai University</t>
  </si>
  <si>
    <t>Xu, JC (通讯作者)，Chinese Acad Sci, Ctr Mt Futures, Kunming Inst Bot, Kunming 650201, Yunnan, Peoples R China.;Xu, JC (通讯作者)，World Agroforestry Ctr, CIFOR ICRAF China Program, 132 Lanhei Rd, Kunming 650201, Yunnan, Peoples R China.</t>
  </si>
  <si>
    <t>aseniediriweera@gmail.com; samanthakarunarathna@gmail.com; pnyapa40@yahoo.co.uk; schaefer@mail.kib.ac.cn; araniranasinghe@gmail.com; suwan_461@hotmail.com; jxu@mail.kib.ac.cn</t>
  </si>
  <si>
    <t>Suwannarach, Nakarin/P-6078-2019</t>
  </si>
  <si>
    <t>Suwannarach, Nakarin/0000-0002-2653-1913; Karunarathna, Samantha Chandranath/0000-0001-7080-0781; Xu, Jianchu/0000-0002-2485-2254</t>
  </si>
  <si>
    <t>NSFC-CGIAR Project Characterization of roots and their associated rhizosphere microbes in agroforestry systems: ecological restoration in high-phosphorus environment [31861143002]; Chinese Ministry of Science and Technology, under the 12th five-year National Key Technology Support Program (NKTSP) [2013BAB07B06]; CGIAR Research Program; Thailand Research Fund grant-Taxonomy, Phylogeny and Biochemistry of Thai Basidiomycetes [BRG 5580009]; National Research Council of Thailand; CAS International Fellowship Initiative (PIFI) [2020FYC0002]; National Science Foundation of China (NSFC) project [31851110759]; Chiang Mai University</t>
  </si>
  <si>
    <t>NSFC-CGIAR Project Characterization of roots and their associated rhizosphere microbes in agroforestry systems: ecological restoration in high-phosphorus environment; Chinese Ministry of Science and Technology, under the 12th five-year National Key Technology Support Program (NKTSP); CGIAR Research Program(CGIAR); Thailand Research Fund grant-Taxonomy, Phylogeny and Biochemistry of Thai Basidiomycetes; National Research Council of Thailand(National Research Council of Thailand (NRCT)); CAS International Fellowship Initiative (PIFI); National Science Foundation of China (NSFC) project(National Natural Science Foundation of China (NSFC)); Chiang Mai University</t>
  </si>
  <si>
    <t>This research is upported by NSFC-CGIAR Project Characterization of roots and their associated rhizosphere microbes in agroforestry systems: ecological restoration in high-phosphorus environment, Grant No. 31861143002. Also the study was funded by the Chinese Ministry of Science and Technology, under the 12th five-year National Key Technology Support Program (NKTSP) 2013BAB07B06 for integration and comprehensive demonstration of key technologies on Green Phosphate-Mountain Construction; the CGIAR Research Program 6: Forest, Trees and Agroforestry; Thailand Research Fund grant-Taxonomy, Phylogeny and Biochemistry of Thai Basidiomycetes (BRG 5580009); the National Research Council of Thailand. Samantha C. Karunarathna thanks the CAS International Fellowship Initiative (PIFI) young staff grant 2020FYC0002 and the National Science Foundation of China (NSFC) project 31851110759. Nakarin Suwannarach is grateful to the Chiang Mai University for partial support of this research.</t>
  </si>
  <si>
    <t>10.3390/agronomy12051041</t>
  </si>
  <si>
    <t>1P0FD</t>
  </si>
  <si>
    <t>WOS:000801695100001</t>
  </si>
  <si>
    <t>Hemmerling, C; Li, ZP; Shi, LL; Pausch, J; Ruess, L</t>
  </si>
  <si>
    <t>Hemmerling, Christin; Li, Zhipeng; Shi, Lingling; Pausch, Johanna; Ruess, Liliane</t>
  </si>
  <si>
    <t>Flux of Root-Derived Carbon into the Nematode Micro-Food Web: A Comparison of Grassland and Agroforest</t>
  </si>
  <si>
    <t>C flux; root-derived C; plant type; agroforest; nematodes; micro-food web</t>
  </si>
  <si>
    <t>ARBUSCULAR MYCORRHIZAL FUNGI; SHORT-ROTATION COPPICE; SOIL NEMATODES; DECOMPOSITION PATHWAYS; FUNGIVOROUS NEMATODES; PLANT DIVERSITY; FAUNAL ANALYSIS; ORGANIC-CARBON; FOREST; SUCCESSION</t>
  </si>
  <si>
    <t>Carbon (C) cycling is crucial to agroecosystem functioning. Important determinants for the belowground C flow are soil food webs, with microorganisms and microfaunal grazers, i.e., nematodes, as key biota. The present study investigates the incorporation of plant-derived C into the nematode micro-food web under two different cropping systems, grassland (ryegrass (Lolium perenne L.) and white clover (Trifolium repens L.)) and agroforest (willow (Salix schwerinii Wolf and Salix viminalis L)). To quantify the C flux from the plant into the soil micro-food web, grass and willow were pulse-labeled with (CO2)-C-13 and the incorporation of C-13 into the nematode trophic groups was monitored 3, 7, 14 and 28 days after labeling. The natural stable isotope signals (C-13/C-12, N-15/N-14) were analyzed to determine the structure of the nematode micro-food web. The natural isotopic delta N-15 signal revealed different trophic levels for omnivores and predators in grassland and agroforest soils. The incorporation of plant C into nematode tissue was detectable three days after (CO2)-C-13 labeling with the highest and fastest C allocation in plant feeders in grassland, and in fungal feeders in agroforest soil. C flux dynamics between the aboveground vegetation and belowground micro-food web varied with cropping system. This demonstrates that crop-specific translocation of C affects the multitrophic interactions in the root environment, which in turn can alter soil nutrient cycling.</t>
  </si>
  <si>
    <t>Hemmerling, Christin</t>
  </si>
  <si>
    <t>[Hemmerling, Christin; Ruess, Liliane] Humboldt Univ, Inst Biol, Ecol, Philippstr 13, D-10115 Berlin, Germany; [Li, Zhipeng] Univ Gottingen, JF Blumenbach Inst Zool &amp; Anthropol, Untere Karspule 2, D-37073 Gottingen, Germany; [Shi, Lingling] Chinese Acad Sci, Kunming Inst Bot, Key Lab Plant Divers &amp; Biogeog East Asia, Kunming 650201, Yunnan, Peoples R China; [Shi, Lingling] Univ Gottingen, Dept Agr Soil Sci, D-37707 Gottingen, Germany; [Pausch, Johanna] Univ Bayreuth, Bayreuth Ctr Ecol &amp; Environm Res BayCEER, Dept Agroecol, Univ Str 30, D-95440 Bayreuth, Germany</t>
  </si>
  <si>
    <t>Humboldt University of Berlin; University of Gottingen; Chinese Academy of Sciences; Kunming Institute of Botany, CAS; University of Gottingen; University of Bayreuth</t>
  </si>
  <si>
    <t>Hemmerling, C (通讯作者)，Humboldt Univ, Inst Biol, Ecol, Philippstr 13, D-10115 Berlin, Germany.</t>
  </si>
  <si>
    <t>christin.hemmerling.1@hu-berlin.de; lizhipengucas@gmail.com; shilingling@mail.kib.ac.cn; Johanna.Pausch@uni-bayreuth.de; liliane.ruess@biologie.hu-berlin.de</t>
  </si>
  <si>
    <t>Pausch, Johanna/CAF-0825-2022</t>
  </si>
  <si>
    <t>Pausch, Johanna/0000-0002-7102-4793; Hemmerling, Christin/0000-0002-4662-5829; Ruess, Liliane/0000-0001-8061-6208</t>
  </si>
  <si>
    <t>China Scholarship Council (CSC) [201604910550]; Deutsche Forschungsgemeinschaft (DFG, German Research Foundation) [491192747]; Open Access Publication Fund of Humboldt-Universitat zu Berlin</t>
  </si>
  <si>
    <t>China Scholarship Council (CSC)(China Scholarship Council); Deutsche Forschungsgemeinschaft (DFG, German Research Foundation)(German Research Foundation (DFG)); Open Access Publication Fund of Humboldt-Universitat zu Berlin</t>
  </si>
  <si>
    <t>We gratefully acknowledge the support of Jens Dyckmans and Reinhard Langel (Kompetenzzentrum Stabile Isotope-KOSI, Gottingen) with stable isotope analyses in nematodes. Zhipeng Li was funded by the China Scholarship Council (CSC) (201604910550). The article processing charge was funded by the Deutsche Forschungsgemeinschaft (DFG, German Research Foundation)-491192747 and the Open Access Publication Fund of Humboldt-Universitat zu Berlin.</t>
  </si>
  <si>
    <t>10.3390/agronomy12040976</t>
  </si>
  <si>
    <t>0T3TD</t>
  </si>
  <si>
    <t>WOS:000786891400001</t>
  </si>
  <si>
    <t>Ding, XY; Guo, CA; Zhang, X; Li, J; Jiao, YX; Feng, HW; Wang, YH</t>
  </si>
  <si>
    <t>Ding, Xiaoyong; Guo, Changan; Zhang, Xiong; Li, Jing; Jiao, Yixue; Feng, Haowen; Wang, Yuhua</t>
  </si>
  <si>
    <t>Wild Plants Used by Tibetans in Burang Town, Characterized by Alpine Desert Meadow, in Southwestern Tibet, China</t>
  </si>
  <si>
    <t>wild plants; traditional knowledge; Karnali River Valley; cropland; Tibetan; Burang Town</t>
  </si>
  <si>
    <t>TRADITIONAL ECOLOGICAL KNOWLEDGE; DIVERSITY; HILLS</t>
  </si>
  <si>
    <t>This study documented the wild plants used by Tibetans and the related traditional knowledge in Burang Town (Karnali River Valley). Ethnobotanical surveys, including semi-structured interviews and participatory observations, were conducted in five Tibetan communities in July 2020 and August 2021. The informant consensus factor (ICF) and cultural importance index (CI) were used for data analyses. In total, 76 wild species belonging to 58 genera and 30 families were determined to be used. These included 26 edible, 29 medicinal, 34 fodder, 21 fuel, 17 incense, three economic, three dye, two ritual, two handicraft, and one species for tobacco plants species; many of these have multiple uses. The top five important plants are Carum carvi (CI = 1.88), Hippophae tibetana (CI = 1.45), Rheum moorcroftianum (CI = 0.87), Urtica dioica (CI = 1.45) and Chenopodium album (CI = 0.75). Of the wild plant species used, 53 were recorded in croplands and 25 were found in alpine pastures. This pattern of use is influenced by local livelihood patterns and culture. Plants in highland cropland have diverse ethnobotanical values that are often overlooked. These findings will inform strategies and plans for local communities and governments to sustainably use and protect plants at high altitudes.</t>
  </si>
  <si>
    <t>Ding, Xiaoyong</t>
  </si>
  <si>
    <t>[Ding, Xiaoyong; Guo, Changan; Zhang, Xiong; Li, Jing; Jiao, Yixue; Feng, Haowen; Wang, Yuhua] Chinese Acad Sci, Kunming Inst Bot, Yunnan Key Lab Wild Plant Resources, Kunming 650201, Yunnan, Peoples R China; [Ding, Xiaoyong; Guo, Changan; Li, Jing; Feng, Haowen] Univ Chinese Acad Sci, Beijing 100049, Peoples R China; [Zhang, Xiong; Jiao, Yixue] Shaanxi Normal Univ, Coll Life Sci, Xian 710119, Peoples R China</t>
  </si>
  <si>
    <t>Chinese Academy of Sciences; Kunming Institute of Botany, CAS; Chinese Academy of Sciences; University of Chinese Academy of Sciences, CAS; Shaanxi Normal University</t>
  </si>
  <si>
    <t>Wang, YH (通讯作者)，Chinese Acad Sci, Kunming Inst Bot, Yunnan Key Lab Wild Plant Resources, Kunming 650201, Yunnan, Peoples R China.</t>
  </si>
  <si>
    <t>dingxiaoyong@mail.kib.ac.cn; guochangan@mail.kib.ac.cn; zhangxiong@mail.kib.ac.cn; lijing@mail.kib.ac.cn; jiaoyixue@mail.kib.ac.cn; fenghaowen@mail.kib.ac.cn; wangyuhua@mail.kib.ac.cn</t>
  </si>
  <si>
    <t>Ministry of Science and Technology of the People's Republic of China the Second Tibetan Plateau Scientific Expedition and Research [2019QZKK0502]</t>
  </si>
  <si>
    <t>Ministry of Science and Technology of the People's Republic of China the Second Tibetan Plateau Scientific Expedition and Research</t>
  </si>
  <si>
    <t>The study was funded by Ministry of Science and Technology of the People's Republic of China the Second Tibetan Plateau Scientific Expedition and Research (No. 2019QZKK0502).</t>
  </si>
  <si>
    <t>10.3390/agronomy12030704</t>
  </si>
  <si>
    <t>0D0TD</t>
  </si>
  <si>
    <t>WOS:000775715300001</t>
  </si>
  <si>
    <t>Xie, J; Zhang, SJ; Yue, GGL; Yu, LL; Liu, H; Ma, WY; Yan, H; Ni, W; Lau, CBS; Liu, HY</t>
  </si>
  <si>
    <t>Xie, Jing; Zhang, Shi-Juan; Yue, Grace Gar-Lee; Yu, Ling-Ling; Liu, Hui; Ma, Wen-Yi; Yan, Huan; Ni, Wei; Lau, Clara Bik-San; Liu, Hai-Yang</t>
  </si>
  <si>
    <t>Isolation, structural elucidation, and bioactivity of cholestane derivatives from Ypsilandra thibetica</t>
  </si>
  <si>
    <t>NEW JOURNAL OF CHEMISTRY</t>
  </si>
  <si>
    <t>SPIROSTANE GLYCOSIDES; STEROIDAL SAPONINS; GROWTH</t>
  </si>
  <si>
    <t>Phytochemical investigation on the whole plant of Ypsilandra thibetica led to the isolation of five new cholestane derivatives. The structures of 1-5 were elucidated by comprehensive spectroscopic analyses of their data and chemical methods. The absolute configurations of compounds 1-3 were ambiguously assigned by single crystal X-ray diffraction analysis. Compound 1 is the first cholestane glycoside with two oxygen bridges between C-16/C-23 and C-18/C-23. Compound 2 is the first 23-spirocholestane derivative with a six-membered ring between C-24/C-23 of the aglycone moiety and C-1 &amp; PRIME;/C-2 &amp; PRIME; of the d-arabinose ligand, while compounds 3-5 are new 23-spirocholestane derivatives with a d-fucose ligand. The cytotoxic, anti-inflammatory, and anti-angiogenic activities of these isolated compounds were evaluated. Compound 5 showed anti-angiogenic activity in zebrafish embryos.</t>
  </si>
  <si>
    <t>[Xie, Jing; Zhang, Shi-Juan; Yu, Ling-Ling; Liu, Hui; Ma, Wen-Yi; Yan, Huan; Ni, Wei; Liu, Hai-Yang] Chinese Acad Sci, Kunming Inst Bot, State Key Lab Phytochemistry &amp; Plant Resources Wes, Kunming 650201, Peoples R China; [Xie, Jing; Zhang, Shi-Juan; Yu, Ling-Ling; Liu, Hui; Ma, Wen-Yi; Yan, Huan; Ni, Wei; Liu, Hai-Yang] Chinese Acad Sci, Kunming Inst Bot, Yunnan Key Lab Nat Med Chem, Kunming 650201, Peoples R China; [Xie, Jing; Zhang, Shi-Juan; Yu, Ling-Ling; Ma, Wen-Yi] Univ Chinese Acad Sci, Beijing 100049, Peoples R China; [Yue, Grace Gar-Lee; Lau, Clara Bik-San] Chinese Univ Hong Kong, Inst Chinese Med, Shatin, Hong Kong, Peoples R China; [Yue, Grace Gar-Lee; Lau, Clara Bik-San] Chinese Univ Hong Kong, State Key Lab Res Bioact &amp; Clin Applicat Med Plant, Shatin, Hong Kong, Peoples R China; [Liu, Hai-Yang] Yunnan Characterist Plant Extract Lab, Kunming 650106, Peoples R China</t>
  </si>
  <si>
    <t>Chinese Academy of Sciences; Kunming Institute of Botany, CAS; Chinese Academy of Sciences; Kunming Institute of Botany, CAS; Chinese Academy of Sciences; University of Chinese Academy of Sciences, CAS; Chinese University of Hong Kong; Chinese University of Hong Kong</t>
  </si>
  <si>
    <t>Liu, HY (通讯作者)，Chinese Acad Sci, Kunming Inst Bot, State Key Lab Phytochemistry &amp; Plant Resources Wes, Kunming 650201, Peoples R China.;Liu, HY (通讯作者)，Chinese Acad Sci, Kunming Inst Bot, Yunnan Key Lab Nat Med Chem, Kunming 650201, Peoples R China.;Lau, CBS (通讯作者)，Chinese Univ Hong Kong, Inst Chinese Med, Shatin, Hong Kong, Peoples R China.;Lau, CBS (通讯作者)，Chinese Univ Hong Kong, State Key Lab Res Bioact &amp; Clin Applicat Med Plant, Shatin, Hong Kong, Peoples R China.;Liu, HY (通讯作者)，Yunnan Characterist Plant Extract Lab, Kunming 650106, Peoples R China.</t>
  </si>
  <si>
    <t>claralau@cuhk.edu.hk; haiyangliu@mail.kib.ac.cn</t>
  </si>
  <si>
    <t>National Natural Science Foundation of China [U1802287, 32000280, 32170408]; Ten Thousand Talents Plan of Yunnan Province for Industrial Technology Leading Talents [YNWR-CYJS-2019-011]; Yunnan Revitalization Talent Support Program Top Team Project; State Key Laboratory of Research on Bioactivities and Clinical Applications of Medicinal Plants from Hong Kong SAR, China; Project of Yunnan Characteristic Plant Screening and R&amp;D Service CXO Platform [2022YKZY001]</t>
  </si>
  <si>
    <t>National Natural Science Foundation of China(National Natural Science Foundation of China (NSFC)); Ten Thousand Talents Plan of Yunnan Province for Industrial Technology Leading Talents; Yunnan Revitalization Talent Support Program Top Team Project; State Key Laboratory of Research on Bioactivities and Clinical Applications of Medicinal Plants from Hong Kong SAR, China; Project of Yunnan Characteristic Plant Screening and R&amp;D Service CXO Platform</t>
  </si>
  <si>
    <t>This work was financially supported by the National Natural Science Foundation of China (U1802287, 32000280, and 32170408), the Ten Thousand Talents Plan of Yunnan Province for Industrial Technology Leading Talents (YNWR-CYJS-2019-011), Yunnan Revitalization Talent Support Program Top Team Project, and the Project of Yunnan Characteristic Plant Screening and R&amp;D Service CXO Platform (2022YKZY001). This study was also partly supported by a grant from the State Key Laboratory of Research on Bioactivities and Clinical Applications of Medicinal Plants from Hong Kong SAR, China.</t>
  </si>
  <si>
    <t>1144-0546</t>
  </si>
  <si>
    <t>1369-9261</t>
  </si>
  <si>
    <t>NEW J CHEM</t>
  </si>
  <si>
    <t>New J. Chem.</t>
  </si>
  <si>
    <t>DEC 19</t>
  </si>
  <si>
    <t>10.1039/d2nj04576a</t>
  </si>
  <si>
    <t>7D8BY</t>
  </si>
  <si>
    <t>WOS:000900709800001</t>
  </si>
  <si>
    <t>Yu, LL; Li, YX; Gao, WT; Ling, SS; Ni, W; Ji, YH; Liu, HY</t>
  </si>
  <si>
    <t>Yu, Ling-Ling; Li, Yan-Xi; Gao, Wen-Tao; Ling, Shan-Shan; Ni, Wei; Ji, Yun-Heng; Liu, Hai-Yang</t>
  </si>
  <si>
    <t>Steroidal saponins with cytotoxic activity from the stems and leaves of Paris fargesii</t>
  </si>
  <si>
    <t>UNDERGROUND PARTS; POLYPHYLLA; GLYCOSIDES; RHIZOMES</t>
  </si>
  <si>
    <t>Paris fargesii is an important medicinal resource of the genus Paris. With the aim of developing, utilizing, and protecting the resources of P. fargesii rationally, we carried out a phytochemical investigation on the regenerative resources (stems and leaves) of this plant. Ultimately, eleven new spirostane saponins, parisfargosides SL-1-SL-11 (1-11), along with 6 known compounds (12-17) were isolated from the stems and leaves of P. fargesii for the first time. Their structures were elucidated on the basis of HR-ESI-MS, and 1D- and 2D-NMR data as well as chemical methods. The structures of compounds 1-6 contain one or two hydroxyl groups on the F ring, while compound 7 possesses a rare alpha, beta-unsaturated ketone unit on the B ring. Saponins 13, 14, and 16 displayed significant cytotoxicities against three human cancer lines (HepG2, A-549, and HCT116) with IC50 values ranging from 2.90 to 10.12 mu M.</t>
  </si>
  <si>
    <t>[Yu, Ling-Ling; Li, Yan-Xi; Gao, Wen-Tao; Ling, Shan-Shan; Ni, Wei; Liu, Hai-Yang] Chinese Acad Sci, Kunming Inst Bot, State Key Lab Phytochem &amp; Plant Resources West Ch, Kunming 650201, Yunnan, Peoples R China; [Yu, Ling-Ling; Li, Yan-Xi; Gao, Wen-Tao; Ling, Shan-Shan; Ni, Wei; Liu, Hai-Yang] Chinese Acad Sci, Kunming Inst Bot, Yunnan Key Lab Nat Med Chem, Kunming 650201, Yunnan, Peoples R China; [Yu, Ling-Ling; Li, Yan-Xi] Univ Chinese Acad Sci, Beijing 100049, Peoples R China; [Ji, Yun-Heng] Chinese Acad Sci, Kunming Inst Bot, Key Lab Plant Biodivers &amp; Biogeog East Asia, Kunming 650201, Yunnan, Peoples R China; [Liu, Hai-Yang] Yunnan Characterist Plant Extract Lab, Kunming 650106, Yunnan, Peoples R China</t>
  </si>
  <si>
    <t>Liu, HY (通讯作者)，Chinese Acad Sci, Kunming Inst Bot, State Key Lab Phytochem &amp; Plant Resources West Ch, Kunming 650201, Yunnan, Peoples R China.;Liu, HY (通讯作者)，Chinese Acad Sci, Kunming Inst Bot, Yunnan Key Lab Nat Med Chem, Kunming 650201, Yunnan, Peoples R China.;Liu, HY (通讯作者)，Yunnan Characterist Plant Extract Lab, Kunming 650106, Yunnan, Peoples R China.</t>
  </si>
  <si>
    <t>National Natural Science Foundation of China [U1802287, 31770391]; Ten Thousand Talents Plan of Yunnan Province for Industrial Technology Leading Talents [YNWR-CYJS-2019-011]; State Key Laboratory of Phytochemistry and Plant Resources in West China [P2019-ZZ02]; Open Research Project of ``CrossCooperative Team'' of the Germplasm Bank of Wild Species, Kunming Institute of Botany, CAS, the Academicians &amp; Experts Workstation of Yunnan Province [202105AF150074]; Project of Yunnan Characteristic Plant Screening and R&amp;D Service CXO Platform [2022YKZY001]</t>
  </si>
  <si>
    <t>National Natural Science Foundation of China(National Natural Science Foundation of China (NSFC)); Ten Thousand Talents Plan of Yunnan Province for Industrial Technology Leading Talents; State Key Laboratory of Phytochemistry and Plant Resources in West China; Open Research Project of ``CrossCooperative Team'' of the Germplasm Bank of Wild Species, Kunming Institute of Botany, CAS, the Academicians &amp; Experts Workstation of Yunnan Province; Project of Yunnan Characteristic Plant Screening and R&amp;D Service CXO Platform</t>
  </si>
  <si>
    <t>This work was financially supported by the National Natural Science Foundation of China (U1802287 and 31770391), the Ten Thousand Talents Plan of Yunnan Province for Industrial Technology Leading Talents (YNWR-CYJS-2019-011), the State Key Laboratory of Phytochemistry and Plant Resources in West China (P2019-ZZ02), the Open Research Project of ``CrossCooperative Team'' of the Germplasm Bank of Wild Species, Kunming Institute of Botany, CAS, the Academicians &amp; Experts Workstation of Yunnan Province (202105AF150074), and the Project of Yunnan Characteristic Plant Screening and R&amp;D Service CXO Platform (2022YKZY001).</t>
  </si>
  <si>
    <t>10.1039/d2nj03666e</t>
  </si>
  <si>
    <t>5J8II</t>
  </si>
  <si>
    <t>WOS:000860874600001</t>
  </si>
  <si>
    <t>Zhao, LH; Zhang, LZ; Hu, ZH; Li, BW; Zheng, X; Qiu, RS; Chen, Y; Li, J; Dong, JH; Zhang, ZK</t>
  </si>
  <si>
    <t>Zhao, Lihua; Zhang, Lizhen; Hu, Zhonghui; Li, Bowen; Zheng, Xue; Qiu, Runshuang; Chen, Yue; Li, Jing; Dong, Jiahong; Zhang, Zhongkai</t>
  </si>
  <si>
    <t>Tomato zonate spot virus induced hypersensitive resistance via an auxin-related pathway in pepper</t>
  </si>
  <si>
    <t>GENE</t>
  </si>
  <si>
    <t>Tomato zonate spotvirus; Hypersensitive response (HR); Transcriptome sequencing; PI152225( Capsicum spp; ); Auxin</t>
  </si>
  <si>
    <t>RNA SILENCING SUPPRESSOR; WILT-VIRUS; NSS PROTEIN; CAPSICUM SPP.; GENE; EXPRESSION; INFECTION; PATHOGEN; ACID; TOSPOVIRUS</t>
  </si>
  <si>
    <t>Tomato zonate spotvirus (TZSV) often incurs significant losses in many food and ornamental crops in Yunnan province, China, and the surrounding areas. The pepper (Capsicum chinensePI152225)can develop hypersensitive resistance following infection with TZSV, through an as yet unknown mechanism. The transcriptome dataset showed a total of 45.81 GB of clean data were obtained from six libraries, and the average percentage of the reads mapped to the pepper genome was over 90.00 %. A total of 1403 differentially expressed genes (DEGs) were obtained after TZSV infection, including 825significantly up-regulated genes and 578 down-regulated genes. The Gene Ontology (GO) and Kyoto Encyclopedia of Genes and Genomes (KEGG) pathway analyses indicated that most up-regulated DEGs were involved in basal defenses. RT-qPCR, and virus induced gene silencing (VIGS) were used preliminarily to identifyBBC_22506 and BBC_18917, among total of 71 differentially expressed genes (DEGs), that play a key role in mediating the auxin-induced signaling pathway that might take part in hypersensitive response (HR) conferred resistance to viral infection in pepper (PI152225) byTZSV. This is the first study on the mechanism of auxin resistance, involved in defense responses of pepper against viral diseases, which lay the foundation for further study on the pathogenic mechanism of TZSV, as well as the mechanism of resistance to TZSV, in peppers.</t>
  </si>
  <si>
    <t>Zhao, Lihua</t>
  </si>
  <si>
    <t>[Zhao, Lihua; Zhang, Lizhen; Li, Bowen; Zheng, Xue; Qiu, Runshuang; Chen, Yue; Zhang, Zhongkai] Minist Agr, Yunnan Acad Agr Sci, Yunnan Prov Key Lab Agr Biotechnol, Inst Biotechnol &amp; Germplasm Resources,Key Lab Sou, Kunming 650204, Yunnan, Peoples R China; [Dong, Jiahong] Yunnan Univ Chinese Med, Kunming 650500, Yunnan, Peoples R China; [Li, Bowen; Qiu, Runshuang; Li, Jing] Southwest Forestry Univ, Life Sci Coll, Kunming 650224, Yunnan, Peoples R China; [Hu, Zhonghui] Chinese Acad Sci, Kunming Inst Bot, Kunming 650201, Yunnan, Peoples R China</t>
  </si>
  <si>
    <t>Ministry of Agriculture &amp; Rural Affairs; Yunnan Academy of Agricultural Sciences; Yunnan University of Chinese Medicine; Southwest Forestry University - China; Chinese Academy of Sciences; Kunming Institute of Botany, CAS</t>
  </si>
  <si>
    <t>Zhang, ZK (通讯作者)，Minist Agr, Yunnan Acad Agr Sci, Yunnan Prov Key Lab Agr Biotechnol, Inst Biotechnol &amp; Germplasm Resources,Key Lab Sou, Kunming 650204, Yunnan, Peoples R China.;Dong, JH (通讯作者)，Yunnan Univ Chinese Med, Kunming 650500, Yunnan, Peoples R China.;Li, J (通讯作者)，Southwest Forestry Univ, Life Sci Coll, Kunming 650224, Yunnan, Peoples R China.</t>
  </si>
  <si>
    <t>National Natural Science Foundation of China [31960531, U1802235]; Yunnan Provincial Natural Science Foundation [2017FA019, 202101AT07269]</t>
  </si>
  <si>
    <t>National Natural Science Foundation of China(National Natural Science Foundation of China (NSFC)); Yunnan Provincial Natural Science Foundation(Natural Science Foundation of Yunnan Province)</t>
  </si>
  <si>
    <t>Acknowledgments We acknowledge Dr. JiangqiangWu for providing us the vector of VIGS.This research was funded by National Natural Science Foundation of China (No.31960531,U1802235) , Yunnan Provincial Natural Science Foundation (No.2017FA019, 202101AT07269) .</t>
  </si>
  <si>
    <t>0378-1119</t>
  </si>
  <si>
    <t>1879-0038</t>
  </si>
  <si>
    <t>Gene</t>
  </si>
  <si>
    <t>MAY 20</t>
  </si>
  <si>
    <t>10.1016/j.gene.2022.146320</t>
  </si>
  <si>
    <t>ZV5YV</t>
  </si>
  <si>
    <t>WOS:000770606400001</t>
  </si>
  <si>
    <t>Yan, Y; Ran, XQ; Wang, D; Zhang, X; Peng, MY; Yan, XY; Tang, L; Liang, H; Qin, XJ; Di, YT; Luo, RC; Hao, XJ; Yao, YG</t>
  </si>
  <si>
    <t>Yan, Ying; Ran, Xiaoqian; Wang, Dan; Zhang, Xiong; Peng, Mingyou; Yan, Xiaoyan; Tang, Lei; Liang, Hong; Qin, Xujie; Di, Ying-Tong; Luo, Rongcan; Hao, Xiao-Jiang; Yao, Yong-Gang</t>
  </si>
  <si>
    <t>Munronin V with 7/7/6 tricarbocyclic framework from Munronia henryi harms inhibits tau pathology by activating autophagy</t>
  </si>
  <si>
    <t>ORGANIC &amp; BIOMOLECULAR CHEMISTRY</t>
  </si>
  <si>
    <t>UBIQUITIN-PROTEASOME SYSTEM; ALZHEIMERS-DISEASE; CONSTITUENTS; LIMONOIDS; TFEB; NEURODEGENERATION</t>
  </si>
  <si>
    <t>Munronin V (1), isolated from Munronia henryi Harms, is the first example, to the best of our knowledge, of an unprecedented 7/7/6 tricarbocyclic framework featuring an unusual A,B-seco-limonoid ring. The structures of munronin V were established from extensive spectroscopic and electronic circular dichroism (ECD) analyses. The novel A,B-seco with two seven-membered lactones was formed as a result of Baeyer-Villiger oxidation. Compound 1 activated autophagy and inhibited Tau pathology as revealed by flow cytometric analyses, confocal imaging analysis and western blotting, and this effect was mediated by transcription factor EB (TFEB). These findings suggested that 1 might have potential as a compound for combating Alzheimer's disease.</t>
  </si>
  <si>
    <t>Yan, Ying</t>
  </si>
  <si>
    <t>[Yan, Ying; Wang, Dan; Zhang, Xiong; Peng, Mingyou; Yan, Xiaoyan; Tang, Lei] Guizhou Med Univ, Guizhou Prov Engn Technol Res Ctr Chem Drug R&amp;D, State Key Lab Funct &amp; Applicat Med Plants, Guiyang 550014, Peoples R China; [Yan, Ying; Wang, Dan; Zhang, Xiong; Peng, Mingyou; Yan, Xiaoyan; Tang, Lei] Guizhou Med Univ, Coll Pharm, Guizhou Prov Engn Technol Res Ctr Chem Drug R&amp;D, Guiyang 550014, Peoples R China; [Ran, Xiaoqian; Luo, Rongcan; Yao, Yong-Gang] Chinese Acad Sci, Chinese Acad Sci &amp; Yunnan Prov, Key Lab Anim Models &amp; Human Dis Mech, Kunming Inst Zool,KIZ CUHK Joint Lab Bioresources, Kunming 650204, Peoples R China; [Ran, Xiaoqian; Luo, Rongcan; Yao, Yong-Gang] Univ Chinese Acad Sci, Kunming Coll Life Sci, Kunming 650204, Yunnan, Peoples R China; [Liang, Hong; Qin, Xujie; Di, Ying-Tong; Hao, Xiao-Jiang] Chinese Acad Sci, Kunming Inst Bot, State Key Lab Phytochem &amp; Plant Resources West Chi, Kunming 650201, Peoples R China; [Yao, Yong-Gang] Chinese Acad Sci, CAS Ctr Excellence Brain Sci &amp; Intelligence Techno, Shanghai 200031, Peoples R China</t>
  </si>
  <si>
    <t>Guizhou Medical University; Guizhou Medical University; Chinese Academy of Sciences; Kunming Institute of Zoology; Chinese Academy of Sciences; University of Chinese Academy of Sciences, CAS; Chinese Academy of Sciences; Kunming Institute of Botany, CAS; Chinese Academy of Sciences</t>
  </si>
  <si>
    <t>Luo, RC (通讯作者)，Chinese Acad Sci, Chinese Acad Sci &amp; Yunnan Prov, Key Lab Anim Models &amp; Human Dis Mech, Kunming Inst Zool,KIZ CUHK Joint Lab Bioresources, Kunming 650204, Peoples R China.;Luo, RC (通讯作者)，Univ Chinese Acad Sci, Kunming Coll Life Sci, Kunming 650204, Yunnan, Peoples R China.;Hao, XJ (通讯作者)，Chinese Acad Sci, Kunming Inst Bot, State Key Lab Phytochem &amp; Plant Resources West Chi, Kunming 650201, Peoples R China.</t>
  </si>
  <si>
    <t>luorongcan@mail.kiz.ac.cn; haoxj@mail.kib.ac.cn</t>
  </si>
  <si>
    <t>National Natural Science Foundation of China [31160374, 32170988, 31900737]; Guizhou Provincial Science and Technology projects [ZK [2022]393]; Original Innovation Project from 0 to 1? of the Basic Frontier Scientific Research Program, CAS [ZDBS-LY-SM031]; Scientific and Technological Foundation of Guizhou Health Committee [gzwkj2022-222]; Cultivation Project of the National Natural Science Foundation from Guizhou Medical University [19NSP083]; Basic Research Program of Yunnan Province [202201AW070010, 202001AT070107, 202003AD150009]; Youth Innovation Promotion Association of CAS [2021000011]; CAS [XDB02020003]; CAS Light of West China Program [2020000023]; Young Scientific and Technological Talents Promotion Project of Yunnan Association for Science and Technology [2022000043]; Open Project from Key Laboratory of Animal Models and Human Disease Mechanisms of the Chinese Academy of Sciences &amp; Yunnan Province [AMHD-2021-4, AMHD-2022-4]</t>
  </si>
  <si>
    <t>National Natural Science Foundation of China(National Natural Science Foundation of China (NSFC)); Guizhou Provincial Science and Technology projects; Original Innovation Project from 0 to 1? of the Basic Frontier Scientific Research Program, CAS; Scientific and Technological Foundation of Guizhou Health Committee; Cultivation Project of the National Natural Science Foundation from Guizhou Medical University; Basic Research Program of Yunnan Province; Youth Innovation Promotion Association of CAS; CAS(Chinese Academy of Sciences); CAS Light of West China Program; Young Scientific and Technological Talents Promotion Project of Yunnan Association for Science and Technology; Open Project from Key Laboratory of Animal Models and Human Disease Mechanisms of the Chinese Academy of Sciences &amp; Yunnan Province</t>
  </si>
  <si>
    <t>The work was supported financially by the National Natural Science Foundation of China (No. 31160374 to Y.Y., 32170988 and 31900737 to R.L.), Guizhou Provincial Science and Technology projects (No. ZK [2022]393 to Y.Y.), the Original Innovation Project from 0 to 1? of the Basic Frontier Scientific Research Program, CAS (ZDBS-LY-SM031 to R.L.), the Scientific and Technological Foundation of Guizhou Health Committee (gzwkj2022-222 to Y.Y.), the Cultivation Project of the National Natural Science Foundation from Guizhou Medical University (19NSP083 to Y.Y.), the Basic Research Program of Yunnan Province (202201AW070010 and 202001AT070107 to R.L., and 202003AD150009), the Youth Innovation Promotion Association of CAS (2021000011 to R.L.), the Strategic Priority Research Program (B) of CAS (XDB02020003 to Y.G.Y.), the CAS Light of West China Program (2020000023 to R.L.), the Young Scientific and Technological Talents Promotion Project of Yunnan Association for Science and Technology (2022000043 to R.L.), and the Open Project from Key Laboratory of Animal Models and Human Disease Mechanisms of the Chinese Academy of Sciences &amp; Yunnan Province (AMHD-2021-4 and AMHD-2022-4).</t>
  </si>
  <si>
    <t>1477-0520</t>
  </si>
  <si>
    <t>1477-0539</t>
  </si>
  <si>
    <t>ORG BIOMOL CHEM</t>
  </si>
  <si>
    <t>Org. Biomol. Chem.</t>
  </si>
  <si>
    <t>JAN 18</t>
  </si>
  <si>
    <t>10.1039/d2ob01965e</t>
  </si>
  <si>
    <t>7T8PI</t>
  </si>
  <si>
    <t>WOS:000906757600001</t>
  </si>
  <si>
    <t>Zhang, F; Yang, J; Yi, P; Li, YN; Hao, XJ; Yuan, CM</t>
  </si>
  <si>
    <t>Zhang, Feng; Yang, Jue; Yi, Ping; Li, Ya-Nan; Hao, Xiao-Jiang; Yuan, Chun-Mao</t>
  </si>
  <si>
    <t>Hyperpatone A, a polycyclic polyprenylated acylphloroglucinol with a rare 8/6/5/6/5 pentacyclic skeleton from Hypericum patulum</t>
  </si>
  <si>
    <t>ASSISTED STRUCTURE ELUCIDATION</t>
  </si>
  <si>
    <t>Hyperpatone A (1), a highly oxidated polycyclic polyprenylated acylphloroglucinol (PPAP), along with a biosynthesized related PPAP (2) was isolated from Hypericum patulum under the guidance of LC-MS investigation. Architecturally, compound 1 represents the first PPAP with an unprecedented 8/6/5/6/5 pentacyclic skeleton and an intramolecular peroxy bridge, which might be derived from the [3.3.1]-type bicyclic polyprenylated acylphloroglucinol via the critical Baeyer-Villiger oxidation, decarboxylation, and intramolecular cyclization. The structures were established by extensive spectroscopic analysis, ACD software calculation, and quantum chemical computations. A plausible biogenetic pathway of 1 and 2 was also proposed. Importantly, both compounds exhibited moderate cytotoxic activities against the HEL cell line with the IC50 values ranging from 10.2 to 19.2 mu M. Moreover, compound 1 showed an inhibitory effect on NO production in lipopolysaccharide-stimulated RAW264.7 cells at a lower concentration of 5 or 1 mu M.</t>
  </si>
  <si>
    <t>Zhang, Feng</t>
  </si>
  <si>
    <t>[Zhang, Feng; Yang, Jue; Yi, Ping; Li, Ya-Nan; Hao, Xiao-Jiang; Yuan, Chun-Mao] Guizhou Med Univ, State Key Lab Funct &amp; Applicat Med Plants, Guiyang 550014, Peoples R China; [Zhang, Feng; Yang, Jue; Yi, Ping; Li, Ya-Nan; Hao, Xiao-Jiang; Yuan, Chun-Mao] Guizhou Med Univ, Sch Pharmaceut Sci, Guiyang 550025, Peoples R China; [Zhang, Feng; Yang, Jue; Yi, Ping; Li, Ya-Nan; Hao, Xiao-Jiang; Yuan, Chun-Mao] Chinese Acad Sci, Key Lab Chem Nat Prod Guizhou Prov, Guiyang 550014, Peoples R China; [Hao, Xiao-Jiang] Chinese Acad Sci, Kunming Inst Bot, State Key Lab Phytochemistry &amp; Plant Resources Wes, Kunming 650201, Peoples R China</t>
  </si>
  <si>
    <t>Yang, J; Hao, XJ; Yuan, CM (通讯作者)，Guizhou Med Univ, State Key Lab Funct &amp; Applicat Med Plants, Guiyang 550014, Peoples R China.;Yang, J; Hao, XJ; Yuan, CM (通讯作者)，Guizhou Med Univ, Sch Pharmaceut Sci, Guiyang 550025, Peoples R China.;Yang, J; Hao, XJ; Yuan, CM (通讯作者)，Chinese Acad Sci, Key Lab Chem Nat Prod Guizhou Prov, Guiyang 550014, Peoples R China.;Hao, XJ (通讯作者)，Chinese Acad Sci, Kunming Inst Bot, State Key Lab Phytochemistry &amp; Plant Resources Wes, Kunming 650201, Peoples R China.</t>
  </si>
  <si>
    <t>yaodadewo@163.com; haoxj@mail.kib.ac.cn; yuanchunmao01@126.com</t>
  </si>
  <si>
    <t>Yuan, Chunmao/0000-0002-3550-161X</t>
  </si>
  <si>
    <t>National Natural Science Foundation of China [32270413, U1812403]; Science and Technology Department of Guizhou Province [QKHJC 2020-1Z076, 2020-1Y400]; 13th Batch of Outstanding Young Scientific and Technological Talents in Guizhou Province [QKHPTRC [2021]5633]; High-level Innovative Talents in Guizhou Province (Thousand Levels of Talent for Chunmao Yuan in 2018); Light of the West Talent Cultivation Program of Chinese Academy of Sciences for Chunmao Yuan [RZ [2020]82]</t>
  </si>
  <si>
    <t>National Natural Science Foundation of China(National Natural Science Foundation of China (NSFC)); Science and Technology Department of Guizhou Province; 13th Batch of Outstanding Young Scientific and Technological Talents in Guizhou Province; High-level Innovative Talents in Guizhou Province (Thousand Levels of Talent for Chunmao Yuan in 2018); Light of the West Talent Cultivation Program of Chinese Academy of Sciences for Chunmao Yuan</t>
  </si>
  <si>
    <t>The work was financially supported by the National Natural Science Foundation of China (32270413 and U1812403), the Science and Technology Department of Guizhou Province (QKHJC 2020-1Z076 and 2020-1Y400), the 13th Batch of Outstanding Young Scientific and Technological Talents in Guizhou Province (QKHPTRC [2021]5633), High-level Innovative Talents in Guizhou Province (Thousand Levels of Talent for Chunmao Yuan in 2018), and Light of the West Talent Cultivation Program of Chinese Academy of Sciences for Chunmao Yuan (RZ [2020]82).</t>
  </si>
  <si>
    <t>10.1039/d2ob01851a</t>
  </si>
  <si>
    <t>6Y4LF</t>
  </si>
  <si>
    <t>WOS:000893216100001</t>
  </si>
  <si>
    <t>Yang, R; Sun, XC; Zhang, YQ; Xiao, GZ</t>
  </si>
  <si>
    <t>Yang, Rui; Sun, Xingchun; Zhang, Yunqin; Xiao, Guozhi</t>
  </si>
  <si>
    <t>The total synthesis of rhynchosporosides via orthogonal one-pot glycosylation and stereoselective alpha-glycosylation strategies</t>
  </si>
  <si>
    <t>SCALD DISEASE; GLYCOSIDIC PHYTOTOXINS; ALKYNYLBENZOATES; OLIGOSACCHARIDE; METABOLITES; DONORS</t>
  </si>
  <si>
    <t>The efficient and collective synthesis of rhynchosporosides causing scald diseases has been achieved, which features orthogonal one-pot glycosylation on the basis of PTFAI glycosylation, Yu glycosylation, and PVB glycosylation and merging reagent modulation and remote anchimeric assistance (RMRAA) alpha-glucosylation strategies. The issues inherent to the thioglycoside-based orthogonal one-pot glycosylation strategy, such as aglycone transfer, have been precluded by this orthogonal one-pot glycosylation strategy, which can streamline glycan chemical synthesis.</t>
  </si>
  <si>
    <t>Yang, Rui</t>
  </si>
  <si>
    <t>[Yang, Rui; Sun, Xingchun; Zhang, Yunqin; Xiao, Guozhi] Chinese Acad Sci, Univ Chinese Acad Sci, State Key Lab Phytochem &amp; Plant Resources, West China Kunming Inst Bot, 132 Lanhei Rd, Kunming 650201, Yunnan, Peoples R China; [Sun, Xingchun] Shaanxi Normal Univ, Minist Educ, Key Lab Appl Surface &amp; Colloid Chem, Xian 710119, Peoples R China; [Sun, Xingchun] Shaanxi Normal Univ, Sch Chem &amp; Chem Engn, Xian 710119, Peoples R China</t>
  </si>
  <si>
    <t>Chinese Academy of Sciences; University of Chinese Academy of Sciences, CAS; Shaanxi Normal University; Shaanxi Normal University</t>
  </si>
  <si>
    <t>Xiao, GZ (通讯作者)，Chinese Acad Sci, Univ Chinese Acad Sci, State Key Lab Phytochem &amp; Plant Resources, West China Kunming Inst Bot, 132 Lanhei Rd, Kunming 650201, Yunnan, Peoples R China.</t>
  </si>
  <si>
    <t>Xiao, Guozhi/0000-0002-4724-4390</t>
  </si>
  <si>
    <t>CAS Pioneer Hundred Talents Program [2017-128]; Key Project of the Natural Science Foundation of Yunnan Province [202101AS070030]; National Natural Science Foundation of China [21907097]; Young Talents Project of High-level Talent Introduction Program of Yunnan Province, State Key Laboratory of Phytochemistry and Plant Resources in West China [P2021-ZZ02]; Kunming Institute of Botany</t>
  </si>
  <si>
    <t>CAS Pioneer Hundred Talents Program; Key Project of the Natural Science Foundation of Yunnan Province; National Natural Science Foundation of China(National Natural Science Foundation of China (NSFC)); Young Talents Project of High-level Talent Introduction Program of Yunnan Province, State Key Laboratory of Phytochemistry and Plant Resources in West China; Kunming Institute of Botany</t>
  </si>
  <si>
    <t>Financial support from the CAS Pioneer Hundred Talents Program (No. 2017-128), the Key Project of the Natural Science Foundation of Yunnan Province (No.202101AS070030), the National Natural Science Foundation of China (21907097), the Young Talents Project of High-level Talent Introduction Program of Yunnan Province, State Key Laboratory of Phytochemistry and Plant Resources in West China (P2021-ZZ02), and Kunming Institute of Botany is greatly acknowledged.</t>
  </si>
  <si>
    <t>10.1039/d2ob01243j</t>
  </si>
  <si>
    <t>4E3KO</t>
  </si>
  <si>
    <t>WOS:000840917300001</t>
  </si>
  <si>
    <t>Xiao, LG; Li, P; Yan, H; Ni, W; He, L; Liu, HY</t>
  </si>
  <si>
    <t>Xiao, Long-Gao; Li, Ping; Yan, Huan; Ni, Wei; He, Li; Liu, Hai-Yang</t>
  </si>
  <si>
    <t>Sarcanotides C-E: three new lindenane sesquiterpenoid dimers with anti-inflammatory activities from Sarcandra glabra</t>
  </si>
  <si>
    <t>Three new lindenane-type sesquiterpenoid dimers, sarcanolides C-E (1-3), were isolated from the roots of Sarcandra glabra. Sarcanolide C (1) possesses a unique decacyclic scaffold with an unusual orthoformate unit. The structures of 1-3 were determined through extensive spectroscopic analysis, while their absolute configurations were determined by comparison of calculated and experimental electronic circular dichroism (ECD) spectra. Compounds 1-3 were evaluated for their inhibitory activity against LPS-induced nitric oxide (NO) production in RAW264.7 macrophages. All the isolates displayed a moderate inhibitory effect against NO production with IC50 values in the range of 13.4-17.2 mu M, comparable to that of the positive control L-NMMA.</t>
  </si>
  <si>
    <t>Xiao, Long-Gao</t>
  </si>
  <si>
    <t>[Xiao, Long-Gao; Li, Ping; Yan, Huan; Ni, Wei; Liu, Hai-Yang] Chinese Acad Sci, Kunming Inst Bot, State Key Lab Phytochem &amp; Plant Resources West Ch, Kunming 650201, Yunnan, Peoples R China; [Xiao, Long-Gao; Li, Ping; Yan, Huan; Ni, Wei; Liu, Hai-Yang] Chinese Acad Sci, Kunming Inst Bot, Yunnan Key Lab Nat Med Chem, Kunming 650201, Yunnan, Peoples R China; [Xiao, Long-Gao] Univ Chinese Acad Sci, Beijing 100049, Peoples R China; [He, Li] Kunming Med Univ, Dept Dermatol, Affiliated Hosp 1, Kunming 650032, Yunnan, Peoples R China</t>
  </si>
  <si>
    <t>Chinese Academy of Sciences; Kunming Institute of Botany, CAS; Chinese Academy of Sciences; Kunming Institute of Botany, CAS; Chinese Academy of Sciences; University of Chinese Academy of Sciences, CAS; Kunming Medical University</t>
  </si>
  <si>
    <t>Liu, HY (通讯作者)，Chinese Acad Sci, Kunming Inst Bot, State Key Lab Phytochem &amp; Plant Resources West Ch, Kunming 650201, Yunnan, Peoples R China.;Liu, HY (通讯作者)，Chinese Acad Sci, Kunming Inst Bot, Yunnan Key Lab Nat Med Chem, Kunming 650201, Yunnan, Peoples R China.;He, L (通讯作者)，Kunming Med Univ, Dept Dermatol, Affiliated Hosp 1, Kunming 650032, Yunnan, Peoples R China.</t>
  </si>
  <si>
    <t>Xiao, Long-Gao/0000-0003-3859-4409</t>
  </si>
  <si>
    <t>National Natural Science Foundation of China [32000280, U1802287]; Ten Thousand Talents Plan of Yunnan Province for Industrial Technology Leading Talents; Major Biomedical Project of Yunnan Province [2019ZF010]; State Key Laboratory of Phytochemistry and Plant Resources in West China [S2017-ZZ08, P2019-ZZ02]; State Key Laboratory of Functions and Applications of Medicinal Plants [FAMP201901K]</t>
  </si>
  <si>
    <t>National Natural Science Foundation of China(National Natural Science Foundation of China (NSFC)); Ten Thousand Talents Plan of Yunnan Province for Industrial Technology Leading Talents; Major Biomedical Project of Yunnan Province; State Key Laboratory of Phytochemistry and Plant Resources in West China; State Key Laboratory of Functions and Applications of Medicinal Plants</t>
  </si>
  <si>
    <t>This work was financially supported by the National Natural Science Foundation of China (32000280 and U1802287), the Ten Thousand Talents Plan of Yunnan Province for Industrial Technology Leading Talents, the Major Biomedical Project of Yunnan Province (2019ZF010), the State Key Laboratory of Phytochemistry and Plant Resources in West China (S2017-ZZ08 and P2019-ZZ02), and State Key Laboratory of Functions and Applications of Medicinal Plants (FAMP201901K).</t>
  </si>
  <si>
    <t>FEB 9</t>
  </si>
  <si>
    <t>10.1039/d1ob02417e</t>
  </si>
  <si>
    <t>YW0HM</t>
  </si>
  <si>
    <t>WOS:000746658000001</t>
  </si>
  <si>
    <t>Fadiji, AE; Mortimer, PE; Xu, JC; Ebenso, EE; Babalola, OO</t>
  </si>
  <si>
    <t>Fadiji, Ayomide Emmanuel; Mortimer, Peter Edward; Xu, Jianchu; Ebenso, Eno E.; Babalola, Olubukola Oluranti</t>
  </si>
  <si>
    <t>Biosynthesis of Nanoparticles Using Endophytes: A Novel Approach for Enhancing Plant Growth and Sustainable Agriculture</t>
  </si>
  <si>
    <t>SUSTAINABILITY</t>
  </si>
  <si>
    <t>biogenic methods; endophytes; fungi and bacteria; food availability; nanotechnology</t>
  </si>
  <si>
    <t>SILVER NANOPARTICLES; GOLD NANOPARTICLES; ANTIBACTERIAL EFFICACY; FUNGUS; ANTIOXIDANT; NANOTECHNOLOGY; MYCOSYNTHESIS; BIOGENESIS; MICROBES</t>
  </si>
  <si>
    <t>Current strategies for increasing food production rely heavily on the use of agrichemicals to improve plant growth and resistance to disease. However, many of these chemicals have been shown to have negative impacts on human health and the environment. Nanotechnology presents itself as one of the promising technologies that can be employed to overcome these challenges, but, in the same way that agrichemicals can be harmful, so too can nanotechnology production lines cause harm. In an effort to produce nanoparticles (NPs) in an environmentally friendly and sustainable manner, biological synthesis pathways using microbes and plants are being explored and developed. Synthesis of NPs using endophytic microbiomes is one of the biological approaches showing great potential, offering environmentally friendly alternatives to current production lines and adding value to agricultural systems. This review presents the current potential of NPs synthesized using endophytic microbiomes (primarily bacteria and fungi) to enhance plant growth and improve disease resistance, ultimately making agriculture more sustainable. The future focus on the exploration of this important technique is advocated.</t>
  </si>
  <si>
    <t>Fadiji, Ayomide Emmanuel</t>
  </si>
  <si>
    <t>[Fadiji, Ayomide Emmanuel; Babalola, Olubukola Oluranti] North West Univ, Fac Nat &amp; Agr Sci, Food Secur &amp; Safety Focus Area, Private Mail Bag X2046, ZA-2745 Mmabatho, South Africa; [Mortimer, Peter Edward; Xu, Jianchu] Chinese Acad Sci, Ctr Mt Futures, Kunming Inst Bot, Kunming 650204, Yunnan, Peoples R China; [Ebenso, Eno E.] Univ South Africa, Coll Sci Engn &amp; Technol, Inst Nanotechnol &amp; Water Sustainabil, ZA-1710 Johannesburg, South Africa</t>
  </si>
  <si>
    <t>North West University - South Africa; Chinese Academy of Sciences; Kunming Institute of Botany, CAS; University of South Africa</t>
  </si>
  <si>
    <t>Babalola, OO (通讯作者)，North West Univ, Fac Nat &amp; Agr Sci, Food Secur &amp; Safety Focus Area, Private Mail Bag X2046, ZA-2745 Mmabatho, South Africa.</t>
  </si>
  <si>
    <t>olubukola.babalola@nwu.ac.za</t>
  </si>
  <si>
    <t>Babalola, Olubukola Oluranti/Y-7564-2019; EBENSO, ENO/AAB-6762-2022; Babalola, Olubukola Oluranti/HJI-7611-2023</t>
  </si>
  <si>
    <t>Babalola, Olubukola Oluranti/0000-0003-4344-1909; EBENSO, ENO/0000-0002-0411-9258; Xu, Jianchu/0000-0002-2485-2254</t>
  </si>
  <si>
    <t>National Research Foundation, South Africa [UID123634, UID132595]</t>
  </si>
  <si>
    <t>National Research Foundation, South Africa(National Research Foundation - South AfricaSouth African Medical Research Council)</t>
  </si>
  <si>
    <t>The study was funded by the National Research Foundation, South Africa (UID123634 and UID132595).</t>
  </si>
  <si>
    <t>2071-1050</t>
  </si>
  <si>
    <t>SUSTAINABILITY-BASEL</t>
  </si>
  <si>
    <t>Sustainability</t>
  </si>
  <si>
    <t>10.3390/su141710839</t>
  </si>
  <si>
    <t>4K5QD</t>
  </si>
  <si>
    <t>WOS:000852003100001</t>
  </si>
  <si>
    <t>Liu, WL; Wu, BF; Shang, JH; Wang, XF; Zhao, YL; Huang, AX</t>
  </si>
  <si>
    <t>Liu, Wei-Liang; Wu, Bai-Fen; Shang, Jian-Hua; Wang, Xue-Feng; Zhao, Yun-Li; Huang, Ai-Xiang</t>
  </si>
  <si>
    <t>Moringa oleifera seed ethanol extract and its active component kaempferol potentiate pentobarbital-induced sleeping behaviours in mice via a GABAergic mechanism</t>
  </si>
  <si>
    <t>PHARMACEUTICAL BIOLOGY</t>
  </si>
  <si>
    <t>Sedative-hypnotic; Cl- influx; GABA(A) receptors; GABA(A)-ergic systems</t>
  </si>
  <si>
    <t>BLOOD-BRAIN-BARRIER; GABA(A) RECEPTORS; INSOMNIA; MODULATION; PHYSIOLOGY; FLAVONOIDS; TOXICITY; ANXIETY; NEURONS; DISEASE</t>
  </si>
  <si>
    <t>Context Moringa oleifera Lam. (Moringaceae) (MO) is an important food plant that has high nutritional and medical value. However, there is limited information on whether its seeds can improve sleep. Objective This study investigated the effects of MO seed ethanol extracts (EEMOS) on sleep activity improvement and examined the underlying mechanisms. Materials and methods Male ICR mice were placed into six groups (n = 12) and treated as follows: Control (sodium carboxymethyl cellulose, 20 mL/kg), estazolam tablets (2 mg/kg), EEMOS (1, 2 g/kg) and kaempferol (1, 2 mg/kg). These samples were successively given intragastric for 14 d. Locomotor activity assay, pentobarbital-induced sleeping and pentetrazol-induced seizures tests were utilized to examine the sedative-hypnotic effects (SHE) of EEMOS. Results Compared with the control group, the results revealed that EEMOS (2 g/kg) and KA (2 mg/kg) possessed good SHE and could significantly elevate the levels of gamma-aminobutyric acid and reduce the levels of glutamic acid in the mouse hypothalamus (p &lt; 0.05). Moreover, SHE was blocked by picrotoxin, flumazenil and bicuculline (p &lt; 0.05). EEMOS (2 g/kg) and KA (2 mg/kg) significantly upregulated the protein expression levels of glutamic acid decarboxylase-65 (GAD(65)) and alpha(1)-subunit of GABA(A) receptors in the hypothalamus of mice (p &lt; 0.05), not affecting glutamic acid decarboxylase-67 (GAD(67)) and gamma(2)-subunit expression levels (p &gt; 0.05). Additionally, they cause a significant increase in Cl- influx in human cerebellar granule cells at a concentration of 8 mu g/mL (p &lt; 0.05). Discussion and conclusions These findings demonstrated that EEMOS could improve sleep by regulating GABA(A)-ergic systems, and encourage further clinical trials to treat insomnia.</t>
  </si>
  <si>
    <t>Liu, Wei-Liang</t>
  </si>
  <si>
    <t>[Liu, Wei-Liang] QuJing Normal Univ, Yunnan Engn Res Ctr Fruit Wine, Qujing, Peoples R China; [Wu, Bai-Fen] Yunnan Univ Business Management, Kunming, Yunnan, Peoples R China; [Shang, Jian-Hua; Zhao, Yun-Li] Chinese Acad Sci, Kunming Inst Bot, State Key Lab Phytochem &amp; Plant Resources West Ch, Kunming, Yunnan, Peoples R China; [Wang, Xue-Feng; Huang, Ai-Xiang] Yunnan Agr Univ, Coll Food Sci &amp; Technol, Kunming, Yunnan, Peoples R China; [Zhao, Yun-Li] Yunnan Univ, Sch Chem Sci &amp; Technol, Key Lab Med Chem Nat Resource, Minist Educ &amp; Yunnan Prov, Kunming, Yunnan, Peoples R China</t>
  </si>
  <si>
    <t>Chinese Academy of Sciences; Kunming Institute of Botany, CAS; Yunnan Agricultural University; Yunnan University</t>
  </si>
  <si>
    <t>Zhao, YL (通讯作者)，Chinese Acad Sci, Kunming Inst Bot, State Key Lab Phytochem &amp; Plant Resources West Ch, Kunming, Yunnan, Peoples R China.;Huang, AX (通讯作者)，Yunnan Agr Univ, Coll Food Sci &amp; Technol, Kunming, Yunnan, Peoples R China.;Zhao, YL (通讯作者)，Yunnan Univ, Sch Chem Sci &amp; Technol, Key Lab Med Chem Nat Resource, Minist Educ &amp; Yunnan Prov, Kunming, Yunnan, Peoples R China.</t>
  </si>
  <si>
    <t>zhaoyunli@mail.kib.ac.cn; aixianghuang@126.com</t>
  </si>
  <si>
    <t>National Science Foundation of China [31560431]; Yun-Ling Industrial Technology Leading Talent [2014-1782]; National Aerospace Science Foundation of China; School-level project of Qujing Normal University [2107410131X741]; Doctoral research start-up fee [2107450003X745]</t>
  </si>
  <si>
    <t>National Science Foundation of China(National Natural Science Foundation of China (NSFC)); Yun-Ling Industrial Technology Leading Talent; National Aerospace Science Foundation of China; School-level project of Qujing Normal University; Doctoral research start-up fee</t>
  </si>
  <si>
    <t>This study was supported by the National Science Foundation of China [Grant No. 31560431]; Yun-Ling Industrial Technology Leading Talent [Grant No. 2014-1782]; National Aerospace Science Foundation of China; School-level project of Qujing Normal University [Grant No. 2107410131X741]; and Doctoral research start-up fee [Grant No. 2107450003X745].</t>
  </si>
  <si>
    <t>TAYLOR &amp; FRANCIS LTD</t>
  </si>
  <si>
    <t>ABINGDON</t>
  </si>
  <si>
    <t>2-4 PARK SQUARE, MILTON PARK, ABINGDON OR14 4RN, OXON, ENGLAND</t>
  </si>
  <si>
    <t>1388-0209</t>
  </si>
  <si>
    <t>1744-5116</t>
  </si>
  <si>
    <t>PHARM BIOL</t>
  </si>
  <si>
    <t>Pharm. Biol.</t>
  </si>
  <si>
    <t>DEC 31</t>
  </si>
  <si>
    <t>10.1080/13880209.2022.2056207</t>
  </si>
  <si>
    <t>Plant Sciences; Medical Laboratory Technology; Pharmacology &amp; Pharmacy</t>
  </si>
  <si>
    <t>1J3DZ</t>
  </si>
  <si>
    <t>WOS:000797801700001</t>
  </si>
  <si>
    <t>Zhao, YL; Zhang, XH; Guo, F; Wei, Y; Shang, JH; Luo, XD</t>
  </si>
  <si>
    <t>Zhao, Yun-Li; Zhang, Xiang-Hua; Guo, Feng; Wei, Ying; Shang, Jian-Hua; Luo, Xiao-Dong</t>
  </si>
  <si>
    <t>Yi Shen An, a Chinese traditional prescription, ameliorates membranous glomerulonephritis induced by cationic bovine serum albumin in rats</t>
  </si>
  <si>
    <t>Nephritis; circulating immune complex; proteinuria; podocytes</t>
  </si>
  <si>
    <t>OXIDATIVE STRESS; DIABETIC-NEPHROPATHY; NEPHROTIC SYNDROME; GLOMERULAR INJURY; PATHOGENESIS; COMPLEMENT; INFLAMMATION; PROGRESSION; NEPHRITIS; CELLS</t>
  </si>
  <si>
    <t>Context Yi Shen An (YSA) is an investigational composite of traditional Chinese medicine (Reference: 2010L000974) for the treatment of renal disease. Objective To investigate the protective effects of YSA against membranous glomerulonephritis (MGN). Materials and methods Male Sprague-Dawley rats were injected with cationic bovine serum albumin (C-BSA) to create a model of MGN. Then, rats were orally treated with YSA at doses of 0.25, 0.5, 1 and 2 g/kg for 35 successive days; prednisone (5 mg/kg) was used as a positive control. At the end of the experimental period, we performed a series of tests, including 24 h urinary protein, and biochemical, immunological, antioxidative, coagulation indices, and histopathological examination. Results YSA-1 g/kg significantly lowered urinary protein from 68.37 to 30.74 mg (p &lt; 0.01). Meantime, total protein (TP) and albumin (ALB) recovered from 66.26 and 20.51 g/L to 76.08 and 35.64 g/L (p &lt; 0.01), respectively. YSA removed the deposition of immunoglobulin G (IgG) and complement 3c (C3c), prevented inter-capillary cell hyperplasia on the glomerular basement membrane (GBM), and reduced electron-dense deposits and fusion of podocytes. In addition, serum IgG and superoxide dismutase were significantly elevated. In contrast, malondialdehyde, total cholesterol, triglyceride, circulating immune complex (CIC), and immunoglobulin M decreased in the YSA-treated group. Moreover, the blood coagulation dysfunction was adjusted. Discussion and conclusions These findings indicate YSA may exert a therapeutic effect against MGN through the inhibition of CIC formation, and the removal of IgG and C3c deposition from the GBM, thus supporting the development of further clinical trials.</t>
  </si>
  <si>
    <t>Zhao, Yun-Li</t>
  </si>
  <si>
    <t>[Zhao, Yun-Li; Luo, Xiao-Dong] Yunnan Univ, Yunnan Prov Ctr Res &amp; Dev Nat Prod, Sch Chem Sci &amp; Technol, Key Lab Med Chem Nat Resource,Minist Educ, Kunming, Yunnan, Peoples R China; [Zhang, Xiang-Hua; Guo, Feng] New Drug R&amp;D Dept Kunming Inst Kidney Dis, Kunming, Yunnan, Peoples R China; [Wei, Ying] Shang Hai Univ Med &amp; Hlth Sci, Shanghai, Peoples R China; [Shang, Jian-Hua; Luo, Xiao-Dong] Chinese Acad Sci, Kunming Inst Bot, State Key Lab Phytochem &amp; Plant Resources West Ch, Kunming, Yunnan, Peoples R China</t>
  </si>
  <si>
    <t>Luo, XD (通讯作者)，Yunnan Univ, Yunnan Prov Ctr Res &amp; Dev Nat Prod, Sch Chem Sci &amp; Technol, Key Lab Med Chem Nat Resource,Minist Educ, Kunming, Yunnan, Peoples R China.;Shang, JH; Luo, XD (通讯作者)，Chinese Acad Sci, Kunming Inst Bot, State Key Lab Phytochem &amp; Plant Resources West Ch, Kunming, Yunnan, Peoples R China.</t>
  </si>
  <si>
    <t>sjhyaowu@163.com; xdluo@mail.kib.ac.cn</t>
  </si>
  <si>
    <t>General Program of Applied Basic Research of Yunnan Province [2019FB116]; Yunnan University; Yunnan Major Science and Technology Project [2019ZF003, 2019FY003004]; National Key Research and Development Program of China [2017YFC1704007]; National ScienceTechnology Support Plan Projects of China [2013BAI11B00]</t>
  </si>
  <si>
    <t>General Program of Applied Basic Research of Yunnan Province; Yunnan University; Yunnan Major Science and Technology Project; National Key Research and Development Program of China; National ScienceTechnology Support Plan Projects of China</t>
  </si>
  <si>
    <t>This work was financially supported by the General Program of Applied Basic Research of Yunnan Province [2019FB116], introduced talents grant of Yunnan University (to Xiao-Dong Luo), Yunnan Major Science and Technology Project [2019ZF003, 2019FY003004], the National Key Research and Development Program of China [2017YFC1704007], and the National ScienceTechnology Support Plan Projects of China [2013BAI11B00].</t>
  </si>
  <si>
    <t>10.1080/13880209.2021.2021947</t>
  </si>
  <si>
    <t>YD6AY</t>
  </si>
  <si>
    <t>WOS:000740524000001</t>
  </si>
  <si>
    <t>Chen, G; Zhou, D; Wang, CM; Li, N</t>
  </si>
  <si>
    <t>Chen Gang; Zhou Di; Wang Cheng-Min; Li Ning</t>
  </si>
  <si>
    <t>Advances in the role of natural products in human gene expression</t>
  </si>
  <si>
    <t>CHINESE JOURNAL OF NATURAL MEDICINES</t>
  </si>
  <si>
    <t>Natural products; Gene expression; Non-coding RNAs; Post-transcriptional regulation</t>
  </si>
  <si>
    <t>POSTTRANSCRIPTIONAL REGULATION; PROTEIN GLYCOSYLATION; DRUG DISCOVERY; RNA; ACETYLATION; INHIBITORS; TARGET; HUR</t>
  </si>
  <si>
    <t>[ABSTRACT] Natural products (NPs), especially those from traditional herbal medicines, can evidently modulate human gene expression at multiple levels, leading to a wide diversity of bioactivities. Although numerous bio-functions of NPs for human body have been found, there is little understanding about how NPs achieve it, as less attention was drawn to the definite mechnism by which NPs regulate gene expression. Furthermore, based on the rapidly advancing knowledge of mechanisms for gene regulation in recent years, newly-understood mechanisms, such as post-transcriptional regulation, are found to be involved in NP-elicited bio-effects, providing a new perspective on understanding the role of NPs in gene expression. Therefore, in the current review, we summarize the function of NPs in gene expression from the perspectives of transcriptional, post-transcriptional, and post-translational regulation, which will reinforce the understanding of NP-induced effects in gene expression and facilitate the exploration of more NPs with potential therapeutic effects.</t>
  </si>
  <si>
    <t>Chen Gang</t>
  </si>
  <si>
    <t>[Chen Gang; Zhou Di; Wang Cheng-Min; Li Ning] Shenyang Pharmaceut Univ, Sch Tradit Chinese Mat Med, Shenyang 110016, Peoples R China; [Chen Gang] Chinese Acad Sci, Kunming Inst Bot, State Key Lab Phytochem &amp; Plant Resources West Ch, Kunming 650201, Yunnan, Peoples R China</t>
  </si>
  <si>
    <t>Shenyang Pharmaceutical University; Chinese Academy of Sciences; Kunming Institute of Botany, CAS</t>
  </si>
  <si>
    <t>Li, N (通讯作者)，Shenyang Pharmaceut Univ, Sch Tradit Chinese Mat Med, Shenyang 110016, Peoples R China.</t>
  </si>
  <si>
    <t>liningsypharm@163.com</t>
  </si>
  <si>
    <t>National Natural Science Foundation of China [81872768, U1903122]; Liaoning Revitalization Talents Program [XLYC1807118]; Shenyang Young Scientific and Technological Innovators Programme [RC200408]; Special Fund of Research Institute of Drug Regulatory Science Research, Shenyang Pharmaceutical University [2021jgkx010]; Liaoning BaiQianWan Talents Program (2018); Fund of State Key Laboratory of Phytochemistry and Plant Resources in West China [P2020-KF01]</t>
  </si>
  <si>
    <t>National Natural Science Foundation of China(National Natural Science Foundation of China (NSFC)); Liaoning Revitalization Talents Program; Shenyang Young Scientific and Technological Innovators Programme; Special Fund of Research Institute of Drug Regulatory Science Research, Shenyang Pharmaceutical University; Liaoning BaiQianWan Talents Program (2018); Fund of State Key Laboratory of Phytochemistry and Plant Resources in West China</t>
  </si>
  <si>
    <t>This work was supported by the National Natural Science Foundation of China (Nos. 81872768 and U1903122), Liaoning Revitalization Talents Program (XLYC1807118), Shenyang Young Scientific and Technological Innovators Programme (RC200408), the Special Fund of Research Institute of Drug Regulatory Science Research, Shenyang Pharmaceutical University (No. 2021jgkx010), Liaoning BaiQianWan Talents Program (2018), and the Fund of State Key Laboratory of Phytochemistry and Plant Resources in West China (P2020-KF01).</t>
  </si>
  <si>
    <t>CHINESE JOURNAL NATURAL MEDICINES</t>
  </si>
  <si>
    <t>NANJING</t>
  </si>
  <si>
    <t>24, TONGJIA XIANG, NANJING, 210009, PEOPLES R CHINA</t>
  </si>
  <si>
    <t>2095-6975</t>
  </si>
  <si>
    <t>1875-5364</t>
  </si>
  <si>
    <t>CHIN J NAT MEDICINES</t>
  </si>
  <si>
    <t>Chin. J. Nat. Med.</t>
  </si>
  <si>
    <t>10.1016/S1875-5364(22)60147-X</t>
  </si>
  <si>
    <t>Integrative &amp; Complementary Medicine; Pharmacology &amp; Pharmacy</t>
  </si>
  <si>
    <t>YR2SI</t>
  </si>
  <si>
    <t>WOS:000749846000001</t>
  </si>
  <si>
    <t>Huang, LL; Wang, YL; Guerin-Laguette, A; Wang, R; Zhang, P; Li, YM; Yu, FQ</t>
  </si>
  <si>
    <t>Huang, Lan-Lan; Wang, Yan-Liang; Guerin-Laguette, Alexis; Wang, Ran; Zhang, Peng; Li, Yong-Mei; Yu, Fu-Qiang</t>
  </si>
  <si>
    <t>Ectomycorrhizal synthesis between two Tuber species and six tree species: are different host-fungus combinations having dissimilar impacts on host plant growth?</t>
  </si>
  <si>
    <t>MYCORRHIZA</t>
  </si>
  <si>
    <t>Ascomycetes; Tuber formosanum; T. pseudohimalayense; Broad-leaved tree; Pinus armandii; Truffle cultivation</t>
  </si>
  <si>
    <t>LACTARIUS-DELICIOSUS; NEW-ZEALAND; MYCORRHIZAL; TRUFFLES; SOIL; ASSOCIATIONS; CULTIVATION; FORMOSANUM; EFFICIENCY; SEEDLINGS</t>
  </si>
  <si>
    <t>Truffle cultivation has drawn more and more attention for its high economic and ecological values in the world. To select symbionts suitable for cultivation purposes, we conducted greenhouse-based mycorrhization trials of two Tuber species (T. formosanum and T. pseudohimalayense) with five broad-leaved tree species (Corylus yunnanensis, Quercus aliena var. acutiserrata, Q. acutissima, Q. robur, Q. variabilis) and one conifer species (Pinus armandii). Axenically germinated seedlings of all tree species were either inoculated, or not, with spore suspensions of these two truffles in the greenhouse. Eight months after inoculation, T. formosanum or T. pseudohimalayense ectomycorrhizae were successfully formed on these six tree species, as evidenced by both morphological and molecular analyses. All selected trees showed good receptivity to mycorrhization by both fungi, with average colonization rates visually estimated at 40-50%. Plant growth, photosynthesis, and nutrient uptake were assessed 2 years after inoculation and were mainly affected by host species. Mycorrhization by both fungi significantly improved P uptake of the hosts, and the interaction between truffle species and host plant species had significant effects on leaf water and leaf K concentrations. In addition, a significantly negative correlation between leaf Ca and leaf C concentration was found across all the seedlings. In addition, mycorrhization had slightly increased plant stem and canopy, but had no significant effects on plant photosynthesis. Overall, these results suggest that the effects of these two Tuber ECMF on plant growth and nutrient acquisition depend on the identity of the host species. Moreover, all selected plant species could be symbiotic partners with either T. pseudohimalayense or T. formosanum for field cultivation purposes.</t>
  </si>
  <si>
    <t>Huang, Lan-Lan</t>
  </si>
  <si>
    <t>[Huang, Lan-Lan; Li, Yong-Mei] Yunnan Agr Univ, Coll Resources &amp; Environm, Kunming 650201, Yunnan, Peoples R China; [Huang, Lan-Lan; Wang, Yan-Liang; Wang, Ran; Zhang, Peng; Yu, Fu-Qiang] Chinese Acad Sci, Germplasm Bank Wild Species, Kunming Inst Bot, Yunnan Key Lab Fungal Divers &amp; Green Dev, 132 Lanhei Rd, Kunming 650201, Yunnan, Peoples R China; [Guerin-Laguette, Alexis] Mycotree C Southern Woods Nursery, 1002 Robinsons Rd,RD8, Christchurch, New Zealand; [Guerin-Laguette, Alexis] Chinese Acad Sci, Kunming Inst Bot, Kunming, Yunnan, Peoples R China</t>
  </si>
  <si>
    <t>Yunnan Agricultural University; Chinese Academy of Sciences; Kunming Institute of Botany, CAS; Chinese Academy of Sciences; Kunming Institute of Botany, CAS</t>
  </si>
  <si>
    <t>Li, YM (通讯作者)，Yunnan Agr Univ, Coll Resources &amp; Environm, Kunming 650201, Yunnan, Peoples R China.;Yu, FQ (通讯作者)，Chinese Acad Sci, Germplasm Bank Wild Species, Kunming Inst Bot, Yunnan Key Lab Fungal Divers &amp; Green Dev, 132 Lanhei Rd, Kunming 650201, Yunnan, Peoples R China.</t>
  </si>
  <si>
    <t>huanglanlan@mail.kib.ac.cn; youngmaylee@126.com; fqyu@mail.kib.ac.cn</t>
  </si>
  <si>
    <t>National Key Research and Development Program of China [2021YFD1600404]; Yunnan Key Project of Science and Technology [202102AE090034]; Yunnan High Level Talent Plan</t>
  </si>
  <si>
    <t>National Key Research and Development Program of China; Yunnan Key Project of Science and Technology; Yunnan High Level Talent Plan</t>
  </si>
  <si>
    <t>This work was supported by projects from the National Key Research and Development Program of China (2021YFD1600404), Yunnan Key Project of Science and Technology (202102AE090034), and Yunnan High Level Talent Plan to Xinhua He and Yanliang Wang.</t>
  </si>
  <si>
    <t>0940-6360</t>
  </si>
  <si>
    <t>1432-1890</t>
  </si>
  <si>
    <t>Mycorrhiza</t>
  </si>
  <si>
    <t>3-4</t>
  </si>
  <si>
    <t>10.1007/s00572-022-01081-6</t>
  </si>
  <si>
    <t>Plant Sciences; Mycology</t>
  </si>
  <si>
    <t>1Z8ZT</t>
  </si>
  <si>
    <t>WOS:000801069700001</t>
  </si>
  <si>
    <t>Chen, YH; Zhou, D; Feng, Y; Li, BX; Cui, Y; Chen, G; Li, N</t>
  </si>
  <si>
    <t>Chen, Yuhan; Zhou, Di; Feng, Yuan; Li, Bingxin; Cui, Yong; Chen, Gang; Li, Ning</t>
  </si>
  <si>
    <t>Association of sirtuins (SIRT1-7) with lung and intestinal diseases</t>
  </si>
  <si>
    <t>MOLECULAR AND CELLULAR BIOCHEMISTRY</t>
  </si>
  <si>
    <t>Sirtuins; Lung-intestinal axis; Inflammation; Tumors; MicroRNAs</t>
  </si>
  <si>
    <t>ENDOPLASMIC-RETICULUM STRESS; EPITHELIAL-MESENCHYMAL TRANSITION; CANCER CELLS; ULCERATIVE-COLITIS; COLORECTAL-CANCER; DOWN-REGULATION; PROLIFERATION; SUPPRESSES; ACTIVATION; APOPTOSIS</t>
  </si>
  <si>
    <t>Exterior-interior correlation between the lung and large intestine is one of the important contents of traditional Chinese medicine. This theory describes the role of the lung and the intestine in association with disease treatment. The lung-gut axis is a modern extension of the exterior-interior correlation between lung and large intestine theory in TCM. Sirtuin (SIRT) is a nicotinamide adenine dinucleotide (NAD(+))-dependent enzyme family with deacetylase properties, which is highly conserved from bacteria to humans. The sirtuin defines seven silencing regulatory proteins (SIRT1-7) in human cells. It can regulate aging, metabolism, and certain diseases. Current studies have shown that sirtuins have dual characteristics, acting as both tumor promoters and tumor inhibitors in cancers. This paper provides a comparative summary of the roles of SIRT1-7 in the intestine and lung (both inflammatory diseases and tumors), and the promoter/suppressor effects of targeting SIRT family microRNAs and modulators of inflammation or tumors. Sirtuins have great potential as drug targets for the treatment of intestinal and respiratory diseases. Meanwhile, it may provide new ideas of future drug target research.</t>
  </si>
  <si>
    <t>Chen, Yuhan</t>
  </si>
  <si>
    <t>[Chen, Yuhan; Zhou, Di; Feng, Yuan; Li, Bingxin; Cui, Yong; Chen, Gang; Li, Ning] Shenyang Pharmaceut Univ, Sch Tradit Chinese Mat Med, Key Lab TCM Mat Basis Study &amp; Innovat Drug Dev Sh, Wenhua Rd 103, Shenyang 110016, Peoples R China; [Chen, Gang] Chinese Acad Sci, Kunming Inst Bot, State Key Lab Phytochem &amp; Plant Resources West Ch, Kunming, Yunnan, Peoples R China; [Chen, Gang] Guangxi Normal Univ, Lab Chem &amp; Mol Engn Med Resources, Guilin, Peoples R China; [Cui, Yong] Shenyang Pharmaceut Univ, Sch Med Device, Shenyang, Peoples R China</t>
  </si>
  <si>
    <t>Shenyang Pharmaceutical University; Chinese Academy of Sciences; Kunming Institute of Botany, CAS; Guangxi Normal University; Shenyang Pharmaceutical University</t>
  </si>
  <si>
    <t>Cui, Y; Chen, G; Li, N (通讯作者)，Shenyang Pharmaceut Univ, Sch Tradit Chinese Mat Med, Key Lab TCM Mat Basis Study &amp; Innovat Drug Dev Sh, Wenhua Rd 103, Shenyang 110016, Peoples R China.;Chen, G (通讯作者)，Chinese Acad Sci, Kunming Inst Bot, State Key Lab Phytochem &amp; Plant Resources West Ch, Kunming, Yunnan, Peoples R China.;Chen, G (通讯作者)，Guangxi Normal Univ, Lab Chem &amp; Mol Engn Med Resources, Guilin, Peoples R China.;Cui, Y (通讯作者)，Shenyang Pharmaceut Univ, Sch Med Device, Shenyang, Peoples R China.</t>
  </si>
  <si>
    <t>fayongcui@163.com; chengang1152001@163.com; liningsypharm@163.com</t>
  </si>
  <si>
    <t>Chen, Gang/0000-0002-3152-1269</t>
  </si>
  <si>
    <t>National Natural Science Foundation of China [U1903122, 81872768]; Liaoning Revitalization Talents Program [XLYC1807118]; Shenyang Young Scientific and Technological Innovators Program [RC200408]; Fund of State Key Laboratory of Phytochemistry and Plant Resources in West China [P2020-KF01]; State Key Laboratory for Chemistry and Molecular Engineering of Medicinal Resources (Guangxi Normal University) [CMEMR2021-B01]; Educational Committee Foundation of Liaoning Province [2020LJC09]; Doctoral Scientific Research Foundation of Liaoning Province [2020-BS-129]; Special Fund of Research Institute of Drug Regulatory Science Research Shenyang Pharmaceutical University [2021jgkx010]</t>
  </si>
  <si>
    <t>National Natural Science Foundation of China(National Natural Science Foundation of China (NSFC)); Liaoning Revitalization Talents Program; Shenyang Young Scientific and Technological Innovators Program; Fund of State Key Laboratory of Phytochemistry and Plant Resources in West China; State Key Laboratory for Chemistry and Molecular Engineering of Medicinal Resources (Guangxi Normal University); Educational Committee Foundation of Liaoning Province; Doctoral Scientific Research Foundation of Liaoning Province; Special Fund of Research Institute of Drug Regulatory Science Research Shenyang Pharmaceutical University</t>
  </si>
  <si>
    <t>This work was financially supported by National Natural Science Foundation of China (Grant Nos. U1903122, 81872768), Liaoning Revitalization Talents Program (XLYC1807118), Shenyang Young Scientific and Technological Innovators Program (RC200408), The Fund of State Key Laboratory of Phytochemistry and Plant Resources in West China (P2020-KF01), State Key Laboratory for Chemistry and Molecular Engineering of Medicinal Resources (Guangxi Normal University) (CMEMR2021-B01), Educational Committee Foundation of Liaoning Province (2020LJC09), Doctoral Scientific Research Foundation of Liaoning Province (2020-BS-129) and Special Fund of Research Institute of Drug Regulatory Science Research Shenyang Pharmaceutical University (2021jgkx010).</t>
  </si>
  <si>
    <t>0300-8177</t>
  </si>
  <si>
    <t>1573-4919</t>
  </si>
  <si>
    <t>MOL CELL BIOCHEM</t>
  </si>
  <si>
    <t>Mol. Cell. Biochem.</t>
  </si>
  <si>
    <t>10.1007/s11010-022-04462-9</t>
  </si>
  <si>
    <t>5U5EY</t>
  </si>
  <si>
    <t>WOS:000799534400001</t>
  </si>
  <si>
    <t>Shang, JH; Li, YX; Zhu, HT; Wang, D; Qiao, YJ; Yang, CR; Zhang, YJ</t>
  </si>
  <si>
    <t>Shang, Jia-Huan; Li, Yong-Xiang; Zhu, Hong-Tao; Wang, Dong; Qiao, Yi-Jun; Yang, Chong-Ren; Zhang, Ying-Jun</t>
  </si>
  <si>
    <t>Notoginsenoids, a new class of hexa-nortriterpenoids from biotransformation of Panax notoginseng saponins</t>
  </si>
  <si>
    <t>JOURNAL OF MOLECULAR STRUCTURE</t>
  </si>
  <si>
    <t>Panax notoginseng saponins; Hexa-nortriterpenoids; Biotransformation; Antifungal activity; X-ray analysis</t>
  </si>
  <si>
    <t>MICROBIAL TRANSFORMATION; ABSOLUTE-CONFIGURATION; 20(S)-PROTOPANAXATRIOL; DIFFERENTIATION; BIOSYNTHESIS; MO-2(OAC)(4); METABOLITES</t>
  </si>
  <si>
    <t>Notoginsenoids T1-T7, a new class of hexa-nortriterpenoids including two dimers and five monomers, possessing an unprecedented 9-en-5-ketone tricyclic hexa-nordammar skeleton and a variable side chain at C-17, were obtained from biotransformation of PPD-type dammarane saponins by the soil harvested with Panax notoginseng (Araliaceae), a famous traditional Chinese medicinal herb. Their structures were unambiguously determined by spectroscopic, single-crystal X-ray diffraction, Mo-2(AcO)(4)-induced CD and ECD analyzes. A plausible biotransformed pathway for T1-T7 was proposed. Notoginsenoids T1-T5 showed growth inhibitory effects on the probiotic and pathogenic fungi of P. notoginseng. (C) 2021 Elsevier B.V. All rights reserved.</t>
  </si>
  <si>
    <t>Shang, Jia-Huan</t>
  </si>
  <si>
    <t>[Shang, Jia-Huan; Li, Yong-Xiang; Zhu, Hong-Tao; Wang, Dong; Qiao, Yi-Jun; Yang, Chong-Ren; Zhang, Ying-Jun] Chinese Acad Sci, Kunming Inst Bot, State Key Lab Phytochem &amp; Plant Resources West Ch, Kunming 650201, Yunnan, Peoples R China; [Shang, Jia-Huan] Univ Chinese Acad Sci, Beijing 100049, Peoples R China; [Zhu, Hong-Tao; Wang, Dong; Zhang, Ying-Jun] Chinese Acad Sci, Kunming Inst Bot, Yunnan Key Lab Nat Med Chem, Kunming 650201, Yunnan, Peoples R China</t>
  </si>
  <si>
    <t>Qiao, YJ; Zhang, YJ (通讯作者)，Chinese Acad Sci, Kunming Inst Bot, State Key Lab Phytochem &amp; Plant Resources West Ch, Kunming 650201, Yunnan, Peoples R China.</t>
  </si>
  <si>
    <t>qiaoyijun1991@163.com; zhangyj@mail.kib.ac.cn</t>
  </si>
  <si>
    <t>zhang, ying/HJB-1230-2022; li, yongxiang/GPW-6930-2022; li, yong/HDN-3885-2022; Zhang, Y J/HLG-1022-2023</t>
  </si>
  <si>
    <t>Qiao, Yijun/0000-0001-7473-0442</t>
  </si>
  <si>
    <t>Science and Technology Planning Project of Yunnan Province [2013FC008]; Major Science and Technique Programs in Yunnan Province [2016ZF001-001]</t>
  </si>
  <si>
    <t>Science and Technology Planning Project of Yunnan Province; Major Science and Technique Programs in Yunnan Province</t>
  </si>
  <si>
    <t>This work is supported by the Science and Technology Planning Project of Yunnan Province (2013FC008) and the Major Science and Technique Programs in Yunnan Province (2016ZF001-001). The authors are grateful to the members of the analytical group at the State Key Laboratory of Phytochemistry and Plant Resources in West China, KIB, CAS, for measuring the spectroscopic data.</t>
  </si>
  <si>
    <t>0022-2860</t>
  </si>
  <si>
    <t>1872-8014</t>
  </si>
  <si>
    <t>J MOL STRUCT</t>
  </si>
  <si>
    <t>J. Mol. Struct.</t>
  </si>
  <si>
    <t>10.1016/j.molstruc.2021.132096</t>
  </si>
  <si>
    <t>Chemistry, Physical</t>
  </si>
  <si>
    <t>YJ8BX</t>
  </si>
  <si>
    <t>WOS:000744754700007</t>
  </si>
  <si>
    <t>Moles, AT; Dalrymple, RL; Raghu, S; Bonser, SP; Ollerton, J</t>
  </si>
  <si>
    <t>Moles, Angela T.; Dalrymple, Rhiannon L.; Raghu, S.; Bonser, Stephen P.; Ollerton, Jeff</t>
  </si>
  <si>
    <t>Advancing the missed mutualist hypothesis, the under-appreciated twin of the enemy release hypothesis</t>
  </si>
  <si>
    <t>BIOLOGY LETTERS</t>
  </si>
  <si>
    <t>enemy release hypothesis; introduced species; invasion; pollination; mutualism; seed dispersal</t>
  </si>
  <si>
    <t>INCREASED COMPETITIVE ABILITY; SELF-FERTILIZATION; POLLINATION ECOLOGY; INBREEDING DEPRESSION; POLLEN LIMITATION; PLANT INVASIONS; SEED PRODUCTION; EVOLUTION; POPULATIONS; PATTERNS</t>
  </si>
  <si>
    <t>Introduced species often benefit from escaping their enemies when they are transported to a new range, an idea commonly expressed as the enemy release hypothesis. However, species might shed mutualists as well as enemies when they colonize a new range. Loss of mutualists might reduce the success of introduced populations, or even cause failure to establish. We provide the first quantitative synthesis testing this natural but often overlooked parallel of the enemy release hypothesis, which is known as the missed mutualist hypothesis. Meta-analysis showed that plants interact with 1.9 times more mutualist species, and have 2.3 times more interactions with mutualists per unit time in their native range than in their introduced range. Species may mitigate the negative effects of missed mutualists. For instance, selection arising from missed mutualists could cause introduced species to evolve either to facilitate interactions with a new suite of species or to exist without mutualisms. Just as enemy release can allow introduced populations to redirect energy from defence to growth, potentially evolving increased competitive ability, species that shift to strategies without mutualists may be able to reallocate energy from mutualism toward increased competitive ability or seed production. The missed mutualist hypothesis advances understanding of the selective forces and filters that act on plant species in the early stages of introduction and establishment and thus could inform the management of introduced species.</t>
  </si>
  <si>
    <t>Moles, Angela T.</t>
  </si>
  <si>
    <t>[Moles, Angela T.; Dalrymple, Rhiannon L.; Bonser, Stephen P.] UNSW Sydney, Sch Biol Earth &amp; Environm Sci, Evolut &amp; Ecol Res Ctr, Sydney, NSW 2052, Australia; [Raghu, S.] CSIRO, GPO Box 2583, Brisbane, Qld 4001, Australia; [Ollerton, Jeff] Univ Northampton, Fac Arts Sci &amp; Technol, Waterside Campus, Northampton NN1 5PH, England; [Ollerton, Jeff] Chinese Acad Sci, Kunming Inst Bot, Kunming 650201, Yunnan, Peoples R China</t>
  </si>
  <si>
    <t>University of New South Wales Sydney; Commonwealth Scientific &amp; Industrial Research Organisation (CSIRO); University of Northampton; Chinese Academy of Sciences; Kunming Institute of Botany, CAS</t>
  </si>
  <si>
    <t>Moles, AT (通讯作者)，UNSW Sydney, Sch Biol Earth &amp; Environm Sci, Evolut &amp; Ecol Res Ctr, Sydney, NSW 2052, Australia.</t>
  </si>
  <si>
    <t>a.moles@unsw.edu.au</t>
  </si>
  <si>
    <t>Moles, Angela/C-3083-2008</t>
  </si>
  <si>
    <t>Moles, Angela/0000-0003-2041-7762</t>
  </si>
  <si>
    <t>Faculty of Science at UNSW Sydney</t>
  </si>
  <si>
    <t>J.O. thanks the Faculty of Science at UNSW Sydney for a Visiting Research Fellowship Award. We thank Guillaume Latombe for improving the manuscript through constructive comments, and particularly for suggesting we add figure 2.</t>
  </si>
  <si>
    <t>ROYAL SOC</t>
  </si>
  <si>
    <t>6-9 CARLTON HOUSE TERRACE, LONDON SW1Y 5AG, ENGLAND</t>
  </si>
  <si>
    <t>1744-9561</t>
  </si>
  <si>
    <t>1744-957X</t>
  </si>
  <si>
    <t>BIOL LETTERS</t>
  </si>
  <si>
    <t>Biol. Lett.</t>
  </si>
  <si>
    <t>10.1098/rsbl.2022.0220</t>
  </si>
  <si>
    <t>Biology; Ecology; Evolutionary Biology</t>
  </si>
  <si>
    <t>Life Sciences &amp; Biomedicine - Other Topics; Environmental Sciences &amp; Ecology; Evolutionary Biology</t>
  </si>
  <si>
    <t>5O3PX</t>
  </si>
  <si>
    <t>WOS:000872390700002</t>
  </si>
  <si>
    <t>Qin, W; Luo, H; Yang, L; Hu, D; Jiang, SP; Peng, DY; Hu, JM; Liu, SJ</t>
  </si>
  <si>
    <t>Qin, Wei; Luo, Han; Yang, Liu; Hu, Di; Jiang, Su-Ping; Peng, Dai-Yin; Hu, Jiang-Miao; Liu, Shou-Jin</t>
  </si>
  <si>
    <t>Rubia cordifolia L. ameliorates DSS-induced ulcerative colitis in mice through dual inhibition of NLRP3 inflammasome and IL-6/JAK2/ STAT3 pathways</t>
  </si>
  <si>
    <t>HELIYON</t>
  </si>
  <si>
    <t>Rubia cordifolia L; Ulcerative colitis; NLRP3 inflammasome; IL-6; JAK2; STAT3 pathways</t>
  </si>
  <si>
    <t>BOWEL-DISEASE; MURINE COLITIS; OXIDATIVE STRESS; INDIAN MADDER; C57BL/6 MICE; ACTIVATION; EXTRACT; GENE; IL-6; MECHANISMS</t>
  </si>
  <si>
    <t>The aerial part of Rubia cordifolia L. has been used as an herbal medicine for a long time with various pharma-cological activities, including anti-inflammatory, anticancer, and antibacterial activities. The most notable usage of these was that this herbal medicine had good therapeutic effects on diarrhea caused by various factors. However, the mechanism for the ethanolic extract of R. cordifolia L. (RCEE) to treat Ulcerative colitis (UC) effectively is still unclear. In this study, DSS successfully induced UC mice and then intervene using different polar parts of RCEE. The results indicated that RCEE-treatment inhibited colonic combination NLRP3 inflammasome formation and IL-6/JAK2/STAT3 activation in vivo, significantly ameliorating the clinical symptoms, including alleviating colonic mucosal damage and infiltration of macrophages, suppressing the release of inflammatory cytokines, and reducing mortality. Taken together, this study suggests that dual inhibition of NLRP3 inflamma-some and IL-6/JAK2/STAT3 pathways activation using RCEE may be a promising therapeutic strategy for pre-venting the progression of UC.</t>
  </si>
  <si>
    <t>Qin, Wei</t>
  </si>
  <si>
    <t>[Qin, Wei; Luo, Han; Peng, Dai-Yin; Liu, Shou-Jin] Anhui Univ Chinese Med, Fac Pharmaceut, Hefei 230012, Peoples R China; [Yang, Liu; Hu, Jiang-Miao] Chinese Acad Sci, Kunming Inst Bot, State Key Lab Phytochemistry &amp; Plant Resources Wes, Kunming 650201, Peoples R China; [Hu, Di] Yunnan Univ Chinese Med, Fac Pharmaceut, Kunming 530100, Peoples R China; [Peng, Dai-Yin; Liu, Shou-Jin] Anhui Acad Chinese Med, Inst Tradit Chinese Med Resources Protect &amp; Dev, Hefei 230012, Peoples R China</t>
  </si>
  <si>
    <t>Anhui University of Chinese Medicine; Chinese Academy of Sciences; Kunming Institute of Botany, CAS; Yunnan University of Chinese Medicine; Anhui University of Chinese Medicine</t>
  </si>
  <si>
    <t>Liu, SJ (通讯作者)，Anhui Univ Chinese Med, Fac Pharmaceut, Hefei 230012, Peoples R China.;Hu, JM (通讯作者)，Chinese Acad Sci, Kunming Inst Bot, State Key Lab Phytochemistry &amp; Plant Resources Wes, Kunming 650201, Peoples R China.;Liu, SJ (通讯作者)，Anhui Acad Chinese Med, Inst Tradit Chinese Med Resources Protect &amp; Dev, Hefei 230012, Peoples R China.</t>
  </si>
  <si>
    <t>hujiangmiao@mail.kib.ac.cn; shjinliu@sina.com</t>
  </si>
  <si>
    <t>2405-8440</t>
  </si>
  <si>
    <t>Heliyon</t>
  </si>
  <si>
    <t>e10314</t>
  </si>
  <si>
    <t>10.1016/j.heliyon.2022.e10314</t>
  </si>
  <si>
    <t>5A7FC</t>
  </si>
  <si>
    <t>WOS:000863048300019</t>
  </si>
  <si>
    <t>Fu, XG; Liu, SY; van Velzen, R; Stull, GW; Tian, Q; Li, YX; Folk, RA; Guralnick, RP; Kates, HR; Jin, JJ; Li, ZH; Soltis, DE; Soltis, PS; Yi, TS</t>
  </si>
  <si>
    <t>Fu, Xiao-Gang; Liu, Shui-Yin; van Velzen, Robin; Stull, Gregory W.; Tian, Qin; Li, Yun-Xia; Folk, Ryan A.; Guralnick, Robert P.; Kates, Heather R.; Jin, Jian-Jun; Li, Zhong-Hu; Soltis, Douglas E.; Soltis, Pamela S.; Yi, Ting-Shuang</t>
  </si>
  <si>
    <t>Phylogenomic analysis of the hemp family (Cannabaceae) reveals deep cyto-nuclear discordance and provides new insights into generic relationships</t>
  </si>
  <si>
    <t>JOURNAL OF SYSTEMATICS AND EVOLUTION</t>
  </si>
  <si>
    <t>ancient hybridization; Cannabaceae; Celtis; classification; cyto-nuclear discordance; incomplete lineage sorting; phylogenomics; Sparrea</t>
  </si>
  <si>
    <t>TREE DISCORDANCE; CHLOROPLAST DNA; LIKELIHOOD; EVOLUTION; ALIGNMENT; PHYLOGENETICS; PERFORMANCE; PARASPONIA; ALGORITHM; ULMACEAE</t>
  </si>
  <si>
    <t>Cannabaceae are a relatively small family of angiosperms, but they include several species of huge economic and cultural significance: marijuana or hemp (Cannabis sativa) and hops (Humulus lupulus). Previous phylogenetic studies have clarified the most deep relationships in Cannabaceae, but relationships remain ambiguous among several major lineages. Here, we sampled 82 species representing all genera of Cannabaceae and utilized a new dataset of 90 nuclear genes and 82 chloroplast loci from Hyb-Seq to investigate the phylogenomics of Cannabaceae. Nuclear phylogenetic analyses revealed a robust and consistent backbone for Cannabaceae. We observed nuclear gene-tree conflict at several deep nodes in inferred species trees, also cyto-nuclear discordance concerning the relationship between Gironniera and Lozanella and the relationships among Trema s.l. (including Parasponia), Cannabis + Humulus, and Chaetachme + Pteroceltis. Coalescent simulations and network analyses suggest that observed deep cyto-nuclear discordances were most likely to stem from incomplete lineage sorting (ILS); nuclear gene-tree conflict might be caused by both ILS and gene flow between species. All genera of Cannabaceae were recovered as monophyletic, except for Celtis, which consisted of two distinct clades: Celtis I (including most Celtis species) and Celtis II (including Celtis gomphophylla and Celtis schippii). We suggest that Celtis II should be recognized as the independent genus Sparrea based on both molecular and morphological evidence. Our work provides the most comprehensive and reliable phylogeny to date for Cannabaceae, enabling further exploration of evolutionary patterns across this family and highlighting the necessity of comparing nuclear with chloroplast data to examine the evolutionary history of plant groups.</t>
  </si>
  <si>
    <t>Fu, Xiao-Gang</t>
  </si>
  <si>
    <t>[Fu, Xiao-Gang; Li, Zhong-Hu] Northwest Univ, Coll Life Sci, Key Lab Resource Biol &amp; Biotechnol Western China, Minist Educ, Xian 710069, Peoples R China; [Fu, Xiao-Gang; Liu, Shui-Yin; Stull, Gregory W.; Tian, Qin; Li, Yun-Xia; Yi, Ting-Shuang] Chinese Acad Sci, Kunming Inst Bot, Germplasm Bank Wild Species, Kunming 650201, Peoples R China; [Fu, Xiao-Gang; Liu, Shui-Yin; Tian, Qin; Li, Yun-Xia; Yi, Ting-Shuang] Univ Chinese Acad Sci, Beijing 100049, Peoples R China; [van Velzen, Robin] Wageningen Univ &amp; Res Ctr, Biosystemat Grp, NL-6708 PB Wageningen, Netherlands; [Folk, Ryan A.] Mississippi State Univ, Dept Biol Sci, Starkville, MS 39762 USA; [Guralnick, Robert P.; Kates, Heather R.; Soltis, Douglas E.; Soltis, Pamela S.] Univ Florida, Florida Museum Nat Hist, Gainesville, FL 32611 USA; [Jin, Jian-Jun] Columbia Univ, Dept Ecol Evolut &amp; Environm Biol, New York, NY 10027 USA; [Soltis, Douglas E.] Univ Florida, Dept Biol, Gainesville, FL 32611 USA</t>
  </si>
  <si>
    <t>Northwest University Xi'an; Chinese Academy of Sciences; Kunming Institute of Botany, CAS; Chinese Academy of Sciences; University of Chinese Academy of Sciences, CAS; Wageningen University &amp; Research; Mississippi State University; State University System of Florida; University of Florida; Columbia University; State University System of Florida; University of Florida</t>
  </si>
  <si>
    <t>Yi, TS (通讯作者)，Univ Chinese Acad Sci, Beijing 100049, Peoples R China.</t>
  </si>
  <si>
    <t>van Velzen, Robin/A-1653-2009</t>
  </si>
  <si>
    <t>van Velzen, Robin/0000-0002-6444-7608</t>
  </si>
  <si>
    <t>National Natural Science Foundation of China, key international (regional) cooperative research project [1720103903]; Strategic Priority Research Program of Chinese Academy of Sciences [XDB31000000]; Science and Technology Basic Resources Investigation Program of China [2019FY10090]; Large-scale Scientific Facilities of the Chinese Academy of Sciences [2017-LSF-GBOWS-02]; National Natural Science Foundation of China [3127027]; Yunling International High-end Experts Program of Yunnan Province, China; CAS President's International Fellowship Initiative [2020PB0009]; China Postdoctoral Science Foundation (CPSF) International Postdoctoral Exchange Program; CAS Special Research Assistant Project; USA Department of Energy [DE-SC0018247];  [YNQR-GDWG-2017-002];  [YNQR-GDWG-2018-012]</t>
  </si>
  <si>
    <t xml:space="preserve">National Natural Science Foundation of China, key international (regional) cooperative research project; Strategic Priority Research Program of Chinese Academy of Sciences(Chinese Academy of Sciences); Science and Technology Basic Resources Investigation Program of China; Large-scale Scientific Facilities of the Chinese Academy of Sciences; National Natural Science Foundation of China(National Natural Science Foundation of China (NSFC)); Yunling International High-end Experts Program of Yunnan Province, China; CAS President's International Fellowship Initiative; China Postdoctoral Science Foundation (CPSF) International Postdoctoral Exchange Program; CAS Special Research Assistant Project; USA Department of Energy(United States Department of Energy (DOE)); ; </t>
  </si>
  <si>
    <t>This research was supported by the National Natural Science Foundation of China, key international (regional) cooperative research project (No. 31720103903), the Strategic Priority Research Program of Chinese Academy of Sciences (No. XDB31000000), the Science and Technology Basic Resources Investigation Program of China (No. 2019FY100900), the Large-scale Scientific Facilities of the Chinese Academy of Sciences (No. 2017-LSF-GBOWS-02), the National Natural Science Foundation of China (No. 31270274), the Yunling International High-end Experts Program of Yunnan Province, China (No. YNQR-GDWG-2017-002 and No. YNQR-GDWG-2018-012), the CAS President's International Fellowship Initiative (No. 2020PB0009), the China Postdoctoral Science Foundation (CPSF) International Postdoctoral Exchange Program, and the CAS Special Research Assistant Project. This work was also supported in part by USA Department of Energy grant DE-SC0018247. We are grateful to the following institutes for providing specimens or silica-dried materials: Herbarium of Kunming Institute of Botany, Chinese Academy of Sciences; the Germplasm Bank of Wild Species in the Southwest China and Molecular Biology Experiment Center, Kunming Institute of Botany, Chinese Academy of Sciences; the herbarium of the California Academy of Sciences; the Harvard University Herbaria; University of Texas at Austin Herbarium; The Ohio State University Herbarium; National Herbarium of the Netherlands; and the herbaria of the Royal Botanic Gardens, Kew, the Missouri Botanical Garden, the New York Botanical Garden, the San Francisco Botanical Garden, and the California Botanical Garden. We are also grateful to Prof. Susanne S. Renner for providing Cannabaceae materials; to Jiajin Wu for help with sampling; to Prof. Huafeng Wang, Dr. Diego F. Morales-Briones, Dr. Nelson Zamora Villalobos, Dr. Rong Zhang, Dr. Hui Liu, Siyun Chen, Chenxuan Yang, Yingying Yang, and Henrique Borges Zamengo for their generous technical support and necessary assistance; and to the iFlora High Performance Computing Center of Germplasm Bank of Wild Species (iFlora HPC Center of GBOWS, KIB, CAS) for computing.</t>
  </si>
  <si>
    <t>1674-4918</t>
  </si>
  <si>
    <t>1759-6831</t>
  </si>
  <si>
    <t>J SYST EVOL</t>
  </si>
  <si>
    <t>J. Syst. Evol.</t>
  </si>
  <si>
    <t>10.1111/jse.12920</t>
  </si>
  <si>
    <t>7C3BM</t>
  </si>
  <si>
    <t>WOS:000899691400001</t>
  </si>
  <si>
    <t>Yan, LJ; Zhu, ZG; Wang, P; Fu, CN; Guan, XJ; Kear, P; Zhang, CZ; Zhu, GT</t>
  </si>
  <si>
    <t>Yan, Li-Jun; Zhu, Zhi-Guo; Wang, Pei; Fu, Chao-Nan; Guan, Xi-Jin; Kear, Philip; Zhang, Chun-Zhi; Zhu, Guang-Tao</t>
  </si>
  <si>
    <t>Comparative analysis of 343 plastid genomes of Solanum section Petota: Insights into potato diversity, phylogeny, and species discrimination</t>
  </si>
  <si>
    <t>authentication; divergence time; DNA barcoding; maternal inheritance; plastid genome; potato</t>
  </si>
  <si>
    <t>COMPLETE CHLOROPLAST GENOME; WILD; AUTHENTICATION; DOMESTICATION; REEXAMINATION; ALIGNMENT; MARKERS; TOOL</t>
  </si>
  <si>
    <t>Common potato (Solanum tuberosum L.) and its wild relatives belong to Solanum section Petota. This section's phylogeny and species delimitation are complicated due to various ploidy levels, high heterozygosity, and frequent interspecific hybridization. Compared to the nuclear genome, the plastid genome is more conserved, has a haploid nature, and has a lower nucleotide substitution rate, providing informative alternative insights into the phylogenetic study of section Petota. Here, we analyzed 343 potato plastid genomes from 53 wild and four cultivated species. The diversity of sequences and genomes was comprehensively analyzed. A total of 24 species were placed in a phylogenetic tree based on genomic data for the first time. Overall, our results not only confirmed most existing clades and species boundaries inferred by nuclear evidence but also provided some distinctive species clade belonging and the maternally inherited evidence supporting the hybrid origin of some species. Furthermore, the divergence times between the major potato clades were estimated. In addition, the species discriminatory power of universal barcodes, nuclear ribosomal DNA, and whole and partial plastid genomes and their combinations were thoroughly evaluated; the plastid genome performed best but had limited discriminatory power for all survey species (40%). Overall, our study provided not only new insights into phylogeny and DNA barcoding of potato but also provided valuable genetic data resources for further systematical research of Petota.</t>
  </si>
  <si>
    <t>Yan, Li-Jun</t>
  </si>
  <si>
    <t>[Yan, Li-Jun; Zhu, Zhi-Guo; Guan, Xi-Jin; Zhu, Guang-Tao] Yunnan Normal Univ, Sch Life Sci, Minist Educ, Yunnan Key Lab Potato Biol,Engn Res Ctr Sustainab, Kunming 650500, Yunnan, Peoples R China; [Wang, Pei; Zhang, Chun-Zhi] Chinese Acad Agr Sci, Agr Genom Inst Shenzhen, Shenzhen 518120, Peoples R China; [Fu, Chao-Nan] Chinese Acad Sci, Kunming Inst Bot, CAS Key Lab Plant Divers &amp; Biogeog East Asia, Kunming 650201, Yunnan, Peoples R China; [Kear, Philip] CIP China Ctr Asia Pacific, Int Potato Ctr CIP, Beijing 1000, Peoples R China</t>
  </si>
  <si>
    <t>Yunnan Normal University; Chinese Academy of Agricultural Sciences; Agriculture Genomes Institute at Shenzhen, CAAS; Chinese Academy of Sciences; Kunming Institute of Botany, CAS</t>
  </si>
  <si>
    <t>Zhu, GT (通讯作者)，Yunnan Normal Univ, Sch Life Sci, Minist Educ, Yunnan Key Lab Potato Biol,Engn Res Ctr Sustainab, Kunming 650500, Yunnan, Peoples R China.</t>
  </si>
  <si>
    <t>zhuguangtao@ynnu.edu.cn</t>
  </si>
  <si>
    <t>Kear, Philip/0000-0002-4488-6013</t>
  </si>
  <si>
    <t>China National Key Research and Development Program [2019YFE0120500]; National Natural Science Foundation of China [U2002204, 32160240]; Yunnan Fundamental Research Project [202001AV070003, 202001AT070062]</t>
  </si>
  <si>
    <t>China National Key Research and Development Program; National Natural Science Foundation of China(National Natural Science Foundation of China (NSFC)); Yunnan Fundamental Research Project</t>
  </si>
  <si>
    <t>We are grateful to Sanwen Huang (Agricultural Genomics Institute at Shenzhen, Chinese Academy of Agricultural Sciences) and Yu Zhang (SUN YAT-SEN Univerisity) for their constructive comments on improving the manuscript. We would also like to thank Binquan Huang (Yunnan University) for providing the raw sequencing data for some samples. This work was supported by the China National Key Research and Development Program (Grant Number 2019YFE0120500), the National Natural Science Foundation of China (Grant Numbers U2002204 and 32160240), and Yunnan Fundamental Research Project (Grant Numbers 202001AV070003 and 202001AT070062).</t>
  </si>
  <si>
    <t>10.1111/jse.12898</t>
  </si>
  <si>
    <t>4Q3FI</t>
  </si>
  <si>
    <t>WOS:000855968700001</t>
  </si>
  <si>
    <t>Del Rio, C; Wang, TX; Li, SF; Jia, LB; Chen, PR; Spicer, RA; Wu, FX; Zhou, ZK; Su, T</t>
  </si>
  <si>
    <t>Del Rio, Cedric; Wang, Teng-Xiang; Li, Shu-Feng; Jia, Lin-Bo; Chen, Pei-Rong; Spicer, Robert A.; Wu, Fei-Xiang; Zhou, Zhe-Kun; Su, Tao</t>
  </si>
  <si>
    <t>Fruits of Firmiana and Craigia (Malvaceae) from the Eocene of the Central Tibetan Plateau with emphasis on biogeographic history</t>
  </si>
  <si>
    <t>biogeography; China; Malvaceae; Paleobotany; Paleogene; plant diversity</t>
  </si>
  <si>
    <t>FOSSIL FRUITS; OLIGOCENE SEDIMENTS; XYLEM EVOLUTION; MALVALES; WOODS; MIOCENE; RECORD; GENUS; CIRCUMSCRIPTION; STERCULIACEAE</t>
  </si>
  <si>
    <t>The fossil record evidences an old origin and diversification of Malvaceae in the Northern Hemisphere. The central Tibetan Plateau was at a low elevation with a monsoon influence during the Eocene, allowing the development of a subtropical flora containing Malvaceae. The taxonomic study of fossils from the Eocene of what is now the Tibetan Plateau is still ongoing. Malvaceae fossils from the Eocene Jianglang flora, are attributed to sub-families Tilioideae and Sterculioideae, and are compared with modern species. A new specimen of Firmiana is described based on a fruit valve with a pinnate venation, the secondary veins starting at the ventral suture and reaching the midvein, and the seeds attached at the proximal part of the ventral suture. This specimen represents the earliest known occurrence of the genus. A new occurrence of Craigia is also reported based on detached membranous valves of a fruit capsule with a prominent fusiform locular area and radiating venation. Based on the fossil record of Firmiana and its modern distribution, we infer that the genus may have originated in East Asia and subsequently diversified in South China and Southeast Asia. The new occurrence of Craigia indicates that the genus was distributed in humid areas in South, Southwest and North China during the Eocene. Both fossil records evidence the important role that the Tibetan region played in the diversification of plants in East and Southeast Asia.</t>
  </si>
  <si>
    <t>Del Rio, Cedric</t>
  </si>
  <si>
    <t>[Del Rio, Cedric; Wang, Teng-Xiang; Li, Shu-Feng; Chen, Pei-Rong; Spicer, Robert A.; Zhou, Zhe-Kun; Su, Tao] Chinese Acad Sci, CAS Key Lab Trop Forest Ecol, Mengla 666303, Yunnan, Peoples R China; [Del Rio, Cedric; Li, Shu-Feng; Spicer, Robert A.; Su, Tao] Chinese Acad Sci, Ctr Plant Ecol, Core Bot Gardens, Mengla 666303, Yunnan, Peoples R China; [Del Rio, Cedric] Sorbonne Univ, Ctr Rech Paleontol Paris CR2P, CNRS, MNHN, 43 Rue Buffon, Paris, France; [Wang, Teng-Xiang; Chen, Pei-Rong] Univ Chinese Acad Sci, Beijing 100049, Peoples R China; [Jia, Lin-Bo] Chinese Acad Sci, Kunming Inst Bot, CAS Key Lab Plant Div &amp; Biogeog East Asia, Kunming 650204, Yunnan, Peoples R China; [Spicer, Robert A.] Open Univ, Sch Environm Earth &amp; Ecosyst Sci, Walton Hall, Milton Keynes MK7 6AA, Bucks, England; [Wu, Fei-Xiang] Chinese Acad Sci, Inst Vertebrate Paleontol &amp; Paleoanthropol, Key Lab Vertebrate Evolut &amp; Human Origins, Beijing 100044, Peoples R China</t>
  </si>
  <si>
    <t>Chinese Academy of Sciences; Chinese Academy of Sciences; Centre National de la Recherche Scientifique (CNRS); Museum National d'Histoire Naturelle (MNHN); UDICE-French Research Universities; Sorbonne Universite; Chinese Academy of Sciences; University of Chinese Academy of Sciences, CAS; Chinese Academy of Sciences; Kunming Institute of Botany, CAS; Open University - UK; Chinese Academy of Sciences; Institute of Vertebrate Paleontology &amp; Paleoanthropology, CAS</t>
  </si>
  <si>
    <t>Del Rio, C; Su, T (通讯作者)，Chinese Acad Sci, CAS Key Lab Trop Forest Ecol, Mengla 666303, Yunnan, Peoples R China.;Del Rio, C; Su, T (通讯作者)，Chinese Acad Sci, Ctr Plant Ecol, Core Bot Gardens, Mengla 666303, Yunnan, Peoples R China.;Del Rio, C (通讯作者)，Sorbonne Univ, Ctr Rech Paleontol Paris CR2P, CNRS, MNHN, 43 Rue Buffon, Paris, France.</t>
  </si>
  <si>
    <t>cedric.del-rio@mnhn.fr; sutao@xtbg.org.cn</t>
  </si>
  <si>
    <t>Wang, Tengxiang/GYU-7623-2022; Su, Tao/T-4411-2019; Zhou, Zhekun/G-5281-2011</t>
  </si>
  <si>
    <t>Wang, Tengxiang/0000-0002-1334-8685; Su, Tao/0000-0002-9148-6127; Zhou, Zhekun/0000-0002-0710-2128; DEL RIO, Cedric/0000-0002-6340-5692</t>
  </si>
  <si>
    <t>National Natural Science Foundation of China (NSFC) [41922010, 41988101]; NSFC [41661134049, NE/P013805/1]; NERC (Natural Environment Research Council of the UK) [41661134049, NE/P013805/1]; XTBG; Strategic Priority Research Program of the Chinese Academy of Sciences (CAS) [XDA20070301, XDB26000000]; Second Tibetan Plateau Scientific Expedition program [2019QZKK0705]</t>
  </si>
  <si>
    <t>National Natural Science Foundation of China (NSFC)(National Natural Science Foundation of China (NSFC)); NSFC(National Natural Science Foundation of China (NSFC)); NERC (Natural Environment Research Council of the UK)(UK Research &amp; Innovation (UKRI)Natural Environment Research Council (NERC)); XTBG; Strategic Priority Research Program of the Chinese Academy of Sciences (CAS); Second Tibetan Plateau Scientific Expedition program</t>
  </si>
  <si>
    <t>We thank members of Paleoecology Research Group at XTBG and colleagues from IVPP (Institute of Vertebrate Paleontology and Paleoanthropology, Chinese Academy of Sciences) who participated in fieldwork on the Tibetan Plateau, and the staff of the Public Technology Service Center, XTBG, for help with the imaging. We are grateful to Matthew T. Miller and Jonathan Wingerath for sharing leaf photography from the Smithonian Institution used in Appendix III. We thank the editor, Steven Manchester, Bruce Tiffney and two anonymous reviewers for their help to improve this paper. This work was supported by the National Natural Science Foundation of China (NSFC) (nos. 41922010 and 41988101); a joint research program of NSFC and NERC (Natural Environment Research Council of the UK) (nos. 41661134049 and NE/P013805/1); a postdoctoral fellowship and Senior Visiting Scholar funding from XTBG; the Strategic Priority Research Program of the Chinese Academy of Sciences (CAS) (nos. XDA20070301 and XDB26000000); the Second Tibetan Plateau Scientific Expedition (no. 2019QZKK0705) program.</t>
  </si>
  <si>
    <t>10.1111/jse.12845</t>
  </si>
  <si>
    <t>6C1QX</t>
  </si>
  <si>
    <t>WOS:000834854900001</t>
  </si>
  <si>
    <t>Qian, H; Deng, T</t>
  </si>
  <si>
    <t>Qian, Hong; Deng, Tao</t>
  </si>
  <si>
    <t>Geographic patterns and climatic correlates of deep evolutionary legacies for angiosperm assemblages in China</t>
  </si>
  <si>
    <t>Chinese flora; deep evolutionary history; environmental gradient; flowering plants; mean family age; phylogenetic fuse</t>
  </si>
  <si>
    <t>GLOBAL PATTERNS; PHYLOGENETIC DIVERSITY; RICHNESS; PLANTS</t>
  </si>
  <si>
    <t>Deep evolutionary histories can play an important role in assembling species into communities, but few studies have explored the effects of deep evolutionary histories on species assembly of angiosperms (flowering plants). Here we explore patterns of family divergence and diversification times (stem and crown ages, respectively) and phylogenetic fuses for angiosperm assemblages in 100 x 100 km grid cells across geographic and ecological gradients in China. We found that both family stem and crown ages of angiosperm assemblages are older in southeastern China with warm and humid climates than in northwestern China with cold and dry climates; these patterns are stronger for family stem ages than for family crown ages; families in colder and drier climates are more closely related across the family-level angiosperm phylogeny; and family phylogenetic fuses are, on average, longer for angiosperm assemblages in warm and humid climates than in cold and dry climate. We conclude that the fact that deep evolutionary histories, which were measured as family stem and crown ages and family phylogenetic fuses in this study, have shown strong geographic and ecological patterns suggests that deep evolutionary histories of angiosperms have profound effects on assembling angiosperm species into ecological communities.</t>
  </si>
  <si>
    <t>[Qian, Hong] Illinois State Museum, Res &amp; Collect Ctr, 1011 East Ash St, Springfield, IL 62703 USA; [Deng, Tao] Chinese Acad Sci, Kunming Inst Bot, CAS Key Lab Plant Divers &amp; Biogeog East Asia, Kunming 650201, Yunnan, Peoples R China</t>
  </si>
  <si>
    <t>hong.qian@illinoisstatemuseum.org</t>
  </si>
  <si>
    <t>Key Projects of the Joint Fund of the National Natural Science Foundation of China [U1802232]; Second Tibetan Plateau Scientific Expedition and Research (STEP) program [2019QZKK0502]; Youth Innovation Promotion Association of Chinese Academy of Sciences [2019382]; Yunnan Young &amp; Elite Talents Project [YNWR-QNBJ-2019-033]</t>
  </si>
  <si>
    <t>Key Projects of the Joint Fund of the National Natural Science Foundation of China(National Natural Science Foundation of China (NSFC)); Second Tibetan Plateau Scientific Expedition and Research (STEP) program; Youth Innovation Promotion Association of Chinese Academy of Sciences; Yunnan Young &amp; Elite Talents Project</t>
  </si>
  <si>
    <t>We thank Zhiduan Chen and two anonymous reviewers for their helpful comments on the manuscript. This study was supported by the Key Projects of the Joint Fund of the National Natural Science Foundation of China (U1802232), the Second Tibetan Plateau Scientific Expedition and Research (STEP) program (2019QZKK0502), the Youth Innovation Promotion Association of Chinese Academy of Sciences (2019382), the Yunnan Young &amp; Elite Talents Project (YNWR-QNBJ-2019-033).</t>
  </si>
  <si>
    <t>10.1111/jse.12856</t>
  </si>
  <si>
    <t>2L5WB</t>
  </si>
  <si>
    <t>WOS:000817087000001</t>
  </si>
  <si>
    <t>Soreng, RJ; Peterson, PM; Zuloaga, FO; Romaschenko, K; Clark, LG; Teisher, JK; Gillespie, LJ; Barbera, P; Welker, CAD; Kellogg, EA; Li, DZ; Davidse, G</t>
  </si>
  <si>
    <t>Soreng, Robert J.; Peterson, Paul M.; Zuloaga, Fernando O.; Romaschenko, Konstantin; Clark, Lynn G.; Teisher, Jordan K.; Gillespie, Lynn J.; Barbera, Patricia; Welker, Cassiano A. D.; Kellogg, Elizabeth A.; Li, De-Zhu; Davidse, Gerrit</t>
  </si>
  <si>
    <t>A worldwide phylogenetic classification of the Poaceae (Gramineae) III: An update</t>
  </si>
  <si>
    <t>C-3; C-4; classification; DNA; grasses; subfamily; subtribe; systematics; taxonomy; tribe</t>
  </si>
  <si>
    <t>BAMBOO POACEAE; GENUS; BAMBUSOIDEAE; SYSTEMATICS; GRASSES; PANICOIDEAE; EVOLUTION; POOIDEAE</t>
  </si>
  <si>
    <t>We present an updated worldwide phylogenetic classification of Poaceae with 11 783 species in 12 subfamilies, 7 supertribes, 54 tribes, 5 super subtribes, 109 subtribes, and 789 accepted genera. The subfamilies (in descending order based on the number of species) are Pooideae with 4126 species in 219 genera, 15 tribes, and 34 subtribes; Panicoideae with 3325 species in 242 genera, 14 tribes, and 24 subtribes; Bambusoideae with 1698 species in 136 genera, 3 tribes, and 19 subtribes; Chloridoideae with 1603 species in 121 genera, 5 tribes, and 3o subtribes; Aristidoideae with 367 species in three genera and one tribe; Danthonioideae with 292 species in 19 genera and 1 tribe; Micrairoideae with 192 species in nine genera and three tribes; Oryzoideae with 117 species in 19 genera, 4 tribes, and 2 subtribes; Arundinoideae with 36 species in 14 genera and 3 tribes; Pharoideae with 12 species in three genera and one tribe; Puelioideae with 11 species in two genera and two tribes; and the Anomochlooideae with four species in two genera and two tribes. Two new tribes and 22 new or resurrected subtribes are recognized. Forty-five new (28) and resurrected (17) genera are accepted, and 24 previously accepted genera are placed in synonymy. We also provide an updated list of all accepted genera including common synonyms, genus authors, number of species in each accepted genus, and subfamily affiliation. We propose Locajonoa, a new name and rank with a new combination, L. coerulescens. The following seven new combinations are made in Lorenzochloa: L. bomanii, L. henrardiana, L. mucronata, L. obtusa, L. orurensis, L. rigidiseta, and L. venusta.</t>
  </si>
  <si>
    <t>Soreng, Robert J.</t>
  </si>
  <si>
    <t>[Soreng, Robert J.; Peterson, Paul M.; Romaschenko, Konstantin] Smithsonian Inst, Natl Museum Nat Hist, Dept Bot, Washington, DC 20013 USA; [Zuloaga, Fernando O.] Inst Bot Darwin CONICET ANCEFN, Labarden Zoo,Casilla Correo 22,B1642HYD, San Isidro, Buenos Aires, Argentina; [Clark, Lynn G.] Iowa State Univ, Dept Ecol Evolut &amp; Organismal Biol, Ames, IA 50011 USA; [Teisher, Jordan K.] Acad Nat Sci, Dept Bot, 1900 Benjamin Franklin Pkwy, Philadelphia, PA 19103 USA; [Gillespie, Lynn J.] Canadian Museum Nat, Res &amp; Collect, Bot Sect, Ottawa, ON K1P 6P4, Canada; [Teisher, Jordan K.; Barbera, Patricia; Davidse, Gerrit] Missouri Bot Garden, POB 299, St Louis, MO 63166 USA; [Welker, Cassiano A. D.] Univ Fed Uberlandia, Inst Biol, Rua Ceara S-N, BR-38400902 Uberlandia, MG, Brazil; [Kellogg, Elizabeth A.] Donald Danforth Plant Sci Ctr, 975 North Warson Rd, St Louis, MO 63132 USA; [Li, De-Zhu] Chinese Acad Sci, Kunming Inst Bot, Germplasm Bank Wild Species, Kunming 650201, Yunnan, Peoples R China</t>
  </si>
  <si>
    <t>Smithsonian Institution; Smithsonian National Museum of Natural History; Iowa State University; Missouri Botanical Gardens; Universidade Federal de Uberlandia; Donald Danforth Plant Science Center; Chinese Academy of Sciences; Kunming Institute of Botany, CAS</t>
  </si>
  <si>
    <t>Peterson, PM (通讯作者)，Smithsonian Inst, Natl Museum Nat Hist, Dept Bot, Washington, DC 20013 USA.</t>
  </si>
  <si>
    <t>peterson@si.edu</t>
  </si>
  <si>
    <t>Li, De-Zhu/G-8203-2011; Kellogg, Elizabeth/M-2845-2013</t>
  </si>
  <si>
    <t>Li, De-Zhu/0000-0002-4990-724X; Peterson, Paul/0000-0001-9405-5528; Clark, Lynn/0000-0001-5564-4688; Gillespie, Lynn/0000-0003-3129-434X; Zuloaga, Fernando/0000-0003-2794-539X; Welker, Cassiano/0000-0001-6347-341X; Kellogg, Elizabeth/0000-0003-1671-7447</t>
  </si>
  <si>
    <t>National Geographic Society Committee for Research and Exploration [8848-10, 8087-06]; Conselho Nacional de Desenvolvimento Cientifico e Tecnologico (CNPq, Brazil) [426334/2018-3, 441760/2020-1, 307125/2020-3]</t>
  </si>
  <si>
    <t>National Geographic Society Committee for Research and Exploration(National Geographic Society); Conselho Nacional de Desenvolvimento Cientifico e Tecnologico (CNPq, Brazil)(Conselho Nacional de Desenvolvimento Cientifico e Tecnologico (CNPQ))</t>
  </si>
  <si>
    <t>We thank the National Geographic Society Committee for Research and Exploration (Grant No. 8848-10, 8087-06) for field and laboratory support; the Smithsonian Institution's Restricted Endowments Fund, the Scholarly Studies Program, Research Opportunities, Atherton Seidell Foundation, Biodiversity Surveys and Inventories Program, Small Grants Program, the Laboratory of Analytical Biology, and the United States Department of Agriculture. In addition, we wish to acknowledge the curators of Kews Plants of the World Online for their ongoing efforts to account for all the Worlds grasses. Cassiano A. D. Welker thanks Conselho Nacional de Desenvolvimento Cientifico e Tecnologico (CNPq, Brazil) for grants and fellowships (426334/2018-3, 441760/2020-1, 307125/2020-3).</t>
  </si>
  <si>
    <t>10.1111/jse.12847</t>
  </si>
  <si>
    <t>1V8QR</t>
  </si>
  <si>
    <t>WOS:000806349600003</t>
  </si>
  <si>
    <t>Gallaher, TJ; Peterson, PM; Soreng, RJ; Zuloaga, FO; Li, DZ; Clark, LG; Tyrrell, CD; Welker, CAD; Kellogg, EA; Teisher, JK</t>
  </si>
  <si>
    <t>Gallaher, Timothy J.; Peterson, Paul M.; Soreng, Robert J.; Zuloaga, Fernando O.; Li, De-Zhu; Clark, Lynn G.; Tyrrell, Christopher D.; Welker, Cassiano A. D.; Kellogg, Elizabeth A.; Teisher, Jordan K.</t>
  </si>
  <si>
    <t>Grasses through space and time: An overview of the biogeographical and macroevolutionary history of Poaceae</t>
  </si>
  <si>
    <t>ancestral area estimation; dispersal; Gondwana; historical biogeography; molecular dating; vicariance</t>
  </si>
  <si>
    <t>MULTIPLE SEQUENCE ALIGNMENT; CHLOROPLAST NDHF GENE; NUCLEAR RIBOSOMAL DNA; NEW-WORLD GRASSES; PHYLOGENETIC-RELATIONSHIPS; MOLECULAR PHYLOGENY; BAMBOOS POACEAE; PANICOIDEAE POACEAE; TRNL-F; EVOLUTIONARY HISTORY</t>
  </si>
  <si>
    <t>Grasses are widespread on every continent and are found in all terrestrial biomes. The dominance and spread of grasses and grassland ecosystems have led to significant changes in Earth ' s climate, geochemistry, and biodiversity. The abundance of DNA sequence data, particularly chloroplast sequences, and advances in placing grass fossils within the family allows for a reappraisal of the family ' s origins, timing, and geographic spread and the factors that have promoted diversification. We reconstructed a time-calibrated grass phylogeny and inferred ancestral areas using chloroplast DNA sequences from nearly 90% of extant grass genera. With a few notable exceptions, the phylogeny is well resolved to the subtribal level. The family began to diversify in the Early-Late Cretaceous (crown age of 98.54 Ma) on West Gondwana before the complete split between Africa and South America. Vicariance from the splitting of Gondwana may be responsible for the initial divergence in the family. However, Africa clearly served as the center of origin for much of the early diversification of the family. With this phylogenetic, temporal, and spatial framework, we review the evolution and biogeography of the family with the aim to facilitate the testing of biogeographical hypotheses about its origins, evolutionary tempo, and diversification. The current classification of the family is discussed with an extensive review of the extant diversity and distribution of species, molecular and morphological evidence supporting the current classification scheme, and the evidence informing our understanding of the biogeographical history of the family.</t>
  </si>
  <si>
    <t>Gallaher, Timothy J.</t>
  </si>
  <si>
    <t>[Gallaher, Timothy J.] Bernice P Bishop Museum, Dept Nat Sci, Herbarium Pacificum, 1525 Bernice St, Honolulu, HI 96817 USA; [Peterson, Paul M.; Soreng, Robert J.] Smithsonian Inst, Dept Bot, Natl Museum Nat Hist, Washington, DC 20013 USA; [Zuloaga, Fernando O.] Inst Bot Darwin CONICET ANCEFN, Labarden Zoo, Casilla Correo 22,B1642HYD, Buenos Aires, DF, Argentina; [Li, De-Zhu] Chinese Acad Sci, Kunming Inst Bot, Germplasm Bank Wild Species, Kunming 650201, Yunnan, Peoples R China; [Li, De-Zhu] Univ Chinese Acad Sci, Beijing 100049, Peoples R China; [Clark, Lynn G.] Iowa State Univ, Dept Ecol Evolut &amp; Organismal Biol, Ames, IA 50011 USA; [Tyrrell, Christopher D.] Milwaukee Publ Museum, Bot Dept, 800 W Wells St, Milwaukee, WI 53233 USA; [Welker, Cassiano A. D.] Univ Fed Uberlandia, Inst Biol, Rua Ceara S-N, BR-38400902 Uberlandia, MG, Brazil; [Kellogg, Elizabeth A.] Donald Danforth Plant Sci Ctr, St Louis, MO 63132 USA; [Teisher, Jordan K.] Missouri Bot Garden, 4344 Shaw Blvd, St Louis, MO 63110 USA</t>
  </si>
  <si>
    <t>Smithsonian Institution; Smithsonian National Museum of Natural History; Consejo Nacional de Investigaciones Cientificas y Tecnicas (CONICET); Chinese Academy of Sciences; Kunming Institute of Botany, CAS; Chinese Academy of Sciences; University of Chinese Academy of Sciences, CAS; Iowa State University; Universidade Federal de Uberlandia; Donald Danforth Plant Science Center; Missouri Botanical Gardens</t>
  </si>
  <si>
    <t>Gallaher, TJ (通讯作者)，Bernice P Bishop Museum, Dept Nat Sci, Herbarium Pacificum, 1525 Bernice St, Honolulu, HI 96817 USA.</t>
  </si>
  <si>
    <t>timothy.gallaher@bishopmuseum.org</t>
  </si>
  <si>
    <t>Li, De-Zhu/0000-0002-4990-724X; Welker, Cassiano/0000-0001-6347-341X; Gallaher, Timothy/0000-0002-5781-6874; Zuloaga, Fernando/0000-0003-2794-539X; Peterson, Paul/0000-0001-9405-5528; Clark, Lynn/0000-0001-5564-4688; Tyrrell, Christopher/0000-0001-6019-2153; Kellogg, Elizabeth/0000-0003-1671-7447</t>
  </si>
  <si>
    <t>10.1111/jse.12857</t>
  </si>
  <si>
    <t>WOS:000806349600004</t>
  </si>
  <si>
    <t>Zhou, MY; Liu, JX; Ma, PF; Yang, JB; Li, DZ</t>
  </si>
  <si>
    <t>Zhou, Meng-Yuan; Liu, Jing-Xia; Ma, Peng-Fei; Yang, Jun-Bo; Li, De-Zhu</t>
  </si>
  <si>
    <t>Plastid phylogenomics shed light on intergeneric relationships and spatiotemporal evolutionary history of Melocanninae (Poaceae: Bambusoideae)</t>
  </si>
  <si>
    <t>biogeography; diversification rate shift; Melocanninae; Paleotropical woody bamboo; phylogenomics; plastome; species radiation</t>
  </si>
  <si>
    <t>TEMPERATE WOODY BAMBOOS; PHYLOGENETIC ANALYSIS; BIODIVERSITY; DNA; BIOGEOGRAPHY; GRAMINEAE; SOUTHEAST; HIMALAYA; ORIGIN; RECORD</t>
  </si>
  <si>
    <t>Melocanninae is sister to other subtribes of Paleotropical woody bamboos with some 90 species mainly concentrated in Asia. However, phylogenetic relationships within the subtribe are poorly known. Here, we filled the gaps in complete plastome data of Melocanninae, reconstructed the phylogeny of Melocanninae, and further estimated divergence time and ancestral distribution range. Our results showed that the two major genera, Cephalostachyum Munro and Schizostachyum Nees, were paraphyletic. Species of Cephalostachyum were resolved in two successive basal clades, whereas Annamocalamus H. N. Nguyen, N. H. Xia, &amp; V. T. Tran was embedded in the Schizostachyum clade. Different plastid regions provided inconsistent signals for the relationship of Melocanna and Pseudostachyum. Conservative loci supported a successive divergence rather than sister relationship between them and the difference may be caused by long-branch attraction. We infer that Melocanninae originated in the East Himalaya to northern Myanmar in the early Miocene. Three routes were revealed in forming its present biogeographic pattern: in situ diversification on the Asian mainland, dispersing southwest to Sri Lanka and to the Western Ghats in South India, and spreading southeast to Malesia and Oceania by way of the Indo-China Peninsula. The rapid uplift of the Tibetan Plateau and the intensification of Asian monsoons since the Miocene and the sea level fall events since the Late Miocene might be potential driving forces for diversification of Melocanninae and, particularly the latter event, for the species radiation of Schizostachyum.</t>
  </si>
  <si>
    <t>Zhou, Meng-Yuan</t>
  </si>
  <si>
    <t>[Zhou, Meng-Yuan; Liu, Jing-Xia; Ma, Peng-Fei; Yang, Jun-Bo; Li, De-Zhu] Chinese Acad Sci, Kunming Inst Bot, Germplasm Bank Wild Species, Kunming 650201, Yunnan, Peoples R China; [Li, De-Zhu] Chinese Acad Sci, Key Lab Plant Divers &amp; Biogeog East Asia, Kunming Inst Bot, Kunming 650201, Yunnan, Peoples R China</t>
  </si>
  <si>
    <t>Li, DZ (通讯作者)，Chinese Acad Sci, Kunming Inst Bot, Germplasm Bank Wild Species, Kunming 650201, Yunnan, Peoples R China.;Li, DZ (通讯作者)，Chinese Acad Sci, Key Lab Plant Divers &amp; Biogeog East Asia, Kunming Inst Bot, Kunming 650201, Yunnan, Peoples R China.</t>
  </si>
  <si>
    <t>Li, De-Zhu/0000-0002-4990-724X; Zhou, Meng-Yuan/0000-0003-1492-8494; Ma, Peng-Fei/0000-0003-3061-1454</t>
  </si>
  <si>
    <t>National Natural Science Foundation of China [31670396, 31800181]; Large-scale Scientific Facilities of CAS [2017-LSFGBOWS-02]; West Light Foundation of CAS [Y8249411W1]; Applied and Fundamental Research Project of Yunnan Province [202101AU070082]</t>
  </si>
  <si>
    <t>National Natural Science Foundation of China(National Natural Science Foundation of China (NSFC)); Large-scale Scientific Facilities of CAS; West Light Foundation of CAS; Applied and Fundamental Research Project of Yunnan Province</t>
  </si>
  <si>
    <t>We thank Dr. Yu-Xiao Zhang, Dr. Dieter Ohrnberger (Khun Dieter), Dr. Jin-Mei Lu, Mr. Yi-Wen Liang, Mr. Rivontsoa Andrimalala Rokotonaso, and Mr. Thammarat Boonthammee for their help in field surveys, sampling, and useful discussions. We are grateful to Drs. Hong-Tao Li and Xin-Yu Du for assisting with the data analyses. We sincerely thank the curators and staff of the herbaria of the Royal Botanic Gardens, Kew, Missouri Botanical Garden, and the Museum National d'Histoire Naturelle in Paris for herbarium materials, and the staff at Southeast Asia Biodiversity Research Institute, Chinese Academy of Sciences (CAS) for facilitating specimen collection in Myanmar. This study was supported by the National Natural Science Foundation of China (31670396 and 31800181), the Large-scale Scientific Facilities of CAS (2017-LSFGBOWS-02), the West Light Foundation of CAS (Y8249411W1), and the Applied and Fundamental Research Project of Yunnan Province (202101AU070082).</t>
  </si>
  <si>
    <t>10.1111/jse.12843</t>
  </si>
  <si>
    <t>WOS:000798740400001</t>
  </si>
  <si>
    <t>Jiang, N; Dong, LN; Yang, JB; Tan, YH; Wang, H; Randle, CP; Li, DZ; Yu, WB</t>
  </si>
  <si>
    <t>Jiang, Nan; Dong, Li-Na; Yang, Jun-Bo; Tan, Yun-Hong; Wang, Hong; Randle, Christopher P.; Li, De-Zhu; Yu, Wen-Bin</t>
  </si>
  <si>
    <t>Herbarium phylogenomics: Resolving the generic status of the enigmatic Pseudobartsia (Orobanchaceae)</t>
  </si>
  <si>
    <t>gene tree; Orobanchaceae; Phtheirospermum tenuisectum complex; plastid phylogenomics; Pterygiella complex; species tree</t>
  </si>
  <si>
    <t>TRIBE RHINANTHEAE OROBANCHACEAE; SPECIMENS; AMPLIFICATION; EVOLUTIONARY; BIOGEOGRAPHY; EXTRACTION; GLANDULOSA; MORPHOLOGY</t>
  </si>
  <si>
    <t>The millions of herbarium specimens in collections around the world provide historical resources for phylogenomics and evolutionary studies. Many rare and endangered species exist only as historical specimens. Here, we report a case study of the monotypic Pseudobartsia yunnanensis D. Y. Hong (=Pseudobartsia glandulosa[Bentham] W. B. Yu &amp; D. Z. Li: Orobanchaceae) known from a single Chinese collection taken in 1940. We obtained genomic data of Pseudobartsia glandulosa using high-throughput short-read sequencing, and then assembled a complete chloroplast genome and nuclear ribosome DNA region in this study. We found that the newly assembled three plastid DNA regions (atpB-rbcL, rpl16, and trnS-G) and nuclear ribosomal internal transcribed spacer (nrITS) of Pseudobartsia glandulosa were more than 99.98% similar to published sequences obtained by target sequencing. Phylogenies of Orobanchaceae using 30 plastomes (including 10 new plastomes), using both supermatrix and multispecies coalescent approaches following a novel plastid phylogenomic workflow, recovered seven recognized tribes and two unranked groups, both of which were proposed as new tribes, that is, Brandisieae and Pterygielleae. Within Pterygielleae, all analyses strongly supported Xizangia D. Y. Hong as the first diverging genus, with Pseudobartsia D. Y. Hong as sister to Pterygiella Oliver + Phtheirospermum Bunge (excluding Phtheirospermum japonicum [Thunberg] Kanitz); this supports reinstatement of Pseudobartsia and Xizangia. Although elements of Buchnereae-Cymbarieae-Orobancheae and Brandisieae-Pterygielleae-Rhinantheae showed incongruence among gene trees, the topology of the supermatrix tree was congruent with the majority of gene trees and functional-group trees. Therefore, most plastid genes are evolving as a linkage group, allowing the supermatrix tree approach to yield internally consistent phylogenies for Orobanchaceae.</t>
  </si>
  <si>
    <t>Jiang, Nan</t>
  </si>
  <si>
    <t>[Jiang, Nan; Tan, Yun-Hong; Yu, Wen-Bin] Xishuangbanna Trop Bot Garden, Ctr Integrat Conservat, Mengla 666303, Yunnan, Peoples R China; [Jiang, Nan; Tan, Yun-Hong; Yu, Wen-Bin] Chinese Acad Sci, Ctr Conservat Biol, Core Bot Gardens, Mengla 666303, Yunnan, Peoples R China; [Jiang, Nan; Tan, Yun-Hong; Yu, Wen-Bin] Chinese Acad Sci, Southeast Asia Biodivers Res Inst, Yezin 05282, Nay Pyi Taw, Myanmar; [Dong, Li-Na] Guangxi Inst Bot, Guangxi Key Lab Plant Conservat &amp; Restorat Ecol K, Guilin 541006, Guangxi, Peoples R China; [Dong, Li-Na] Chinese Acad Sci, Guilin 541006, Guangxi, Peoples R China; [Yang, Jun-Bo; Li, De-Zhu] Chinese Acad Sci, Kunming Inst Bot, Germplasm Bank Wild Species, Kunming 650201, Yunnan, Peoples R China; [Wang, Hong] Chinese Acad Sci, Kunming Inst Bot, Key Lab Plant Divers &amp; Biogeog East Asia, Kunming 650201, Yunnan, Peoples R China; [Randle, Christopher P.] Sam Houston State Univ, Dept Biol Sci, Huntsville, TX 77341 USA</t>
  </si>
  <si>
    <t>Chinese Academy of Sciences; Xishuangbanna Tropical Botanical Garden, CAS; Chinese Academy of Sciences; Chinese Academy of Sciences; Chinese Academy of Sciences; Kunming Institute of Botany, CAS; Chinese Academy of Sciences; Kunming Institute of Botany, CAS; Texas State University System; Sam Houston State University</t>
  </si>
  <si>
    <t>Yu, WB (通讯作者)，Xishuangbanna Trop Bot Garden, Ctr Integrat Conservat, Mengla 666303, Yunnan, Peoples R China.;Yu, WB (通讯作者)，Chinese Acad Sci, Ctr Conservat Biol, Core Bot Gardens, Mengla 666303, Yunnan, Peoples R China.;Yu, WB (通讯作者)，Chinese Acad Sci, Southeast Asia Biodivers Res Inst, Yezin 05282, Nay Pyi Taw, Myanmar.;Li, DZ (通讯作者)，Chinese Acad Sci, Kunming Inst Bot, Germplasm Bank Wild Species, Kunming 650201, Yunnan, Peoples R China.</t>
  </si>
  <si>
    <t>dzl@mail.kib.ac.cn; yuwenbin@xtbg.ac.cn</t>
  </si>
  <si>
    <t>Li, De-Zhu/G-8203-2011; Yu, Wen-Bin/H-8339-2014</t>
  </si>
  <si>
    <t>Li, De-Zhu/0000-0002-4990-724X; Yu, Wen-Bin/0000-0002-7643-2112</t>
  </si>
  <si>
    <t>National Natural Science Foundation of China [31870196, 32071670]; Large-scale Scientific Facilities of the Chinese Academy of Sciences [2017-LSFGBOWS-02]; Science and Technology Basic Resources Investigation Program of China [2021FY100200]; Key Basic Research program of Yunnan Province, China [202101BC070003]; open research project of Cross-Cooperative Team of the Germplasm Bank of Wild Species, Kunming Institute of Botany, Chinese Academy of Sciences; Strategic Priority Research Program of the Chinese Academy of Sciences [XDB31000000]; Ten Thousand Talents Program of Yunnan for Top-notch Young Talents</t>
  </si>
  <si>
    <t>National Natural Science Foundation of China(National Natural Science Foundation of China (NSFC)); Large-scale Scientific Facilities of the Chinese Academy of Sciences; Science and Technology Basic Resources Investigation Program of China; Key Basic Research program of Yunnan Province, China; open research project of Cross-Cooperative Team of the Germplasm Bank of Wild Species, Kunming Institute of Botany, Chinese Academy of Sciences; Strategic Priority Research Program of the Chinese Academy of Sciences(Chinese Academy of Sciences); Ten Thousand Talents Program of Yunnan for Top-notch Young Talents</t>
  </si>
  <si>
    <t>This study was supported by grants from the National Natural Science Foundation of China (31870196, 32071670), the Large-scale Scientific Facilities of the Chinese Academy of Sciences (2017-LSFGBOWS-02), the Science and Technology Basic Resources Investigation Program of China (2021FY100200), the Key Basic Research program of Yunnan Province, China (202101BC070003), the open research project of Cross-Cooperative Team of the Germplasm Bank of Wild Species, Kunming Institute of Botany, Chinese Academy of Sciences, the Strategic Priority Research Program of the Chinese Academy of Sciences (XDB31000000), and Ten Thousand Talents Program of Yunnan for Top-notch Young Talents. We are grateful to Chun-Yu Lin, Ji-Xiong Yang, Jing Yang, Chun-Xia Zeng, and Zhi-Rong Zhang for their help and suggestions in the lab, to the Germplasm Bank of Wild Species, Kunming Institute of Botany, Chinese Academy of Sciences for providing plant materials, and to the HPC Platform of the Public Technology Service Center, Xishuangbanna Tropical Botanical Garden, Chinese Academy of Sciences for providing computer resources.</t>
  </si>
  <si>
    <t>10.1111/jse.12829</t>
  </si>
  <si>
    <t>4J7DI</t>
  </si>
  <si>
    <t>WOS:000778541000001</t>
  </si>
  <si>
    <t>Zhang, HJ; Zhang, X; Landis, JB; Sun, YX; Sun, J; Kuang, TH; Li, LJ; Tiamiyu, BB; Deng, T; Sun, H; Wang, HC</t>
  </si>
  <si>
    <t>Zhang, Hua-Jie; Zhang, Xu; Landis, Jacob B.; Sun, Yan-Xia; Sun, Jiao; Kuang, Tian-Hui; Li, Li-Juan; Tiamiyu, Bashir B.; Deng, Tao; Sun, Hang; Wang, Heng-Chang</t>
  </si>
  <si>
    <t>Phylogenomic and comparative analyses of Rheum (Polygonaceae, Polygonoideae)</t>
  </si>
  <si>
    <t>incomplete lineage sorting and hybridization; molecular marker; phylogenomic; plastomes; Rheum</t>
  </si>
  <si>
    <t>LATE-MIOCENE; GENE TREES; TIBETAN PLATEAU; RAPID RADIATION; EVOLUTION; PROGRAM; UPLIFT; ORGANIZATION; PLATFORM; REPEATS</t>
  </si>
  <si>
    <t>Species of Rheum have high medicinal value, with the center of diversity in the Qinghai-Tibet Plateau (QTP) and adjacent regions. However, phylogenetic relationships of Rheum are still unclear due to fragment markers providing insufficient informative loci. Here, we sequenced and annotated plastomes of nine Rheum species, and compared the genome structure among the novel nine species along with three published species. Comparative analyses revealed that plastomes of Rheum share a relatively conserved structure. Five highly divergent regions (accD, ccsA, matK, ndhF, and ndhH) can be used as valuable molecular markers for further species delimitation and population genetic studies. Twenty-two accessions representing 17 species were used for phylogenetic analysis, which generated a robust phylogenetic tree and revealed two major clades within Rheum. Phylogenetic results showed that glasshouse structures and cushions of Rheum are results of parallel evolution during adaptation to similar environments. Inconsistent tree topology between concatenated and coalescent methods was detected, implying that incomplete lineage sorting and hybridization may have occurred in the evolutionary history of Rheum. Divergence time estimation based on two fossil calibrations and three secondary calibrations revealed a Miocene to middle Oligocene origin of Rheum. Our study provides valuable genomic resources for the medicinally important genus Rheum, while gaining helpful insights into its systematics and evolution.</t>
  </si>
  <si>
    <t>Zhang, Hua-Jie</t>
  </si>
  <si>
    <t>[Zhang, Hua-Jie; Zhang, Xu; Sun, Yan-Xia; Sun, Jiao; Li, Li-Juan; Tiamiyu, Bashir B.; Wang, Heng-Chang] Chinese Acad Sci, CAS Key Lab Plant Germplasm Enhancement &amp; Specia, Wuhan Bot Garden, Wuhan 430074, Peoples R China; [Zhang, Hua-Jie; Zhang, Xu; Sun, Yan-Xia; Sun, Jiao; Li, Li-Juan; Tiamiyu, Bashir B.; Wang, Heng-Chang] Chinese Acad Sci, Ctr Conservat Biol, Core Bot Gardens, Wuhan 430074, Peoples R China; [Zhang, Xu; Sun, Jiao; Li, Li-Juan; Tiamiyu, Bashir B.] Univ Chinese Acad Sci, Beijing 100049, Peoples R China; [Landis, Jacob B.] Cornell Univ, Sch Integrat Plant Sci, Plant Biol Sect, Ithaca, NY 14850 USA; [Landis, Jacob B.] Cornell Univ, LH Bailey Hortorium, Ithaca, NY 14850 USA; [Landis, Jacob B.] Boyce Thompson Inst Plant Res, BTI Computat Biol Ctr, Ithaca, NY 14853 USA; [Deng, Tao; Sun, Hang] Chinese Acad Sci, Key Lab Plant Div &amp; Biogeog East Asia, Kunming Inst Bot, Kunming 650201, Yunnan, Peoples R China</t>
  </si>
  <si>
    <t>Chinese Academy of Sciences; Wuhan Botanical Garden, CAS; Chinese Academy of Sciences; Chinese Academy of Sciences; University of Chinese Academy of Sciences, CAS; Cornell University; Cornell University; Cornell University; Boyce Thompson Institute for Plant Research; Chinese Academy of Sciences; Kunming Institute of Botany, CAS</t>
  </si>
  <si>
    <t>Wang, HC (通讯作者)，Chinese Acad Sci, CAS Key Lab Plant Germplasm Enhancement &amp; Specia, Wuhan Bot Garden, Wuhan 430074, Peoples R China.;Wang, HC (通讯作者)，Chinese Acad Sci, Ctr Conservat Biol, Core Bot Gardens, Wuhan 430074, Peoples R China.;Sun, H (通讯作者)，Chinese Acad Sci, Key Lab Plant Div &amp; Biogeog East Asia, Kunming Inst Bot, Kunming 650201, Yunnan, Peoples R China.</t>
  </si>
  <si>
    <t>hsun@mail.kib.ac.cn; hcwang@wbgcas.cn</t>
  </si>
  <si>
    <t>li, lijuan/AFP-6413-2022</t>
  </si>
  <si>
    <t>li, lijuan/0000-0003-0996-6787; Landis, Jacob/0000-0002-5631-5365; Tiamiyu, Bashir Bolaji/0000-0002-2840-9209; Sun, Jiao/0000-0002-5028-8132; Sun, Hang/0000-0001-5127-4579; Zhang, Xu/0000-0001-5743-3497</t>
  </si>
  <si>
    <t>Second Tibetan Plateau Scientific Expedition and Research (STEP) program [2019QZKK0502]; Key Projects of the Joint Fund of the National Natural Science Foundation of China [U1802232]; Strategic Priority Research Program of Chinese Academy of Sciences [XDA20050203]; Major Program of the National Natural Science Foundation of China [31590823]; Youth Innovation Promotion Association of Chinese Academy of Sciences [2019382]; Ten Thousand Talents Program of Yunnan Province [202005AB160005]</t>
  </si>
  <si>
    <t>Second Tibetan Plateau Scientific Expedition and Research (STEP) program; Key Projects of the Joint Fund of the National Natural Science Foundation of China(National Natural Science Foundation of China (NSFC)); Strategic Priority Research Program of Chinese Academy of Sciences(Chinese Academy of Sciences); Major Program of the National Natural Science Foundation of China(National Natural Science Foundation of China (NSFC)); Youth Innovation Promotion Association of Chinese Academy of Sciences; Ten Thousand Talents Program of Yunnan Province</t>
  </si>
  <si>
    <t>This study was supported by grants from the Second Tibetan Plateau Scientific Expedition and Research (STEP) program (2019QZKK0502), the Key Projects of the Joint Fund of the National Natural Science Foundation of China (U1802232), the Strategic Priority Research Program of Chinese Academy of Sciences (XDA20050203), the Major Program of the National Natural Science Foundation of China (31590823), the Youth Innovation Promotion Association of Chinese Academy of Sciences (2019382), The Ten Thousand Talents Program of Yunnan Province (202005AB160005).</t>
  </si>
  <si>
    <t>10.1111/jse.12814</t>
  </si>
  <si>
    <t>WOS:000748534200001</t>
  </si>
  <si>
    <t>Hu, L; Yang, R; Yang, GQ; Sun, GL; Gong, X</t>
  </si>
  <si>
    <t>Hu, Li; Yang, Rui; Yang, Guo-Qian; Sun, Gui-Ling; Gong, Xun</t>
  </si>
  <si>
    <t>Morphological distinctiveness of Ligularia tongolensis and L. cymbulifera is maintained between habitats despite bidirectional and asymmetrical introgression in multiple hybrid zones</t>
  </si>
  <si>
    <t>ddRAD; hybrid zones; Ligularia; natural hybridization; reproductive isolation</t>
  </si>
  <si>
    <t>REPRODUCTIVE ISOLATION; NATURAL HYBRIDIZATION; HENGDUAN MOUNTAINS; POPULATION-STRUCTURE; ASTERACEAE; YUNNAN; DIVERSIFICATION; PHYLOGEOGRAPHY; SPECIATION; VELLEREA</t>
  </si>
  <si>
    <t>Natural hybridization is a crucial evolutionary process and a long-standing topic of study in evolutionary biology. Hybrid zones, where two congeneric species interact, can provide insight into the process of natural hybridization, especially with respect to how taxon diversity is maintained. In this study, we used double digest restriction-site associated DNA sequencing technology (ddRAD-seq) to examine genetic structure and estimate introgression in four hybrid zones of Ligularia tongolensis and Ligularia cymbulifera. Our analysis demonstrated that parental species were highly differentiated, whereas pairwise F-ST between parents and their hybrids was low, indicating that sympatric sites can form hybrid zones. As most F-1 hybrid individuals were observed within these zones, our finding also implied the presence of substantial barriers to interbreeding. Furthermore, some individuals that possessed the typical morphology of the parental species belonged to the F-1 generation. Genomic clines analysis revealed that a large fraction of single nucleotide polymorphisms (SNPs) deviated from a model of neutral introgression in the four hybrid zones, and most SNPs exhibited selection favoring the L. cymbulifera genotype. Bidirectional but asymmetric introgression was revealed as evident in the four hybrid zones. Habitat differences between the four hybrid zones may affect isolation barriers between both species. Taken together, these findings suggest that where incomplete reproductive barriers allow natural hybridization, the introgression between species generates rich genetic recombination that contributes to the fast adaptation and diversification of the widespread Ligularia in the Hengduan Mountains Region (HMR).</t>
  </si>
  <si>
    <t>Hu, Li</t>
  </si>
  <si>
    <t>[Hu, Li; Yang, Rui; Gong, Xun] Chinese Acad Sci, Kunming Inst Bot, CAS Key Lab Plant Div &amp; Biogeog East Asia, Kunming 650201, Yunnan, Peoples R China; [Hu, Li; Yang, Rui; Gong, Xun] Chinese Acad Sci, Kunming Inst Bot, Key Lab Econ Plants &amp; Biotechnol, Kunming 650201, Yunnan, Peoples R China; [Hu, Li; Yang, Rui] Univ Chinese Acad Sci, Beijing 100049, Peoples R China; [Yang, Guo-Qian] Chinese Acad Sci, Kunming Inst Bot, Germplasm Bank Wild Species, Kunming 650201, Yunnan, Peoples R China; [Sun, Gui-Ling] Henan Univ, Inst Plant Stress Biol, HPC Ctr Bioinformat Platform, Dept Biol,State Key Lab Cotton Biol, Kaifeng 475001, Henan, Peoples R China</t>
  </si>
  <si>
    <t>Chinese Academy of Sciences; Kunming Institute of Botany, CAS; Chinese Academy of Sciences; Kunming Institute of Botany, CAS; Chinese Academy of Sciences; University of Chinese Academy of Sciences, CAS; Chinese Academy of Sciences; Kunming Institute of Botany, CAS; Henan University</t>
  </si>
  <si>
    <t>Gong, X (通讯作者)，Chinese Acad Sci, Kunming Inst Bot, CAS Key Lab Plant Div &amp; Biogeog East Asia, Kunming 650201, Yunnan, Peoples R China.;Gong, X (通讯作者)，Chinese Acad Sci, Kunming Inst Bot, Key Lab Econ Plants &amp; Biotechnol, Kunming 650201, Yunnan, Peoples R China.</t>
  </si>
  <si>
    <t>gongxun@mail.kib.ac.cn</t>
  </si>
  <si>
    <t>Second Tibetan Plateau Scientific Expedition and Research Program (STEP) [2019QZKK0502]; National Natural Science Foundation of China [31470336]</t>
  </si>
  <si>
    <t>Second Tibetan Plateau Scientific Expedition and Research Program (STEP); National Natural Science Foundation of China(National Natural Science Foundation of China (NSFC))</t>
  </si>
  <si>
    <t>This research was supported by the Second Tibetan Plateau Scientific Expedition and Research Program (STEP) (Grant No. 2019QZKK0502) and by the National Natural Science Foundation of China (Grant No. 31470336 to Xun Gong).</t>
  </si>
  <si>
    <t>10.1111/jse.12756</t>
  </si>
  <si>
    <t>WOS:000685415200001</t>
  </si>
  <si>
    <t>Huang, YJ; Zhu, H; Su, T; Spicer, RA; Hu, JJ; Jia, LB; Zhou, ZK</t>
  </si>
  <si>
    <t>Huang, Yong-Jiang; Zhu, Hai; Su, Tao; Spicer, Robert A.; Hu, Jin-Jin; Jia, Lin-Bo; Zhou, Zhe-Kun</t>
  </si>
  <si>
    <t>Rise of herbaceous diversity at the southeastern margin of the Tibetan Plateau: First insight from fossils</t>
  </si>
  <si>
    <t>fossil carpology; Hengduan Mountains; late Pliocene; meadow; monsoon; Tibetan Plateau</t>
  </si>
  <si>
    <t>LATE PLIOCENE; HENGDUAN MOUNTAINS; MOLECULAR PHYLOGENY; EVOLUTIONARY HISTORY; PLANT DIVERSITY; YUNNAN; CHINA; BIODIVERSITY; MONSOONS; CLIMATE</t>
  </si>
  <si>
    <t>The Hengduan Mountains region (HMR) on the southeastern Tibetan Plateau, supports a high diversity of herbs, particularly in its subalpine to alpine ecosystems, due to high altitude and cool temperate climate. Current understanding on the formation of such herbaceous richness is based chiefly on molecular phylogenies; however, direct geological evidence is lacking because herbs are rarely preserved as macroscopic fossils. In this study, we present abundant fossil fruits and seeds of herbs from the late Pliocene Heqing Basin in the southern HMR. Our systematic analysis shows the presence of at least 18 species belonging to 11 genera, that is, Ranunculus, Corydalis, Rumex, Polygonum, Chenopodium, Stellaria, Fragaria, Astragalus, Aster, Carex, and Schoenoplectus, of which Polygonum is most abundant followed by Astragalus. This finding throws the first light from fossil evidence on the rise of herbaceous diversity in the region. We interpret the local assembly of these herbs as resulting from rapid pre-Pliocene species diversifications of many herbaceous groups in the HMR. As nowadays most of these herbs grow primarily in meadows and a few occur as subaquatic plants, we suggest an open meadow hosting some scattered shrubs in the vicinity of a vegetated wetland in the Heqing Basin during the late Pliocene. This provides the first direct evidence of past treeless open vegetation within the HMR and thus improves our knowledge of vegetation evolution in the region. We suggest that the uplift-induced climate cooling and monsoon-associated precipitation seasonality are potentially the key driving forces for the opening of meadow vegetation in the HMR.</t>
  </si>
  <si>
    <t>Huang, Yong-Jiang</t>
  </si>
  <si>
    <t>[Huang, Yong-Jiang; Hu, Jin-Jin; Jia, Lin-Bo; Zhou, Zhe-Kun] Chinese Acad Sci, Kunming Inst Bot, Key Lab Plant Biodivers &amp; Biogeog East Asia, Kunming 650201, Yunnan, Peoples R China; [Huang, Yong-Jiang; Zhu, Hai] Chinese Acad Sci, Nanjing Inst Geol &amp; Palaeontol, State Key Lab Palaeobiol &amp; Stratig, Nanjing 210008, Peoples R China; [Zhu, Hai] Shangrao Normal Univ, Coll Life Sci, Shangrao 334001, Jiangxi, Peoples R China; [Su, Tao; Spicer, Robert A.; Zhou, Zhe-Kun] Chinese Acad Sci, Key Lab Trop Forest Ecol, Xishuangbanna Trop Bot Garden, Mengla 666303, Yunnan, Peoples R China; [Spicer, Robert A.] Open Univ, Sch Environm Earth &amp; Ecosyst Sci, Milton Keynes MK7 6AA, Bucks, England</t>
  </si>
  <si>
    <t>Chinese Academy of Sciences; Kunming Institute of Botany, CAS; Chinese Academy of Sciences; Shangrao Normal University; Chinese Academy of Sciences; Xishuangbanna Tropical Botanical Garden, CAS; Open University - UK</t>
  </si>
  <si>
    <t>Huang, YJ (通讯作者)，Chinese Acad Sci, Kunming Inst Bot, Key Lab Plant Biodivers &amp; Biogeog East Asia, Kunming 650201, Yunnan, Peoples R China.;Huang, YJ (通讯作者)，Chinese Acad Sci, Nanjing Inst Geol &amp; Palaeontol, State Key Lab Palaeobiol &amp; Stratig, Nanjing 210008, Peoples R China.</t>
  </si>
  <si>
    <t>huangyongjiang@mail.kib.ac.cn</t>
  </si>
  <si>
    <t>Zhou, Zhekun/G-5281-2011; Su, Tao/T-4411-2019</t>
  </si>
  <si>
    <t>Zhou, Zhekun/0000-0002-0710-2128; Su, Tao/0000-0002-9148-6127; Huang, Yong-Jiang/0000-0003-1898-6501</t>
  </si>
  <si>
    <t>National Natural Science Foundation of China [31670216, 31700184, 31900194, 41972023]; Major Program of National Natural Science Foundation of China [31590820, 31590823]; State Key Laboratory of Palaeobiology and Stratigraphy, Nanjing Institute of Geology and Palaeontology (CAS) [163108, 183132]</t>
  </si>
  <si>
    <t>National Natural Science Foundation of China(National Natural Science Foundation of China (NSFC)); Major Program of National Natural Science Foundation of China(National Natural Science Foundation of China (NSFC)); State Key Laboratory of Palaeobiology and Stratigraphy, Nanjing Institute of Geology and Palaeontology (CAS)(Chinese Academy of Sciences)</t>
  </si>
  <si>
    <t>We are thankful to the Central Laboratory of Xishuangbanna Tropical Botanical Garden (CAS) for technical support with the binocular microscopy, and the Key Laboratory for Plant Biodiversity and Biogeography of East Asia, Kunming Institute of Botany (CAS), for technical support with the scanning electron microscope. This study was supported by the National Natural Science Foundation of China (Grant Nos. 31670216, 31700184, 31900194, and 41972023), the Major Program of National Natural Science Foundation of China (Grant Nos. 31590820 and 31590823), and the State Key Laboratory of Palaeobiology and Stratigraphy, Nanjing Institute of Geology and Palaeontology (CAS) (Grant Nos. 163108 and 183132). This research represents a contribution to the Neogene Climate Evolution of Eurasia (NECLIME) project.</t>
  </si>
  <si>
    <t>10.1111/jse.12755</t>
  </si>
  <si>
    <t>WOS:000681357000001</t>
  </si>
  <si>
    <t>Yu, Q; Barrett, SCH; Wang, XJ; Zhong, L; Wang, H; Li, DZ; Zhou, W</t>
  </si>
  <si>
    <t>Yu, Qian; Barrett, Spencer C. H.; Wang, Xin-Jia; Zhong, Li; Wang, Hong; Li, De-Zhu; Zhou, Wei</t>
  </si>
  <si>
    <t>Sexual dimorphism, temporal niche differentiation, and evidence for the Jack Sprat effect in an annual dioecious plant</t>
  </si>
  <si>
    <t>competition experiment; dioecy; Jack Sprat effect; niche differentiation; Rumex hastatulus; sex-specific genetic marker; sexual dimorphism</t>
  </si>
  <si>
    <t>RATIO VARIATION; SEED DISPERSAL; COMPETITIVE ABILITY; SPATIAL SEGREGATION; LOW-MAINTENANCE; WIND DISPERSAL; RUMEX-ACETOSA; SCAR MARKERS; SEXES; IDENTIFICATION</t>
  </si>
  <si>
    <t>Sexual dimorphism in dioecious plants often occurs as a consequence of the different resource requirements of females and males, especially during reproduction. The contrasting reproductive roles of the sexes can influence the phenology of growth, plant size, and flowering time, with implications for the intensity of competitive interactions within and between the sexes. Here, we investigate the influence of contrasting nutrient regimes and intra-sexual and inter-sexual competition on the expression of sexual dimorphism in life-history traits and biomass allocation throughout the life cycle of the dioecious annual Rumex hastatulus Baldw. (Polygonaceae). Development of a sex-specific marker enabled us to quantify the influence of competition on sex-specific differences in mortality and vegetative traits. We were particularly interested in determining whether the overall performance of the sexes might differ between the two forms of intra-specific competition, potentially providing evidence for sexual specialization in resource acquisition and niche differentiation. Our results indicated that although patterns of sexual dimorphism were dynamic, they were largely insensitive to nutrient conditions. We found that intra-sexual competition was more severe than inter-sexual competition, differentially affecting mortality and most traits during the vegetative and particularly the reproductive stage of the life history. Female trait values generally increased more under inter-sexual than intra-sexual competition in comparison to males. Our findings are consistent with temporal niche differentiation resulting from sexual specialization for different resource requirements and provide evidence for the Jack Sprat effect.</t>
  </si>
  <si>
    <t>Yu, Qian</t>
  </si>
  <si>
    <t>[Yu, Qian; Li, De-Zhu; Zhou, Wei] Chinese Acad Sci, Kunming Inst Bot, Plant Germplasm &amp; Genom Ctr, Germplasm Bank Wild Species, Kunming 650201, Yunnan, Peoples R China; [Yu, Qian; Wang, Xin-Jia; Zhong, Li] Univ Chinese Acad Sci, Beijing 100049, Peoples R China; [Barrett, Spencer C. H.] Univ Toronto, Dept Ecol &amp; Evolutionary Biol, Toronto, ON M5S 3B2, Canada; [Wang, Xin-Jia; Zhong, Li; Wang, Hong; Li, De-Zhu; Zhou, Wei] Chinese Acad Sci, Kunming Inst Bot, CAS Key Lab Plant Div &amp; Biogeog East Asia, Kunming 650201, Yunnan, Peoples R China</t>
  </si>
  <si>
    <t>Chinese Academy of Sciences; Kunming Institute of Botany, CAS; Chinese Academy of Sciences; University of Chinese Academy of Sciences, CAS; University of Toronto; Chinese Academy of Sciences; Kunming Institute of Botany, CAS</t>
  </si>
  <si>
    <t>Li, DZ; Zhou, W (通讯作者)，Chinese Acad Sci, Kunming Inst Bot, Plant Germplasm &amp; Genom Ctr, Germplasm Bank Wild Species, Kunming 650201, Yunnan, Peoples R China.;Li, DZ; Zhou, W (通讯作者)，Chinese Acad Sci, Kunming Inst Bot, CAS Key Lab Plant Div &amp; Biogeog East Asia, Kunming 650201, Yunnan, Peoples R China.</t>
  </si>
  <si>
    <t>dzl@mail.kib.ac.cn; zhouwei@mail.kib.ac.cn</t>
  </si>
  <si>
    <t>Li, De-Zhu/0000-0002-4990-724X; , Wei/0000-0001-5527-3776</t>
  </si>
  <si>
    <t>Strategic Priority Research Program of the Chinese Academy of Sciences [XDB31000000]; National Natural Science Foundation of China [31971394, 31770417]; Yunling Scholarship of Yunnan Province [YLXL20170001]; Natural Sciences and Engineering Research Council of Canada</t>
  </si>
  <si>
    <t>Strategic Priority Research Program of the Chinese Academy of Sciences(Chinese Academy of Sciences); National Natural Science Foundation of China(National Natural Science Foundation of China (NSFC)); Yunling Scholarship of Yunnan Province; Natural Sciences and Engineering Research Council of Canada(Natural Sciences and Engineering Research Council of Canada (NSERC)CGIAR)</t>
  </si>
  <si>
    <t>This research was supported by the Strategic Priority Research Program of the Chinese Academy of Sciences (XDB31000000) to D.Z.L., the National Natural Science Foundation of China (31971394 and 31770417) to W.Z., the Yunling Scholarship of Yunnan Province (YLXL20170001) to H.W., and a Discovery Grant to S.C.H.B. from the Natural Sciences and Engineering Research Council of Canada. The authors thank John Pannell and Stephen Wright for useful discussion and advice and Wan-Jin Liao and Hua-Ying Sun for assistance with the glasshouse experiments.</t>
  </si>
  <si>
    <t>10.1111/jse.12753</t>
  </si>
  <si>
    <t>JUL 2021</t>
  </si>
  <si>
    <t>WOS:000679049700001</t>
  </si>
  <si>
    <t>Zhang, QY; Deng, M; Bouchenak-Khelladi, Y; Zhou, ZK; Hu, GW; Xing, YW</t>
  </si>
  <si>
    <t>Zhang, Qiu-Yue; Deng, Min; Bouchenak-Khelladi, Yanis; Zhou, Zhe-Kun; Hu, Guang-Wan; Xing, Yao-Wu</t>
  </si>
  <si>
    <t>The diversification of the northern temperate woody flora - A case study of the Elm family (Ulmaceae) based on phylogenomic and paleobotanical evidence</t>
  </si>
  <si>
    <t>biogeography; diversification; fossil; phylogeny; temperate biome; Ulmaceae</t>
  </si>
  <si>
    <t>LONG-DISTANCE DISPERSAL; INTERSPECIFIC HYBRIDIZATION; BIOGEOGRAPHY; SEQUENCE; EVOLUTIONARY; HISTORY</t>
  </si>
  <si>
    <t>Ulmaceae is a woody family widespread in northern temperate forests. Despite the ecological importance of this family, its phylogeny and biogeographic history are poorly understood. In this study, we reconstruct phylogenetic relationships within the family and infer spatio-temporal diversification patterns based on chloroplast genome (complete cpDNA) and nuclear ribosomal DNA sequences (nrDNA). The seven Ulmaceae genera are resolved in two main clades (temperate vs. tropical) by both cpDNA and nrDNA sequences. The temperate clade includes four genera, Hemiptelea, Zelkova, Planera, and Ulmus. The relationships among Planera and other genera are controversial because of inconsistent topologies between plastid and nuclear data. The tropical clade includes three genera ((Ampelocera, Phyllostylon), Holoptelea). Molecular dating and diversification analyses show that Ulmaceae originated in the Early Cretaceous (ca. 110-125 Ma) with the main lineages establishing from the Late Cretaceous to the early Eocene. The diversification rate slowed during the middle to the late Paleogene (ca. 23-45 Ma), followed by a rapid diversification of the East Asian temperate group in the Neogene, congruent with a global cooling event. The ancestral state optimization analysis suggests an East Asian origin of the temperate Ulmaceae clade during the Paleocene, which is consistent with the fossil record. Both phylogenomic and fossil evidence support East Asia as a center of origin and diversification for the temperate woody lineages.</t>
  </si>
  <si>
    <t>Zhang, Qiu-Yue</t>
  </si>
  <si>
    <t>[Zhang, Qiu-Yue; Zhou, Zhe-Kun; Xing, Yao-Wu] Chinese Acad Sci, Key Lab Trop Forest Ecol, Xishuangbanna Trop Bot Garden, Xishuangbanna 666303, Yunnan, Peoples R China; [Zhang, Qiu-Yue; Zhou, Zhe-Kun; Xing, Yao-Wu] Chinese Acad Sci, Ctr Plant Ecol, Core Bot Gardens, Xishuangbanna 666303, Yunnan, Peoples R China; [Zhang, Qiu-Yue] Univ Chinese Acad Sci, Beijing 100049, Peoples R China; [Deng, Min] Yunnan Univ, Sch Ecol &amp; Environm Sci, Kunming 650500, Yunnan, Peoples R China; [Bouchenak-Khelladi, Yanis] Univ Bourgogne Franche Comte, CNRS 6282, UMR Biogeosci, F-21000 Dijon, France; [Zhou, Zhe-Kun] Chinese Acad Sci, Kunming Inst Bot, Key Lab Plant Divers &amp; Biogeog East Asia, Kunming 650201, Yunnan, Peoples R China; [Hu, Guang-Wan] Chinese Acad Sci, Key Lab Plant Germplasm Enhancement &amp; Specialty A, Wuhan Bot Garden, Wuhan 430074, Peoples R China; [Hu, Guang-Wan] Chinese Acad Sci, Sino Africa Joint Res Ctr, Wuhan 430074, Peoples R China</t>
  </si>
  <si>
    <t>Chinese Academy of Sciences; Xishuangbanna Tropical Botanical Garden, CAS; Chinese Academy of Sciences; Chinese Academy of Sciences; University of Chinese Academy of Sciences, CAS; Yunnan University; Universite de Bourgogne; Chinese Academy of Sciences; Kunming Institute of Botany, CAS; Chinese Academy of Sciences; Wuhan Botanical Garden, CAS; Chinese Academy of Sciences</t>
  </si>
  <si>
    <t>Xing, YW (通讯作者)，Chinese Acad Sci, Key Lab Trop Forest Ecol, Xishuangbanna Trop Bot Garden, Xishuangbanna 666303, Yunnan, Peoples R China.;Xing, YW (通讯作者)，Chinese Acad Sci, Ctr Plant Ecol, Core Bot Gardens, Xishuangbanna 666303, Yunnan, Peoples R China.</t>
  </si>
  <si>
    <t>ywxing@xtbg.org.cn</t>
  </si>
  <si>
    <t>hu, guangwan/AAS-7344-2021; Zhou, Zhekun/G-5281-2011</t>
  </si>
  <si>
    <t>hu, guangwan/0000-0001-7728-7976; Zhou, Zhekun/0000-0002-0710-2128; Deng, Min/0000-0001-7041-4418; Xing, Yao-Wu/0000-0001-6709-4492</t>
  </si>
  <si>
    <t>National Natural Science Foundation of China [31770226]; Pioneer Hundred Talents Program of the Chinese Academy of Sciences</t>
  </si>
  <si>
    <t>National Natural Science Foundation of China(National Natural Science Foundation of China (NSFC)); Pioneer Hundred Talents Program of the Chinese Academy of Sciences</t>
  </si>
  <si>
    <t>The authors thank the Public Technology Service Center, Xishuangbanna Tropical Botanical Garden, Chinese Academy of Sciences (CAS) for providing molecular experimental platform; Dr. Pengjuan Zu from the University of Zurich, Professor Michael A. Vincent from Miami University, the herbaria of the Missouri Botanical Garden (MO; Missouri, USA), the Field Museum (F; Illinois, USA), the University of Zurich (Z + ZT; Zurich, Switzerland), the Kunming Institute of Botany, CAS (KUN; Kunming, China), and the Institute of Botany Herbarium, CAS (PE; Beijing, China) for providing molecular experimental materials. The authors also thank Professor Daniele Silvestro from University of Fribourg, Dr. Xin Yao from Xishuangbanna Tropical Botanical Garden, CAS for instruction in analytical methods. This work was supported by the National Natural Science Foundation of China (No. 31770226), the Pioneer Hundred Talents Program of the Chinese Academy of Sciences to Y.X.</t>
  </si>
  <si>
    <t>10.1111/jse.12720</t>
  </si>
  <si>
    <t>APR 2021</t>
  </si>
  <si>
    <t>3S5GJ</t>
  </si>
  <si>
    <t>WOS:000637862200001</t>
  </si>
  <si>
    <t>Del Rio, C; Huang, J; Stull, GW; Allemand, R; Zhou, ZK; Su, T</t>
  </si>
  <si>
    <t>Del Rio, Cedric; Huang, Jian; Stull, Gregory W.; Allemand, Remi; Zhou, Zhe-Kun; Su, Tao</t>
  </si>
  <si>
    <t>First macrofossil record of Icacinaceae in East Asia (early Oligocene, Wenshan Basin) and its ecological implications</t>
  </si>
  <si>
    <t>China; endocarps; Icacinaceae Iodes; Oligocene; paleoclimate</t>
  </si>
  <si>
    <t>NORTH-AMERICA; SOUTHWEST CHINA; FOSSIL RECORD; EOCENE; FRUITS; MIOCENE; PALEOCENE; WOOD; PALEOGEOGRAPHY; HEMISPHERE</t>
  </si>
  <si>
    <t>Icacinaceae are well represented in the modern tropical flora of East Asia, but this family has no confirmed macrofossils from this region. Most of the unambiguous fossils (e.g., endocarps) are from the Paleogene of North America and Europe, where the family is no longer present. Here we report a fossil endocarp of the liana genus Iodes from the Oligocene Wenshan flora, southwestern China. The fossil is relatively large (ca. 20 mm length, 11 mm width) and documents a vascular bundle inside the endocarp wall, a pattern of ridges enclosing few areoles, and an asymmetrical apex and rounded base. On the basis of these characteristics, we described a new species, Iodes elliptica, which represents the first Icacinaceae fruit fossil record from Asia. This fossil, consistent with recent reports of Iodes pollen from the Eocene of Hainan, indicates a long-standing presence of the genus in SE Asia, dating back to the Paleogene. Based on the climatic data of modern Iodes, and other fossil occurrences from Wenshan, we hypothesize that the climate in the region was subtropical during the Oligocene, supporting a rainforest, with an overall mixed regional flora of subtropical and tropical elements.</t>
  </si>
  <si>
    <t>[Del Rio, Cedric; Huang, Jian; Zhou, Zhe-Kun; Su, Tao] Chinese Acad Sci, Xishuangbanna Trop Bot Garden, CAS Key Lab Trop Forest Ecol, Mengla 666303, Yunnan, Peoples R China; [Del Rio, Cedric; Huang, Jian; Zhou, Zhe-Kun; Su, Tao] Chinese Acad Sci, Xishuangbanna Trop Bot Garden, Core Bot Gardens, Ctr Plant Ecol, Mengla 666303, Yunnan, Peoples R China; [Stull, Gregory W.] Chinese Acad Sci, Kunming Inst Bot, Germplasm Bank Wild Species, Kunming 650201, Yunnan, Peoples R China; [Stull, Gregory W.] Smithsonian Inst, Dept Bot, Washington, DC 20013 USA; [Allemand, Remi] Univ Toronto Scarborough, Dept Anthropol, Toronto, ON M5H 2N2, Canada; [Zhou, Zhe-Kun] Chinese Acad Sci, Kunming Inst Bot, Key Lab Plant Div &amp; Biogeog East Asia, Kunming 650204, Yunnan, Peoples R China</t>
  </si>
  <si>
    <t>Chinese Academy of Sciences; Xishuangbanna Tropical Botanical Garden, CAS; Chinese Academy of Sciences; Xishuangbanna Tropical Botanical Garden, CAS; Chinese Academy of Sciences; Kunming Institute of Botany, CAS; Smithsonian Institution; Smithsonian National Museum of Natural History; University of Toronto; University Toronto Scarborough; Chinese Academy of Sciences; Kunming Institute of Botany, CAS</t>
  </si>
  <si>
    <t>Huang, J; Su, T (通讯作者)，Chinese Acad Sci, Xishuangbanna Trop Bot Garden, CAS Key Lab Trop Forest Ecol, Mengla 666303, Yunnan, Peoples R China.;Huang, J; Su, T (通讯作者)，Chinese Acad Sci, Xishuangbanna Trop Bot Garden, Core Bot Gardens, Ctr Plant Ecol, Mengla 666303, Yunnan, Peoples R China.</t>
  </si>
  <si>
    <t>huangjian@xtbg.ac.cn; sutao@xtbg.org.cn</t>
  </si>
  <si>
    <t>Zhou, Zhekun/G-5281-2011; Allemand, Rémi/HGD-3840-2022; Su, Tao/T-4411-2019</t>
  </si>
  <si>
    <t>Zhou, Zhekun/0000-0002-0710-2128; Su, Tao/0000-0002-9148-6127; DEL RIO, Cedric/0000-0002-6340-5692; Allemand, Remi/0000-0002-7912-7607; Stull, Gregory/0000-0002-2733-4823</t>
  </si>
  <si>
    <t>Yunnan Basic Research Projects [2019FB026]; National Natural Science Foundation of China [31800183, 41922010]; Chinese Academy of Sciences (CAS) Light of West China Program; CAS 135 Program [2017XTBG-T03, 2017XTBG-F01]; Postdoctoral Fellowship of XTBG; Strategic Priority Research Program of CAS [XDA20070301, XDB26000000]; Youth Innovation Promotion Association, CAS [2017439]</t>
  </si>
  <si>
    <t>Yunnan Basic Research Projects; National Natural Science Foundation of China(National Natural Science Foundation of China (NSFC)); Chinese Academy of Sciences (CAS) Light of West China Program; CAS 135 Program; Postdoctoral Fellowship of XTBG; Strategic Priority Research Program of CAS; Youth Innovation Promotion Association, CAS</t>
  </si>
  <si>
    <t>The authors thank members of Paleoecology Research Group, Xishuangbanna Tropical Botanical Garden (XTBG), Chinese Academy of Sciences, for fossil collections; the staff of the Public Technology Service Center XTBG, for help with the imaging; Prof. Yun-Hong Tan and Mr. Jian-Wu Li for collecting extant comparative materials; Prof. Shi-Tao Zhang for geological guidance; Prof. Lutz Kunzmann and Terry A. Lott for providing paleobotanical literature; and L. Wang and J. Li for access to HITBC, Prof. Yin Zongjun for access and assistance for the Ct-scan of Nanjing Institute of Geology and Paleontology. We thank Dr. Aixa Tosal Alcobe, Prof. Steven R. Manchester and an anonymous reviewer for their help to improve the clarity of the manuscript. We acknowledge financial support from the Yunnan Basic Research Projects (No. 2019FB026); National Natural Science Foundation of China (Nos. 31800183, 41922010); Chinese Academy of Sciences (CAS) Light of West China Program; CAS 135 Program (No. 2017XTBG-T03); Postdoctoral Fellowship of XTBG; the Strategic Priority Research Program of CAS (Nos. XDA20070301, XDB26000000); Youth Innovation Promotion Association, CAS (No. 2017439); and the CAS 135 program (No. 2017XTBG-F01).</t>
  </si>
  <si>
    <t>10.1111/jse.12700</t>
  </si>
  <si>
    <t>FEB 2021</t>
  </si>
  <si>
    <t>ZW2KT</t>
  </si>
  <si>
    <t>WOS:000617309000001</t>
  </si>
  <si>
    <t>Jiang, L; Bao, Q; He, W; Fan, DM; Cheng, SM; Lopez-Pujol, J; Chung, MG; Sakaguchi, S; Sanchez-Gonzalez, A; Gedik, A; Li, DZ; Kou, YX; Zhang, ZY</t>
  </si>
  <si>
    <t>Jiang, Lu; Bao, Qin; He, Wei; Fan, Deng-Mei; Cheng, Shan-Mei; Lopez-Pujol, Jordi; Chung, Myong Gi; Sakaguchi, Shota; Sanchez-Gonzalez, Arturo; Gedik, Aysun; Li, De-Zhu; Kou, Yi-Xuan; Zhang, Zhi-Yong</t>
  </si>
  <si>
    <t>Phylogeny and biogeography of Fagus (Fagaceae) based on 28 nuclear single/low-copy loci</t>
  </si>
  <si>
    <t>biogeography; Fagus; nuclear single-copy gene; phylogeny; species tree</t>
  </si>
  <si>
    <t>MULTINERVIS NAKAI FAGACEAE; NORTHERN-HEMISPHERE; GENETIC-VARIATION; TIBETAN PLATEAU; WESTERN EURASIA; LAND BRIDGES; SYLVATICA L.; SEQUENCE; BEECH; EVOLUTION</t>
  </si>
  <si>
    <t>Fagus L. is a key component in temperate deciduous broadleaf forests of the Northern Hemisphere. However, its biogeographic history has not been examined under the framework of a fully resolved and reasonably time-calibrated phylogeny. In this study, we sequenced 28 nuclear single/low-copy loci (18 555 bp in total) of 11 Fagus species/segregates and seven outgroups. Phylogenetic trees were reconstructed using both concatenation-based (maximum parsimony, maximum likelihood, and Bayesian inference) and coalescent-based methods (StarBEAST2, ASTRAL). The monophyly of two subgenera (Fagus and Engleriana) and most sections was well supported, except for sect. Lucida, which was paraphyletic with respect to sect. Longipetiolata. We also found a major phylogenetic conflict among North American, East Asian, and West Eurasian lineages of subgen. Fagus. Three segregates that have isolated distribution (F. mexicana, F. multinervis, and F. orientalis) were independent evolutionary units. Biogeographic analysis with fossils suggested that Fagus could have originated in the North Pacific region in late early Eocene. Major diversifications coincided with a climate aberration at the Eocene/Oligocene boundary and the global cooling since mid-Miocene. The late Miocene accelerated global cooling and the Pleistocene glaciations would have driven beeches into East Asia, North America, and West Eurasia. Meanwhile, range reduction and extinction in high latitudes, central Asia, and western North America converged to form the beech modern distribution pattern. This study provides a first attempt to disentangle the biogeographic history of beeches in the context of a nearly resolved and time-calibrated phylogeny, which could shed new insights into the formation of the temperate biome in the Northern Hemisphere.</t>
  </si>
  <si>
    <t>Jiang, Lu</t>
  </si>
  <si>
    <t>[Jiang, Lu; Zhang, Zhi-Yong] Jiangxi Agr Univ, Coll Forestry, Nanchang 330045, Jiangxi, Peoples R China; [Jiang, Lu; Bao, Qin; He, Wei; Fan, Deng-Mei; Cheng, Shan-Mei; Kou, Yi-Xuan; Zhang, Zhi-Yong] Jiangxi Agr Univ, Lab Subtrop Biodivers, Nanchang 330045, Jiangxi, Peoples R China; [Lopez-Pujol, Jordi] CSIC Ajuntament Barcelona, Bot Inst Barcelona IBB, Passeig Migdia S-N, Barcelona 08038, Spain; [Chung, Myong Gi] Gyeongsang Natl Univ, Dept Biol, Jinju 660701, South Korea; [Chung, Myong Gi] Gyeongsang Natl Univ, Res Inst Nat Sci, Jinju 660701, South Korea; [Sakaguchi, Shota] Kyoto Univ, Grad Sch Human &amp; Environm Studies, Kyoto 6068502, Japan; [Sanchez-Gonzalez, Arturo] Autonomous Univ Hidalgo, Biol Res Ctr, Mineral De La Reforma 42184, Mexico; [Gedik, Aysun] Univ Cukurova, Inst Nat &amp; Appl Sci, Dept Biotechnol, TR-01330 Adana, Turkey; [Li, De-Zhu] Chinese Acad Sci, Kunming Inst Bot, Key Lab Biodivers &amp; Biogeog, Kunming 650204, Yunnan, Peoples R China</t>
  </si>
  <si>
    <t>Jiangxi Agricultural University; Jiangxi Agricultural University; Consejo Superior de Investigaciones Cientificas (CSIC); Gyeongsang National University; Gyeongsang National University; Kyoto University; Cukurova University; Chinese Academy of Sciences; Kunming Institute of Botany, CAS</t>
  </si>
  <si>
    <t>Zhang, ZY (通讯作者)，Jiangxi Agr Univ, Coll Forestry, Nanchang 330045, Jiangxi, Peoples R China.;Kou, YX; Zhang, ZY (通讯作者)，Jiangxi Agr Univ, Lab Subtrop Biodivers, Nanchang 330045, Jiangxi, Peoples R China.</t>
  </si>
  <si>
    <t>yixuankou@163.com; zhangzy@jxau.edu.cn</t>
  </si>
  <si>
    <t>Kou, Yixuan/AGY-3180-2022; Sánchez-González, Arturo/ADB-3341-2022; Li, De-Zhu/G-8203-2011</t>
  </si>
  <si>
    <t>Li, De-Zhu/0000-0002-4990-724X; Jiang, Lu/0000-0002-0406-5915</t>
  </si>
  <si>
    <t>National Natural Science Foundation of China [31770236, 30760016, 31560064]; Strategic Priority Research Program of Chinese Academy of Sciences [XDB31000000]</t>
  </si>
  <si>
    <t>National Natural Science Foundation of China(National Natural Science Foundation of China (NSFC)); Strategic Priority Research Program of Chinese Academy of Sciences(Chinese Academy of Sciences)</t>
  </si>
  <si>
    <t>This work was supported by the National Natural Science Foundation of China (Grant Nos. 31770236, 30760016, and 31560064) and the Strategic Priority Research Program of Chinese Academy of Sciences (XDB31000000). The authors would like to thank Mr. Gerhard Huber of the Bavarian Office for Forest Seeding and Planting, ASP, Teisendorf, Germany, and Corpo Forestale dello Stato, Italy, for providing DNA samples of Fagus sylvatica. They would also like to thank Professor Yu-Chung Chiang of the Department of Biological Sciences, National Sun Yat-sen University, Taiwan, China, for collecting F. hayatae samples from Taiwan.</t>
  </si>
  <si>
    <t>10.1111/jse.12695</t>
  </si>
  <si>
    <t>JAN 2021</t>
  </si>
  <si>
    <t>WOS:000609902200001</t>
  </si>
  <si>
    <t>Dong, SY; Zuo, ZY; Xiao, Y; Huang, L; Pham, VT; Phan, KL; Kang, M</t>
  </si>
  <si>
    <t>Dong, Shi-Yong; Zuo, Zheng-Yu; Xiao, Yong; Huang, Ling; Van The Pham; Ke Loc Phan; Kang, Ming</t>
  </si>
  <si>
    <t>A contribution to Gymnosphaera (Cyatheaceae) in mainland Asia: Two new species, reinstatement of Cyathea bonii, and their phylogenetic positions</t>
  </si>
  <si>
    <t>chloroplast sequence; morphology; nuclear sequence; phylogeny; taxonomy; tree fern</t>
  </si>
  <si>
    <t>Gymnosphaera represents a minor lineage within the scaly tree-fern family Cyatheaceae. Tropical and subtropical mainland Asia is a main distribution area of Gymnosphaera. However, the species diversity of Gymnosphaera is currently incompletely known in mainland Asia due to lacking critical revision. Here we present new findings of species diversity and their relationships to mainland Asian Gymnosphaera based on field surveys, the examination of herbarium collections, and phylogenetic analyses of sequences of multiple chloroplast and nuclear regions. Two new species, G. saxicola from southwestern Yunnan and G. bachmaensis from central Vietnam, are established. Traditionally recognized G. podophylla is revealed to be a complex, from which G. bonii is reinstated as a distinct species. Our phylogenetic analyses identified four clades within Gymnosphaera in mainland Asia: G. denticulata clade, G. gigantea clade, G. podophylla clade, and G. salletii clade. The new species G. saxicola, which is special for its saxicolous habitat, was resolved as sister to G. austroyunnanensis in the G. salletii clade. The newly discovered G. bachmaensis, which is characterized specially by the spathulate frond, was positioned in the G. podophylla clade, being sister to G. bonii. The mountainous region from south-central Vietnam northwards to western Yunnan is a diverse center of Gymnosphaera and more species of this group are probably to be discovered there.</t>
  </si>
  <si>
    <t>Dong, Shi-Yong</t>
  </si>
  <si>
    <t>[Dong, Shi-Yong; Xiao, Yong; Huang, Ling; Kang, Ming] Chinese Acad Sci, Key Lab Plant Resources Conservat &amp; Sustainable U, South China Bot Garden, Guangzhou 510650, Peoples R China; [Dong, Shi-Yong; Kang, Ming] Chinese Acad Sci, Ctr Conservat Biol, Core Bot Gardens, Guangzhou 510650, Peoples R China; [Zuo, Zheng-Yu] Chinese Acad Sci, Kunming Inst Bot, Germplasm Bank Wild Species, Kunming 650201, Yunnan, Peoples R China; [Zuo, Zheng-Yu; Huang, Ling] Univ Chinese Acad Sci, Beijing 100049, Peoples R China; [Zuo, Zheng-Yu] Yunnan Univ, Sch Life Sci, Kunming 650500, Yunnan, Peoples R China; [Van The Pham] Ton Duc Thang Univ, Environm Engn &amp; Management Res Grp, Ho Chi Minh, Vietnam; [Van The Pham] Ton Duc Thang Univ, Fac Environm &amp; Labour Safety, Ho Chi Minh City, Vietnam; [Ke Loc Phan] VNU Univ Sci, Fac Biol, Hanoi, Vietnam</t>
  </si>
  <si>
    <t>Chinese Academy of Sciences; South China Botanical Garden, CAS; Chinese Academy of Sciences; Chinese Academy of Sciences; Kunming Institute of Botany, CAS; Chinese Academy of Sciences; University of Chinese Academy of Sciences, CAS; Yunnan University; Ton Duc Thang University; Ton Duc Thang University; Vietnam National University Hanoi</t>
  </si>
  <si>
    <t>Dong, SY (通讯作者)，Chinese Acad Sci, Key Lab Plant Resources Conservat &amp; Sustainable U, South China Bot Garden, Guangzhou 510650, Peoples R China.;Dong, SY (通讯作者)，Chinese Acad Sci, Ctr Conservat Biol, Core Bot Gardens, Guangzhou 510650, Peoples R China.</t>
  </si>
  <si>
    <t>dongshiyong@scib.ac.cn</t>
  </si>
  <si>
    <t>Pham, Van The/S-6239-2019</t>
  </si>
  <si>
    <t>Pham, Van The/0000-0002-1223-0175; Kang, Ming/0000-0002-4326-7210; Zuo, Zheng-Yu/0000-0002-8334-6132</t>
  </si>
  <si>
    <t>National Natural Science Foundation of China [31970218]; Strategic Priority Research Program of Chinese Academy of Sciences [XDB31010000]</t>
  </si>
  <si>
    <t>We would like to thank the curator and staff at BO, DACB, HN, HNU, IBSC, PE, and TAIF for allowing access to their collections. We are grateful to Hang-Hui Kong and Li-Hua Yang for their assistance in the field work of southwestern Yunnan; to Yi-Hua Tong for providing DNA samples of an unknown taxon (Tong 1078) from Vietnam; to Hai-Lei Zheng for providing the location information of Jingdong population of Gymnosphaera saxicola; and to Jiu-Qiong Sun for her help to locate and photograph specimens of G. bonii in PE. Two anonymous reviewers provided invaluable comments for the modification of the original manuscript. This study was supported by the National Natural Science Foundation of China (grant No. 31970218) and by the Strategic Priority Research Program of Chinese Academy of Sciences (XDB31010000).</t>
  </si>
  <si>
    <t>10.1111/jse.12679</t>
  </si>
  <si>
    <t>WOS:000585787400001</t>
  </si>
  <si>
    <t>Yang, J; Niu, Y; Sun, WB; Cai, XH; Chen, G</t>
  </si>
  <si>
    <t>Yang, Jing; Niu, Yang; Sun, Wei-Bang; Cai, Xiang-Hai; Chen, Gao</t>
  </si>
  <si>
    <t>Intersexual mimicry and imperfect deceit of a threatened aquatic herbOttelia acuminata</t>
  </si>
  <si>
    <t>deceit pollination; dioecy; intersexual mimicry; Ottelia acuminata; pollinator preference; sex ratio</t>
  </si>
  <si>
    <t>EXTREMELY SMALL POPULATIONS; POLLEN LIMITATION; FLOWER-SIZE; SEXUAL-DIMORPHISM; WIND POLLINATION; CHEMICAL MIMICRY; FLORAL DISPLAY; EVOLUTION; SELECTION; COLOR</t>
  </si>
  <si>
    <t>Mimicry of non-rewarding flowers to rewarding flowers has been accepted as a strategy to improve pollination success in angiosperms. It has been proposed that this mechanism depends on whether potential pollinators can discriminate between the flowers. In this study, the intersexual mimicry and deceit pollination were studied in a threatened dioecious aquatic herb,Ottelia acuminata. Its female flowers resemble male flowers in morphology and odor compounds, to avoid discrimination by pollinators and outcompete male flowers in attracting the pollinators using stronger scents and bigger flowers. However, an obvious visit bias of its pollinator (Apis cerana) to male flowers was detected, suggesting that bees can distinguish the rewarding males from non-rewarding females. Although the deceit was not successful, pollination was not seriously undermined because pollen limitation was found to be low in the sampled natural population. We speculate that, due to accidental visits on female flowers and mistake pollinations, pollen limitation could be mitigated by a high frequency of pollen donors, and is correlated with the size and sex ratio of a population.</t>
  </si>
  <si>
    <t>[Yang, Jing; Sun, Wei-Bang; Chen, Gao] Chinese Acad Sci, Kunming Inst Bot, Yunnan Key Lab Integrat Conservat Plant Species E, Kunming 650201, Yunnan, Peoples R China; [Yang, Jing; Niu, Yang; Sun, Wei-Bang; Chen, Gao] Chinese Acad Sci, Kunming Inst Bot, CAS Key Lab Plant Divers &amp; Biogeog East Asia, Kunming 650201, Yunnan, Peoples R China; [Cai, Xiang-Hai] Chinese Acad Sci, Kunming Inst Bot, State Key Lab Phytochem &amp; Plant Resources West Ch, Kunming 650204, Yunnan, Peoples R China</t>
  </si>
  <si>
    <t>Chinese Academy of Sciences; Kunming Institute of Botany, CAS; Chinese Academy of Sciences; Kunming Institute of Botany, CAS; Chinese Academy of Sciences; Kunming Institute of Botany, CAS</t>
  </si>
  <si>
    <t>Chen, G (通讯作者)，Chinese Acad Sci, Kunming Inst Bot, Yunnan Key Lab Integrat Conservat Plant Species E, Kunming 650201, Yunnan, Peoples R China.;Chen, G (通讯作者)，Chinese Acad Sci, Kunming Inst Bot, CAS Key Lab Plant Divers &amp; Biogeog East Asia, Kunming 650201, Yunnan, Peoples R China.;Cai, XH (通讯作者)，Chinese Acad Sci, Kunming Inst Bot, State Key Lab Phytochem &amp; Plant Resources West Ch, Kunming 650204, Yunnan, Peoples R China.</t>
  </si>
  <si>
    <t>xhcai@mail.kib.ac.cn; chen_gao@mail.kib.ac.cn</t>
  </si>
  <si>
    <t>chen, gao/AAS-4919-2021; Niu, Yang/GPX-1099-2022</t>
  </si>
  <si>
    <t>Yang, Jing/0000-0003-3670-2971</t>
  </si>
  <si>
    <t>NSFC-Yunnan joint fund [U1602264]; Yunnan Science and Technology Innovation Team Program [2019HC015]; National Key R&amp;D Program of China [2017YFC0505200]; Yunnan Ten Thousand Talents Plan Young &amp; Elite Talents Project</t>
  </si>
  <si>
    <t>NSFC-Yunnan joint fund; Yunnan Science and Technology Innovation Team Program; National Key R&amp;D Program of China; Yunnan Ten Thousand Talents Plan Young &amp; Elite Talents Project</t>
  </si>
  <si>
    <t>Support for this study was provided through grants from the NSFC-Yunnan joint fund to support key projects (U1602264), the Yunnan Science and Technology Innovation Team Program (2019HC015), National Key R&amp;D Program of China (2017YFC0505200), and Yunnan Ten Thousand Talents Plan Young &amp; Elite Talents Project.</t>
  </si>
  <si>
    <t>10.1111/jse.12657</t>
  </si>
  <si>
    <t>AUG 2020</t>
  </si>
  <si>
    <t>WOS:000559462000001</t>
  </si>
  <si>
    <t>Zeng, XY; Jeewon, R; Hongsanan, S; Hyde, KD; Wen, TC</t>
  </si>
  <si>
    <t>Zeng, Xiang-Yu; Jeewon, Rajesh; Hongsanan, Sinang; Hyde, Kevin D.; Wen, Ting-Chi</t>
  </si>
  <si>
    <t>Unravelling evolutionary relationships between epifoliar Meliolaceae and angiosperms</t>
  </si>
  <si>
    <t>codivergence; cophylogeny; dating; Meliolales; new taxa; Sordariomycetes</t>
  </si>
  <si>
    <t>PHYLOGENETIC EVALUATION; FUNGI; CLASSIFICATION; PESTALOTIOPSIS; BIOGEOGRAPHY; DOCUMENTS; DIVERSITY; MODELS; TAXA</t>
  </si>
  <si>
    <t>Epifoliar fungi are a group of poorly studied fungal symbionts that coinhabit the surface of living plants. Meliolaceae is the largest group of epifoliar fungi and has been considered as obligate parasites. We investigated the taxonomy of Meliolaceae and the coevolutionary events with their host plants using time-calibrated cophylogeny based on large subunit, small subunit, and internal transcribed spacer (ITS) sequence data obtained from 17 different fungal taxa andrbcL, ITS, andtrnH-psbAsequence data from their corresponding hosts. Nine new fungal species are introduced in this paper andAppendiculellais synonymized underAsteridiella. The dominant coevolutionary events during the Cretaceous and Cenozoic are cospeciation and host shift, respectively. We hypothesize that the evolutionary history of epifoliar fungi can be divided into three major periods: origins of families, formations of genera, and diversification of species. The rise of angiosperms prompted the evolution of modern epifoliar fungi and the diversification of orders of Angiospermae fostered the formation of epifoliar fungal genera. Phylogenetically, epifoliar fungal genera can be delimited according to their coevolutionary patterns and divergent periods.</t>
  </si>
  <si>
    <t>Zeng, Xiang-Yu</t>
  </si>
  <si>
    <t>[Zeng, Xiang-Yu; Wen, Ting-Chi] Guizhou Univ, State Key Lab Breeding Base Green Pesticide &amp; Agr, Key Lab Green Pesticide &amp; Agr Bioengn, Minist Educ, Guiyang 550025, Peoples R China; [Zeng, Xiang-Yu; Wen, Ting-Chi] Guizhou Univ, Engn Res Ctr Southwest Bio Pharmaceut Resource, Minist Educ, Guiyang 550025, Peoples R China; [Zeng, Xiang-Yu; Hongsanan, Sinang; Hyde, Kevin D.] Mae Fah Luang Univ, Ctr Excellence Fungal Res, Chiang Rai 57100, Thailand; [Zeng, Xiang-Yu; Hongsanan, Sinang; Hyde, Kevin D.] Mae Fah Luang Univ, Sch Sci, Chiang Rai 57100, Thailand; [Jeewon, Rajesh] Univ Mauritius, Fac Sci, Dept Hlth Sci, Reduit 80837, Mauritius; [Hongsanan, Sinang] Shenzhen Univ, Coll Life Sci &amp; Oceanog, Shenzhen Key Lab Microbial Genet Engn, Shenzhen 518060, Peoples R China; [Hyde, Kevin D.] Chinese Acad Sci, Kunming Inst Bot, Key Lab Plant Divers &amp; Biogeog East Asia, Kunming 650201, Yunnan, Peoples R China</t>
  </si>
  <si>
    <t>Guizhou University; Guizhou University; Mae Fah Luang University; Mae Fah Luang University; University of Mauritius; Shenzhen University; Chinese Academy of Sciences; Kunming Institute of Botany, CAS</t>
  </si>
  <si>
    <t>Wen, TC (通讯作者)，Guizhou Univ, State Key Lab Breeding Base Green Pesticide &amp; Agr, Key Lab Green Pesticide &amp; Agr Bioengn, Minist Educ, Guiyang 550025, Peoples R China.;Wen, TC (通讯作者)，Guizhou Univ, Engn Res Ctr Southwest Bio Pharmaceut Resource, Minist Educ, Guiyang 550025, Peoples R China.</t>
  </si>
  <si>
    <t>tingchiwen@yahoo.com</t>
  </si>
  <si>
    <t>Hyde, Kevin D/F-7890-2010; Hongsanan, Sinang/ABD-1290-2020; Zeng, Xiang-Yu/AAE-5590-2022</t>
  </si>
  <si>
    <t>Hongsanan, Sinang/0000-0003-0550-3152; Zeng, Xiang-Yu/0000-0003-1341-1004; Wen, Ting-chi/0000-0003-1744-5869</t>
  </si>
  <si>
    <t>Science and Technology Foundation of Guizhou Province [[2017]5788]; Thailand Research Fund [RDG6130001]; University of Mauritius</t>
  </si>
  <si>
    <t>Science and Technology Foundation of Guizhou Province; Thailand Research Fund(Thailand Research Fund (TRF)); University of Mauritius</t>
  </si>
  <si>
    <t>This study was supported by the Science and Technology Foundation of Guizhou Province (No. [2017]5788) and the Thailand Research Fund thanks the grant impact of climate change on fungal diversity and biogeography in the Greater Mekong Sub-region (RDG6130001) for financial and laboratory support. Xiang-Yu Zeng would like to thank Shaun Pennycook for the Latin diagnoses. Associate Professor R Jeewon thanks the University of Mauritius for support and Mae Fah Luang University for the visiting scholar program.</t>
  </si>
  <si>
    <t>10.1111/jse.12643</t>
  </si>
  <si>
    <t>JUL 2020</t>
  </si>
  <si>
    <t>YF0EO</t>
  </si>
  <si>
    <t>WOS:000553468400001</t>
  </si>
  <si>
    <t>Qin, M; Zhu, CJ; Yang, JB; Vatanparast, M; Schley, R; Lai, Q; Zhang, DY; Tu, TY; Klitgard, BB; Li, SJ; Zhang, DX</t>
  </si>
  <si>
    <t>Qin, Ming; Zhu, Cheng-Jie; Yang, Jun-Bo; Vatanparast, Mohammad; Schley, Rowan; Lai, Qiang; Zhang, Dan-Yan; Tu, Tie-Yao; Klitgard, Bente B.; Li, Shi-Jin; Zhang, Dian-Xiang</t>
  </si>
  <si>
    <t>Comparative analysis of complete plastid genome reveals powerful barcode regions for identifying wood of Dalbergia odorifera and D. tonkinensis (Leguminosae)</t>
  </si>
  <si>
    <t>DNA barcoding; Fabaceae; Hongmu; phylogenomics; rosewood; wood identification</t>
  </si>
  <si>
    <t>COMPLETE CHLOROPLAST GENOME; DNA; IDENTIFICATION; PHYLOGENY; EVOLUTION; ALIGNMENT; INSIGHTS; TREE</t>
  </si>
  <si>
    <t>Dalbergia odorifera T. C. Chen (Leguminosae), a rare and endangered tree species endemic to Hainan Island of China, produces the most expensive and rarest wood in China. The wood characteristics of D. odorifera are remarkably similar to those of D. tonkinensis (a much less sought-after species from Vietnam), and the DNA from wood is often highly degraded, making it very difficult to identify the two species using anatomical features or DNA barcoding based on regular DNA markers. To solve the confusion of identifying wood reliably from the two species, we built and analyzed the plastome library of 26 samples from 18 Dalbergia species, of which 12 samples from eight closely related species of D. odorifera are newly sequenced in this study. Phylogenomic analysis suggested that the relationships among the 26 samples are mostly well resolved, and conspecific individuals from different populations of D. odorifera and D. tonkinensis clustered together. Between the plastid genomes of the two species, we identified 129 indels and 114 single nucleotide polymorphisms. By assessing a subset of 20 nucleotide polymorphisms and 10 indels using 37 population-level samples (20 samples of D. odorifera and 17 samples of D. tonkinensis), we recovered eight species-specific barcode regions that could be suitable for identifying the wood D. odorifera and D. tonkinensis. To examine their utility in wood identification, we amplified the eight DNA barcodes using six wood samples and recovered an amplification success rate of 83.3%, demonstrating a reliable method for precise wood identification of the two species.</t>
  </si>
  <si>
    <t>Qin, Ming</t>
  </si>
  <si>
    <t>[Qin, Ming; Lai, Qiang; Tu, Tie-Yao; Li, Shi-Jin; Zhang, Dian-Xiang] Chinese Acad Sci, Key Lab Plant Resources Conservat &amp; Sustainable U, South China Bot Garden, Guangzhou 510650, Peoples R China; [Qin, Ming; Lai, Qiang] Univ Chinese Acad Sci, Beijing 100049, Peoples R China; [Zhu, Cheng-Jie] Shenzhen Acad Metrol &amp; Qual Inspect, Shenzhen 518109, Peoples R China; [Yang, Jun-Bo] Chinese Acad Sci, Kunming Inst Bot, Germplasm Bank Wild Species, Kunming 650201, Yunnan, Peoples R China; [Vatanparast, Mohammad] Univ Copenhagen, Dept Geosci &amp; Nat Resource Management, DK-1958 Frederiksberg, Denmark; [Vatanparast, Mohammad] Smithsonian Inst, NMNH, US Natl Herbarium, Dept Bot, Washington, DC 20560 USA; [Schley, Rowan; Klitgard, Bente B.] Royal Bot Gardens, Herbarium, Richmond TW9 3AE, Surrey, England; [Zhang, Dan-Yan] Guangzhou Univ Chinese Med, Sch Pharmaceut Sci, Guangzhou 510006, Peoples R China</t>
  </si>
  <si>
    <t>Chinese Academy of Sciences; South China Botanical Garden, CAS; Chinese Academy of Sciences; University of Chinese Academy of Sciences, CAS; Chinese Academy of Sciences; Kunming Institute of Botany, CAS; University of Copenhagen; Smithsonian Institution; Smithsonian National Museum of Natural History; Royal Botanic Gardens, Kew; Guangzhou University of Chinese Medicine</t>
  </si>
  <si>
    <t>Tu, TY; Li, SJ (通讯作者)，Chinese Acad Sci, Key Lab Plant Resources Conservat &amp; Sustainable U, South China Bot Garden, Guangzhou 510650, Peoples R China.;Klitgard, BB (通讯作者)，Royal Bot Gardens, Herbarium, Richmond TW9 3AE, Surrey, England.</t>
  </si>
  <si>
    <t>tutieyao@scbg.ac.cn; B.klitgaard@kew.org; lisj@scib.ac.cn</t>
  </si>
  <si>
    <t>Vatanparast, Mohammad/0000-0002-9644-0566; Lai, Qiang/0000-0002-8274-0111; Tu, Tieyao/0000-0001-7385-008X</t>
  </si>
  <si>
    <t>Strategic Priority Research Program of the Chinese Academy of Sciences [XDA13020501]; National Natural Science Foundation of China [31670193]; Publicity and Education Base Construction of Guangdong Forestry Science Technology [2019-08]; Science and Technology Planning Project of Guangdong Province [2019B030316020]</t>
  </si>
  <si>
    <t>Strategic Priority Research Program of the Chinese Academy of Sciences(Chinese Academy of Sciences); National Natural Science Foundation of China(National Natural Science Foundation of China (NSFC)); Publicity and Education Base Construction of Guangdong Forestry Science Technology; Science and Technology Planning Project of Guangdong Province</t>
  </si>
  <si>
    <t>We would like to thank Lianxuan Zhou, Xianqiang Li, and Kai Zhang from South China Botanical Garden, Chinese Academy of Sciences for the materials collection. We would also like to thank Zhirong Zhang and Hongtao Li from the Kunming Institute of Botany, Chinese Academy of Sciences for helping in the experiment works and data analyses of next generation sequencing. Moreover, thanks to Oscar Alejandro Perez Escobar from Royal Botanic Gardens, Kew for providing useful suggestions on the data analysis. This work was supported by the Strategic Priority Research Program of the Chinese Academy of Sciences (Grant No. XDA13020501), the National Natural Science Foundation of China (Grant No. 31670193), Publicity and Education Base Construction of Guangdong Forestry Science &amp; Technology (Grang No. 2019-08), and Science and Technology Planning Project of Guangdong Province (Grang No. 2019B030316020).</t>
  </si>
  <si>
    <t>10.1111/jse.12598</t>
  </si>
  <si>
    <t>JUN 2020</t>
  </si>
  <si>
    <t>WOS:000538915900001</t>
  </si>
  <si>
    <t>Li, TZ; Hu, J; Sun, JJ; Huang, XY; Geng, CA; Liu, SB; Zhang, XM; Chen, JJ</t>
  </si>
  <si>
    <t>Li, Tian-Ze; Hu, Jing; Sun, Jin-Jin; Huang, Xiao-Yan; Geng, Chang-An; Liu, Shu-Bai; Zhang, Xue-Mei; Chen, Ji-Jun</t>
  </si>
  <si>
    <t>Synthesis and biological evaluation of paeoveitol D derivatives as new melatonin receptor agonists with antidepressant activities</t>
  </si>
  <si>
    <t>RSC MEDICINAL CHEMISTRY</t>
  </si>
  <si>
    <t>BENZOFURAN</t>
  </si>
  <si>
    <t>Our previous study demonstrated that paeoveitol D, a benzofuran compound isolated from Paeonia veitchii, displayed activity on MT1 and MT2 receptors with agonistic ratios of 57.5% and 51.6% at a concentration of 1 mM. To explore the structure-activity relationships, 34 paeoveitol D derivatives were synthesized and evaluated for their MT1 and MT2 agonistic activities using the Fluo-8 calcium assay. Among them, 16 and 18 derivatives increased agonistic activities on the MT1 and MT2 receptors, respectively. Compound 18 indicated EC50 values of 21.0 and 298.9 mu M on MT1 and MT2 receptors in agonistic dose response curves with Tango assays and shortened immobility time in the forced swim test. The preliminary mechanism-of-action investigation manifested that the antidepressant activity of compound 18 may be mediated by promoting serotonin (5-HT) and dopamine (DA) levels in the mice brain. Compound 18 also showed favorable pharmacokinetic profiles and low toxicity in vivo. These results suggest that compound 18 could be a potential antidepressant agent.</t>
  </si>
  <si>
    <t>Li, Tian-Ze</t>
  </si>
  <si>
    <t>[Li, Tian-Ze; Hu, Jing; Sun, Jin-Jin; Huang, Xiao-Yan; Geng, Chang-An; Liu, Shu-Bai; Zhang, Xue-Mei; Chen, Ji-Jun] Chinese Acad Sci, Kunming Inst Bot, State Key Lab Phytochem &amp; Plant Resources West Ch, Yunnan Key Lab Nat Med Chem, Kunming 650201, Yunnan, Peoples R China; [Chen, Ji-Jun] Univ Chinese Acad Sci, Beijing 100049, Peoples R China</t>
  </si>
  <si>
    <t>National Natural Science Foundation of China [81803405]; Xingdian Yingcai Project [YNWR - KJLJ - 2019-002]; Youth Innovation Promotion Association, CAS [2020386]; Reserve Talents of Young and Middle-aged Academic and Technical Leaders in Yunnan Province [202105AC160021]; Science and Technology Plan Projects in Yunan Province [202101AT070200]; State Key Laboratory of Phytochemistry and Plant Resources in West China</t>
  </si>
  <si>
    <t>National Natural Science Foundation of China(National Natural Science Foundation of China (NSFC)); Xingdian Yingcai Project; Youth Innovation Promotion Association, CAS; Reserve Talents of Young and Middle-aged Academic and Technical Leaders in Yunnan Province; Science and Technology Plan Projects in Yunan Province; State Key Laboratory of Phytochemistry and Plant Resources in West China</t>
  </si>
  <si>
    <t>This work was supported by the National Natural Science Foundation of China (81803405), the Xingdian Yingcai Project (YNWR - KJLJ - 2019-002), the Youth Innovation Promotion Association, CAS (2020386), the Reserve Talents of Young and Middle-aged Academic and Technical Leaders in Yunnan Province (202105AC160021), the Science and Technology Plan Projects in Yunan Province (202101AT070200), and State Key Laboratory of Phytochemistry and Plant Resources in West China.</t>
  </si>
  <si>
    <t>2632-8682</t>
  </si>
  <si>
    <t>RSC MED CHEM</t>
  </si>
  <si>
    <t>RSC Med. Chem.</t>
  </si>
  <si>
    <t>10.1039/d2md00156j</t>
  </si>
  <si>
    <t>Biochemistry &amp; Molecular Biology; Chemistry, Medicinal</t>
  </si>
  <si>
    <t>Biochemistry &amp; Molecular Biology; Pharmacology &amp; Pharmacy</t>
  </si>
  <si>
    <t>5K4DJ</t>
  </si>
  <si>
    <t>WOS:000840456300001</t>
  </si>
  <si>
    <t>Wang, C; Qi, JF; Liu, Q; Wang, YH; Wang, HB</t>
  </si>
  <si>
    <t>Wang, Chen; Qi, Jinfeng; Liu, Qing; Wang, Yuhua; Wang, Hongbin</t>
  </si>
  <si>
    <t>Allelopathic Potential of Aqueous Extracts from Fleagrass (Adenosma buchneroides Bonati) against Two Crop and Three Weed Species</t>
  </si>
  <si>
    <t>AGRICULTURE-BASEL</t>
  </si>
  <si>
    <t>Adenosma buchneroides; seed germination; allelopathy; aqueous extract</t>
  </si>
  <si>
    <t>ALFALFA MEDICAGO-SATIVA; SEED-GERMINATION; GROWTH; L.; MANAGEMENT; QUANTIFICATION; IDENTIFICATION; VARIETIES; GERMPLASM; PLANTS</t>
  </si>
  <si>
    <t>This study aimed to assess the phytotoxic potential of fleagrass (Adenosma buchneroides) on weeds and crops. We assessed the effects of applying aqueous extracts of fleagrass on the seed germination and seedling growth of three weeds (Bidens pilosa, Paspalum thunbergia, and Bromus japonicus) and two crops (Oryza sativa and Zea mays). The influence of six doses of fleagrass aqueous extract on seed germination and seedling growth was assessed through a Petri dish experiment. The aqueous extract of fleagrass was qualitatively characterized using widely targeted metabolomics analysis and found to mainly comprise flavonoids, phenolic acids, alkaloids, polysaccharides, phenylpropanoids, terpenoids, phenolamides, and quinones. The mean IC50 for crop seed germination was 168,796, and the mean IC50 for weed seed germination was 11,454. The inhibition effect on the tested species, from highest to lowest, followed the order of B. japonicus &gt; B. Pilosa &gt; P. thunbergii &gt; O. sativa &gt; Z. mays. These results indicate the remarkable species-specific sensitivity of seed germination and seedling growth to fleagrass extract treatment, and that crops are more tolerant than weeds. Elucidation of the details of the fleagrass-weed/crop interaction can serve as a basis for intercropping fleagrass with crops in weed management strategies aimed at controlling weeds.</t>
  </si>
  <si>
    <t>[Wang, Chen; Wang, Hongbin] Kunming Univ Sci &amp; Technol, Fac Environm Sci &amp; Engn, Kunming 650500, Yunnan, Peoples R China; [Wang, Chen; Qi, Jinfeng; Wang, Yuhua] Chinese Acad Sci, Kunming Inst Bot, Dept Econ Plants &amp; Biotechnol, Yunnan Key Lab Wild Plant Resources, Kunming 650201, Yunnan, Peoples R China; [Liu, Qing] Chinese Acad Sci, Key Lab Trop Plant Resources &amp; Sustainable Use, Xishuangbanna Trop Bot Garden, Menglun 666303, Peoples R China</t>
  </si>
  <si>
    <t>Kunming University of Science &amp; Technology; Chinese Academy of Sciences; Kunming Institute of Botany, CAS; Chinese Academy of Sciences; Xishuangbanna Tropical Botanical Garden, CAS</t>
  </si>
  <si>
    <t>Wang, HB (通讯作者)，Kunming Univ Sci &amp; Technol, Fac Environm Sci &amp; Engn, Kunming 650500, Yunnan, Peoples R China.</t>
  </si>
  <si>
    <t>wangchen@mail.kib.ac.cn; qijinfeng@mail.kib.ac.cn; liuqing@xtbg.org.cn; wangyuhua@mail.kib.ac.cn; whb1974@kust.edu.cn</t>
  </si>
  <si>
    <t>, wangchen/0000-0002-7173-7371; Wang, Yuhua/0000-0001-7749-000X; Qi, Jinfeng/0000-0001-6689-915X</t>
  </si>
  <si>
    <t>Strategic Priority Research Program of the Chinese Academy of Sciences [XDA20050204]; National Natural Science Foundation of China [31670337]</t>
  </si>
  <si>
    <t>Strategic Priority Research Program of the Chinese Academy of Sciences(Chinese Academy of Sciences); National Natural Science Foundation of China(National Natural Science Foundation of China (NSFC))</t>
  </si>
  <si>
    <t>This research was funded by the Strategic Priority Research Program of the Chinese Academy of Sciences, grant number XDA20050204, and the National Natural Science Foundation of China, grant number 31670337.</t>
  </si>
  <si>
    <t>2077-0472</t>
  </si>
  <si>
    <t>Agriculture-Basel</t>
  </si>
  <si>
    <t>10.3390/agriculture12081103</t>
  </si>
  <si>
    <t>Agronomy</t>
  </si>
  <si>
    <t>4C4DK</t>
  </si>
  <si>
    <t>WOS:000846406100001</t>
  </si>
  <si>
    <t>Guo, CA; Ding, XY; Hu, HB; Zhang, Y; Yang, HZ; Wang, YH</t>
  </si>
  <si>
    <t>Guo, Chang-An; Ding, Xiaoyong; Hu, Huabin; Zhang, Yu; Yang, Huizhao; Wang, Yuhua</t>
  </si>
  <si>
    <t>An ethnobotanical study on wild plants used by Tibetan people in Gyirong Valley, Tibet, China</t>
  </si>
  <si>
    <t>JOURNAL OF ETHNOBIOLOGY AND ETHNOMEDICINE</t>
  </si>
  <si>
    <t>Himalayas; Biodiversity hotspots; Tibetan; Traditional knowledge; Environmental conservation</t>
  </si>
  <si>
    <t>MEDICINAL-PLANTS; ETHNOPHARMACOLOGY; KNOWLEDGE</t>
  </si>
  <si>
    <t>Background Gyirong Valley known as the Back Garden of the Himalayas is located in the core area of the Everest National Nature Reserve. It is also one of the important ports from ancient Tibet to Kathmandu, Nepal, since ancient times. Over the years, the Tibetans of Gyirong had accumulated sufficient traditional knowledge about local plant resources. However, there is almost no comprehensive report available on ethnobotanical knowledge about the local people. The purposes of this study were to (1) conduct a comprehensive study of wild plants used by Tibetan people in Gyirong Valley and record the traditional knowledge associated with wild useful plants, (2) explore the influence of Tibetan traditional culture and economic development on the use of wild plants by local people, and (3) explore the characteristics of traditional knowledge about wild plants of Tibetans in Gyirong. Methods Ethnobotanical data were documented through free listings, key informant interviews and semi-structured interviews during fieldwork. The culture importance index and the informant consensus factor index were used as quantitative indices. Results In total, 120 informants (61 women and 59 men) and 3333 use reports and 111 wild plant species belonging to 39 families and 81 genera were included. These use reports were then classified into 27 categories belonging to three major categories. The use category that contained the most plant species was edible plants (62), followed by medicinal plants (32) and economic plants (22), and other uses (71). Plants with high CI included Allium prattii, Neopicrorhiza scrophulariiflora, Gymnadenia orchidis, Rhododendron anthopogon and Fritillaria cirrhosa. Thirty-six species of plants in the catalog of Gyirong and Yadong were the same, but only 17 species were the same in Gyirong and Burang. There were only 11 overlapping species between all the three regions. Conclusion Tibetans of Gyirong have rich and unique knowledge about plant use, and wild edible and medicinal plants play an important role in the nutrition and health protection of local people. However, traditional knowledge is slowly being lost and is being hit by modern tourism. In the future, more attention needs to be paid to the important role of traditional knowledge in biodiversity conservation.</t>
  </si>
  <si>
    <t>Guo, Chang-An</t>
  </si>
  <si>
    <t>[Guo, Chang-An; Ding, Xiaoyong; Zhang, Yu; Yang, Huizhao; Wang, Yuhua] Chinese Acad Sci, Kunming Inst Bot, Dept Econ Plants &amp; Biotechnol, Yunnan Key Lab Wild Plant Resources, 132 Lanhei Rd, Kunming 650201, Yunnan, Peoples R China; [Guo, Chang-An] Univ Chinese Acad Sci, Beijing, Peoples R China; [Ding, Xiaoyong] Yunnan Univ, Natl Ctr Borderland Ethn Studies Southwest China, Kunming 650091, Yunnan, Peoples R China; [Hu, Huabin] Chinese Acad Sci, CAS Key Lab Trop Plant Resources &amp; Sustainable Us, Xishuangbanna Trop Bot Garden, Mengla 666303, Yunnan, Peoples R China</t>
  </si>
  <si>
    <t>Chinese Academy of Sciences; Kunming Institute of Botany, CAS; Chinese Academy of Sciences; University of Chinese Academy of Sciences, CAS; Yunnan University; Chinese Academy of Sciences; Xishuangbanna Tropical Botanical Garden, CAS</t>
  </si>
  <si>
    <t>Wang, YH (通讯作者)，Chinese Acad Sci, Kunming Inst Bot, Dept Econ Plants &amp; Biotechnol, Yunnan Key Lab Wild Plant Resources, 132 Lanhei Rd, Kunming 650201, Yunnan, Peoples R China.</t>
  </si>
  <si>
    <t>wangyuhua@mail.kib.ac.cn</t>
  </si>
  <si>
    <t>Second Tibetan Plateau Scientific Expedition and Research [2019QZKK0502]</t>
  </si>
  <si>
    <t>Second Tibetan Plateau Scientific Expedition and Research</t>
  </si>
  <si>
    <t>The study was funded by The Second Tibetan Plateau Scientific Expedition and Research (No. 2019QZKK0502).</t>
  </si>
  <si>
    <t>1746-4269</t>
  </si>
  <si>
    <t>J ETHNOBIOL ETHNOMED</t>
  </si>
  <si>
    <t>J. Ethnobiol. Ethnomed.</t>
  </si>
  <si>
    <t>NOV 18</t>
  </si>
  <si>
    <t>10.1186/s13002-022-00565-1</t>
  </si>
  <si>
    <t>Biodiversity Conservation; Plant Sciences; Pharmacology &amp; Pharmacy</t>
  </si>
  <si>
    <t>Biodiversity &amp; Conservation; Plant Sciences; Pharmacology &amp; Pharmacy</t>
  </si>
  <si>
    <t>6H2VA</t>
  </si>
  <si>
    <t>WOS:000885302900001</t>
  </si>
  <si>
    <t>Wang, R; Herrera, M; Xu, WJ; Zhang, P; Moreno, JP; Colinas, C; Yu, FQ</t>
  </si>
  <si>
    <t>Wang, Ran; Herrera, Mariana; Xu, Wenjun; Zhang, Peng; Moreno, Jesus Perez; Colinas, Carlos; Yu, Fuqiang</t>
  </si>
  <si>
    <t>Ethnomycological study on wild mushrooms in Pu'er Prefecture, Southwest Yunnan, China</t>
  </si>
  <si>
    <t>Ethnomycology; Fungal diversity; Pu'er; South of the Tropic of Cancer</t>
  </si>
  <si>
    <t>POISONING OUTBREAKS; IDENTIFICATION; CONSERVATION; PHYLOGENY; KNOWLEDGE</t>
  </si>
  <si>
    <t>Background Yunnan is rich in fungal diversity and cultural diversity, but there are few researches on ethnomycology. In addition, extensive utilization of wild edible fungi (WEF), especially the ectomycorrhizal fungi, threatens the fungal diversity. Hence, this study aims to contribute to the ethnomycological knowledge in Pu'er Prefecture, Yunnan, China, including information on the fungal taxa presented in markets and natural habitats, with emphasis in ectomycorrhizal fungi (EMF). Methods Semi-structured interviews with mushroom vendors in markets and with mushroom collectors in natural habitats were conducted. Information related to local names, habitat, fruiting time, species identification, price, cooking methods and preservation methods of wild edible mushrooms were recorded. Wild edible fungi were collected from forests, and morphological and molecular techniques were used to identify fungal species. Results A total of 11 markets were visited during this study. The 101 species collected in the markets belonged to 22 families and 39 genera, and about 76% of them were EMF. A wealth of ethnomycological knowledge was recorded, and we found that participants in the 45-65 age group were able to judge mushroom species more accurately. Additionally, men usually had a deepest mushroom knowledge than women. A total of 283 species, varieties and undescribed species were collected from natural habitats, and about 70% of them were EMF. Mushroom species and recorded amounts showed correspondence between markets and the natural habitats on different months. Conclusion The present study shows that Pu'er Prefecture is rich in local mycological knowledge and fungal diversity. However, it is necessary to continue the research of ethnomycological studies and to design and conduct dissemination of local knowledge in order to preserve it, since it currently remains mainly among the elderly population.</t>
  </si>
  <si>
    <t>[Wang, Ran; Colinas, Carlos] Univ Lleida, Dept Crop &amp; Forest Sci, Av Alcalde Rovira Roure 191, Lleida 25198, Spain; [Wang, Ran; Zhang, Peng; Yu, Fuqiang] Chinese Acad Sci, Kunming Inst Bot, Yunnan Key Lab Fungal Divers &amp; Green Dev, Germplasm Bank Wild Species, 132 Lanhei Rd, Kunming 650201, Yunnan, Peoples R China; [Herrera, Mariana] Chicago Bot Garden, Plant Sci &amp; Conservat, 1000 Lake Cook Rd, Glencoe, IL USA; [Xu, Wenjun] Shinshu Univ, Grad Sch Sci &amp; Technol, Dept Agr, 8304 Minami Minowa, Nagano, Japan; [Moreno, Jesus Perez] Colegio Postgrad, Edafol, Campus Montecillo,Km 36-5 Carr Mexico Texcoco, Texcoco 56230, Estado De Mexic, Mexico; [Colinas, Carlos] Forest Sci Ctr Catalonia CTFC, Crta St Llorenc S-N, Solsona, Spain</t>
  </si>
  <si>
    <t>Universitat de Lleida; Chinese Academy of Sciences; Kunming Institute of Botany, CAS; Shinshu University; Colegio de Postgraduados - Mexico; Centre Tecnologic Forestal de Catalunya (CTFC)</t>
  </si>
  <si>
    <t>Yu, FQ (通讯作者)，Chinese Acad Sci, Kunming Inst Bot, Yunnan Key Lab Fungal Divers &amp; Green Dev, Germplasm Bank Wild Species, 132 Lanhei Rd, Kunming 650201, Yunnan, Peoples R China.</t>
  </si>
  <si>
    <t>fqyu@mail.kib.ac.cn</t>
  </si>
  <si>
    <t>Herrera, Mariana/X-2976-2018</t>
  </si>
  <si>
    <t>Herrera, Mariana/0000-0001-5832-9667</t>
  </si>
  <si>
    <t>International (Regional) Cooperation and Exchange Projects of the National Natural Science Foundation of China [31961143010]; Cross-Cooperative Team of the Germplasm Bank of Wild Species, Kunming Institute of Botany, Chinese Academy of Sciences</t>
  </si>
  <si>
    <t>International (Regional) Cooperation and Exchange Projects of the National Natural Science Foundation of China(National Natural Science Foundation of China (NSFC)); Cross-Cooperative Team of the Germplasm Bank of Wild Species, Kunming Institute of Botany, Chinese Academy of Sciences</t>
  </si>
  <si>
    <t>This work was supported by the International (Regional) Cooperation and Exchange Projects of the National Natural Science Foundation of China (No. 31961143010) and the open research project of the Cross-Cooperative Team of the Germplasm Bank of Wild Species, Kunming Institute of Botany, Chinese Academy of Sciences.</t>
  </si>
  <si>
    <t>AUG 10</t>
  </si>
  <si>
    <t>10.1186/s13002-022-00551-7</t>
  </si>
  <si>
    <t>3R0YB</t>
  </si>
  <si>
    <t>WOS:000838645100001</t>
  </si>
  <si>
    <t>Fan, YX; Cheng, Z; Liu, B; Hu, X; Ali, M; Long, CL</t>
  </si>
  <si>
    <t>Fan, Yanxiao; Cheng, Zhuo; Liu, Bo; Hu, Xian; Ali, Maroof; Long, Chunlin</t>
  </si>
  <si>
    <t>An ethnobiological study on traditional knowledge associated with black-boned sheep (Ovis aries) in Northwest Yunnan, China</t>
  </si>
  <si>
    <t>Black-boned sheep; Genetic resources; Forage plants; Pumi people; Traditional knowledge</t>
  </si>
  <si>
    <t>GENETIC-RESOURCES; ANIMAL HEALTH; FORAGE PLANTS; CONSERVATION; DIVERSITY; LIVESTOCK; CHALLENGES; MANAGEMENT; CATTLE; BREEDS</t>
  </si>
  <si>
    <t>Background Black-boned sheep is a precious genetic resource with black quality traits cultivated by the Pumi people in Tongdian Town, Lanping County, Nujiang Lisu Autonomous Prefecture, Northwest Yunnan, China. It has been included in the National Breed List of Livestock and Poultry Genetic Resources. The local communities have a deep understanding of black-boned sheep. The traditional knowledge of black-boned sheep is essential to their conservation and sustainable development. In spite of this, there was no information on traditional knowledge associated with black-boned sheep so far. The aim of this study wasaimed to document traditional knowledge and culture, to elucidate information about forage plants, and to investigate the conservation strategy of black-boned sheep. Method Four field surveys were conducted from July 2019 to May 2021. A total of seven villages and the Pumi Culture Museum in Lanping County are being investigated. A semi-structured interview method was used to interview 67 key informants. During the investigation, we also participated in the grazing activities of black-boned sheep, observed the appearance characteristics and the herd structure of the black-boned sheep, and demonstrated traditional knowledge regarding black-boned sheep, including grazing methods, forage plants, and related customs and habits. Results We assumed that a majority of people in the current study sites were able to could distinguish black-boned sheep from their relatives by their black bones, blue-green gums, and blue-purple anus. The local people manage their black-boned sheep based on the number of sheep by sex, age, and role in a flock in the different breeding environments. Different grazing strategies have been adopted in different seasons. Through ethnobotanical investigations, 91 species of forage plants in 30 families were identified, including herbaceous, shrubs, lianas, and trees. Among all the plant species consumed by the black-boned sheep, Rosaceae species make up the greatest number, with 16, followed by Asteraceae, with 9, and 8 species of Fabaceae and Poaceae. Considering the abundance of forage plants and the preference for black-boned sheep, Prinsepia utilis and the plants of Rubus, Berberis, and Yushania occupy dominant positions. Plants used for foraging are divided into two categories: wild and cultivated. Due to the lack of forage plants in fall and winter, the local people mainly cultivate crops to feed their black-boned sheep. In addition, the black-boned sheep is an influential cultural species in the local community and plays a prominent role in the cultural identity of the Pumi people. Conclusion Sheep play an essential role in the inheritance of the spiritual culture and material culture of the Pumi ethnic group. The formation of the black-boned sheep is inseparable from the worship of sheep by the Pumi people. With a long-term grazing process, the locals have developed a variety of traditional knowledge related to black-boned sheep. This is the experience that locals have accumulated when managing forests and grasslands. Therefore, both the government and individuals should learn from the local people when it comes to protecting black-boned sheep. No one knows black-boned sheep better than them. The foremost evidence of this is the rich traditional knowledge of breeding black-boned sheep presented by key informants.</t>
  </si>
  <si>
    <t>Fan, Yanxiao</t>
  </si>
  <si>
    <t>[Fan, Yanxiao; Cheng, Zhuo; Liu, Bo; Hu, Xian; Long, Chunlin] Minzu Univ China, Natl Ethn Affairs Commiss, Key Lab Ecol &amp; Environm Minor Areas, Beijing 100081, Peoples R China; [Fan, Yanxiao; Cheng, Zhuo; Liu, Bo; Long, Chunlin] Minzu Univ China, Coll Life &amp; Environm Sci, Beijing 100081, Peoples R China; [Ali, Maroof] Anhui Normal Univ, Coll Life Sci, Wuhu 241000, Peoples R China; [Long, Chunlin] Minzu Univ China, Minist Educ, Key Lab Ethnomed, Beijing 100081, Peoples R China; [Long, Chunlin] Chinese Acad Sci, Kunming Inst Bot, Kunming 650201, Yunnan, Peoples R China</t>
  </si>
  <si>
    <t>Minzu University of China; Anhui Normal University; Chinese Academy of Sciences; Kunming Institute of Botany, CAS</t>
  </si>
  <si>
    <t>Long, CL (通讯作者)，Chinese Acad Sci, Kunming Inst Bot, Kunming 650201, Yunnan, Peoples R China.</t>
  </si>
  <si>
    <t>long@mail.kib.ac.cn</t>
  </si>
  <si>
    <t>Maroof, Ali/U-7451-2019</t>
  </si>
  <si>
    <t>Maroof, Ali/0000-0003-2259-0665</t>
  </si>
  <si>
    <t>National Natural Science Foundation of China [31761143001, 31870316]; Minzu University of China [2020MDJC03]; Biodiversity Survey and Assessment Project of the Ministry of Ecology and Environment of China [2019HJ2096001006]</t>
  </si>
  <si>
    <t>National Natural Science Foundation of China(National Natural Science Foundation of China (NSFC)); Minzu University of China; Biodiversity Survey and Assessment Project of the Ministry of Ecology and Environment of China</t>
  </si>
  <si>
    <t>This research was funded by the National Natural Science Foundation of China (31761143001 and 31870316), the Minzu University of China (2020MDJC03), and the Biodiversity Survey and Assessment Project of the Ministry of Ecology and Environment of China (2019HJ2096001006).</t>
  </si>
  <si>
    <t>10.1186/s13002-022-00537-5</t>
  </si>
  <si>
    <t>1I1BW</t>
  </si>
  <si>
    <t>WOS:000796972600001</t>
  </si>
  <si>
    <t>Guo, CA; Ding, XY; Addi, YW; Zhang, Y; Zhang, XQ; Zhuang, HF; Wang, YH</t>
  </si>
  <si>
    <t>Guo, Chang-An; Ding, Xiao-Yong; Addi, Yi-Won; Zhang, Yu; Zhang, Xiao-Qian; Zhuang, Hui-Fu; Wang, Yu-Hua</t>
  </si>
  <si>
    <t>An ethnobotany survey of wild plants used by the Tibetan people of the Yadong River Valley, Tibet, China</t>
  </si>
  <si>
    <t>Eastern Himalayas; Biodiversity hotspots; Tibetan; Traditional knowledge; Yadong county; Culture exchange</t>
  </si>
  <si>
    <t>MEDICINAL-PLANTS; INDIGENOUS KNOWLEDGE; COMMUNITIES; REGION</t>
  </si>
  <si>
    <t>Introduction Plant resources gathered from the wild are important sources of livelihood needs, especially for low-income populations living in remote areas, who rely on these plants for food, fuelwood, medicine and building materials. Yadong County is a valley at the border between the China, India and Bhutan in southern Tibet. Yadong is rich in biodiversity and culture, but ethnobotanical knowledge has not been systematically studied. This study aimed to document the ethnobotanical knowledge of Tibetans in Yadong County. Methods Ethnobotanical data were documented through free listings, key informant interviews, and semi-structured interviews during fieldwork. The culture importance index (CI) and informant consensus factor index (FIC) were used as the quantitative indices. Results In total, 163 informants (46 women and 117 men). A total of 3,031 use reports and 121 plant species belonging to 52 families and 91 genera were included. These use reports were then classified into 20 categories belonging to 9 major categories. The utilisation category that containing the most plant species was food, followed by economic, medicine, animal feed, social uses, other uses, environmental uses, materials and fuels. Among the economic plants, 32 medicinal plants are traditionally used in the local region. Plants with high CI included Fritillaria cirrhosa, Neopicrorhiza scrophulariiflora, Betula utilis, Rheum nobile, and Urtica hyperborean. Conclusion This research demonstrates the diversity of the types and functions of Yadong Tibetan traditional plant knowledge. Knowledge of edible and medicinal plants in this area is prominent, reflecting the ability to cope with the lack of fruits and vegetables and basic family medical care. There were exchanges between the traditional plant culture in the study area and its surroundings. With socioeconomic development, the commercial value of medicinal plants has increased, and locals are also seeking ways to adoptsustainable development to cope with the excessive consumption of plant resources.</t>
  </si>
  <si>
    <t>[Guo, Chang-An; Ding, Xiao-Yong; Addi, Yi-Won; Zhang, Yu; Zhang, Xiao-Qian; Zhuang, Hui-Fu; Wang, Yu-Hua] Chinese Acad Sci, Kunming Inst Bot, Yunnan Key Lab Wild Plant Resources, 132 Lanhei Rd, Kunming 650201, Yunnan, Peoples R China; [Guo, Chang-An; Ding, Xiao-Yong; Addi, Yi-Won; Zhang, Xiao-Qian] Univ Chinese Acad Sci, Beijing, Peoples R China</t>
  </si>
  <si>
    <t>Wang, YH (通讯作者)，Chinese Acad Sci, Kunming Inst Bot, Yunnan Key Lab Wild Plant Resources, 132 Lanhei Rd, Kunming 650201, Yunnan, Peoples R China.</t>
  </si>
  <si>
    <t>The Second Tibetan Plateau Scientific Expedition and Research [2019QZKK0502]</t>
  </si>
  <si>
    <t>The Second Tibetan Plateau Scientific Expedition and Research</t>
  </si>
  <si>
    <t>MAR 31</t>
  </si>
  <si>
    <t>10.1186/s13002-022-00518-8</t>
  </si>
  <si>
    <t>0K7EX</t>
  </si>
  <si>
    <t>WOS:000780954000001</t>
  </si>
  <si>
    <t>He, JW; Peng, LP; Li, W; Luo, J; Li, Q; Zeng, HY; Ali, M; Long, CL</t>
  </si>
  <si>
    <t>He, Jianwu; Peng, Liping; Li, Wei; Luo, Jin; Li, Qiang; Zeng, Hanyong; Ali, Maroof; Long, Chunlin</t>
  </si>
  <si>
    <t>Traditional knowledge of edible plants used as flavoring for fish-grilling in Southeast Guizhou, China</t>
  </si>
  <si>
    <t>Edible plants; Traditional knowledge; Traditional agroecosystem; Ecosystem services</t>
  </si>
  <si>
    <t>FOREST</t>
  </si>
  <si>
    <t>Background The local Dong people in Qiandongnan Prefecture, Guizhou Province, China, with rich biocultural diversity, have developed the traditional rice-duckweed-fish-duck agroecosystem (RDFDA) to support biodiversity conservation and to meet food and cultural needs. However, there is still not much research on traditional ecological knowledge (TEK) in this area. In particular, there is a lack of traditional knowledge of edible plants used by the Dong people as flavoring to grill fish (Cyprinus carpio) collected from RDFDA, which is extremely valuable in their traditional culture. The study focused on documenting plant species used in grilling fish and analyzing the status of its TEK. Methods Twenty-one sampling points of three Dong minority villages in Qiandongnan were selected for the research. The local TEK associated with plant resources for fish-grilling was recorded through free listing and semi-structured interviews. Fidelity level (FL) and ethnoecological importance value (EIV) indicators were designed to determine the socioeconomic influence of TEK. The non-metric multidimensional scaling (NMDS) method was used to evaluate the differentiation of edible plant species distribution in dissimilar accessibility types. Results A total of 430 people were interviewed about grilled fish, of whom 75% were men and 85% were farmers. Thirty-four edible plants were documented for fish-grilling in three Dong villages. They belong to 16 plant families, such as Apiaceae, and Asteraceae. The life forms included herbaceous (76%), shrubs (18%) and trees (6%). Leaves are the most commonly used part of for grilling fish, followed by aerial parts, and whole plants. Among these edible plants, Allium hookeri, A. macrostemon and Houttuynia cordata with the highest fidelity level (100%) were cited as edible plants for grilling fish by all informants. The NMDS showed different accessibility types of collection sites, with different importance values. Paddy rice field edge (2.03) has the highest value, followed by forest-farming ecotone (1.74), streamsides (1.71) and woodland (0.48). Conclusion The purpose of this study was to investigate the traditional knowledge of edible plant materials used by the Dong people for grilling fish. The results demonstrate the strong connection between local people, the bio-environment and agroecosystem services. The survey and comparative analysis revealed that plant species with high FL values may be potential sources of natural flavors.</t>
  </si>
  <si>
    <t>He, Jianwu</t>
  </si>
  <si>
    <t>[He, Jianwu; Long, Chunlin] Minzu Univ China, Coll Life &amp; Environm Sci, Beijing 100081, Peoples R China; [He, Jianwu; Luo, Jin; Li, Qiang] Jishou Univ, Coll Biol &amp; Environm Sci, Jishou 416000, Hunan, Peoples R China; [Peng, Liping] Jishou Univ, Coll Math &amp; Stat, Jishou 416000, Hunan, Peoples R China; [Li, Wei] Hunan Univ Arts &amp; Sci, Coll Geog &amp; Tourism, Changde 415000, Hunan, Peoples R China; [Ali, Maroof] Anhui Normal Univ, Coll Life Sci, Wuhu 241000, Peoples R China; [Long, Chunlin] Minzu Univ China, Key Lab Ecol &amp; Environm Minor Areas, Natl Ethn Affairs Commiss, Beijing 100081, Peoples R China; [Long, Chunlin] Minzu Univ China, Key Labora Ethnomed, Minist Educ, Beijing 100081, Peoples R China; [Long, Chunlin] Chinese Acad Sci, Kunming Inst Bot, Kunming 650201, Yunnan, Peoples R China</t>
  </si>
  <si>
    <t>Minzu University of China; Jishou University; Jishou University; Hunan University of Arts &amp; Science; Anhui Normal University; Chinese Academy of Sciences; Kunming Institute of Botany, CAS</t>
  </si>
  <si>
    <t>Long, CL (通讯作者)，Minzu Univ China, Coll Life &amp; Environm Sci, Beijing 100081, Peoples R China.</t>
  </si>
  <si>
    <t>National Natural Science Foundation of China [31761143001, 31870316, 42001200, 31560088]; Minzu University of China [2020MDJC03]; Foundation of Hunan Provincial Science and Technology Department [2020SK2028]</t>
  </si>
  <si>
    <t>National Natural Science Foundation of China(National Natural Science Foundation of China (NSFC)); Minzu University of China; Foundation of Hunan Provincial Science and Technology Department</t>
  </si>
  <si>
    <t>This study was financed by the National Natural Science Foundation of China (31761143001, 31870316, 42001200 &amp; 31560088), Minzu University of China (2020MDJC03), and the Foundation of Hunan Provincial Science and Technology Department (2020SK2028).</t>
  </si>
  <si>
    <t>10.1186/s13002-022-00519-7</t>
  </si>
  <si>
    <t>ZV6ES</t>
  </si>
  <si>
    <t>WOS:000770621700001</t>
  </si>
  <si>
    <t>Addi, YW; Zhang, Y; Ding, XY; Guo, CA; Wang, YH</t>
  </si>
  <si>
    <t>Addi, Yi-Won; Zhang, Yu; Ding, Xiao-Yong; Guo, Chang-An; Wang, Yu-Hua</t>
  </si>
  <si>
    <t>A study of the plant folk nomenclature of the Yi people in Xiaoliangshan, Yunnan Province, China, and the implications for protecting biodiversity</t>
  </si>
  <si>
    <t>Ethnobotany; Yi people; Xiaoliangshan; Indigenous botanical nomenclature</t>
  </si>
  <si>
    <t>CLASSIFICATION; DIVERSITY</t>
  </si>
  <si>
    <t>Background: Folk plant nomenclature is a part of knowledge of indigenous people often used to distinguish plant species. This study aimed to document the folk botanical nomenclature of the Yi people in Xiaoliangshan, Yunnan Province, which has not been systematically investigated to date. The results of this study will assist in conserving biodiversity and the language of the Yi people and will promote the transmission of ethnobotanical knowledge. Methods: An ethnobotanical survey of plants used by the Yi people in Xiaoliangshan, Yunnan Province, was conducted from September 2019 to August 2021. Semi-structured interviews and key informant interviews were conducted to collect and document ethnobotanical information, which was then used to analyse the folk botanical nomenclature of the Yi people. In addition, the folk names of plants used by the Xiaoliangshan Yi community were compared with those of the Yi people living in the Daliangshan, where the environment is considerably different. Results: In this study, 266 informants were interviewed, and the names of 228 indigenous plants were extracted from 3088 use reports. The nomenclature used by the local Yi people is based on plant characteristics, plant habitat, plant use, and the local culture. By comparing the folk plant names of the Yi people in Xiaoliangshan with those of the Yi people in Daliangshan, we found that the plant names of the two places have some similarities and also with their own unique characters. The important folk plant names of the Yi people in Xiaoliangshan usually have a monosyllable non-binomial structure or have and divine attributes in their names. Conclusions: The Yi people in Xiaoliangshan have a rich and diverse knowledge of plant naming determined by cultural, and environmental factors. The botanical nomenclature of the Yi people has distinct rules and characteristics, and the plant naming directly includes important plants that they believe to be used and protected, which is of great significance to the protection of biodiversity.</t>
  </si>
  <si>
    <t>Addi, Yi-Won</t>
  </si>
  <si>
    <t>[Addi, Yi-Won; Zhang, Yu; Ding, Xiao-Yong; Guo, Chang-An; Wang, Yu-Hua] Chinese Acad Sci, Kunming Inst Bot, Yunnan Key Lab Wild Plant Resources, 132 Lanhei Rd, Kunming 650201, Yunnan, Peoples R China; [Addi, Yi-Won; Ding, Xiao-Yong; Guo, Chang-An] Univ Chinese Acad Sci, Beijing, Peoples R China</t>
  </si>
  <si>
    <t>Wang, Yuhua/GLR-0968-2022; Addi, Yi-Won/AGO-2099-2022</t>
  </si>
  <si>
    <t xml:space="preserve">Wang, Yuhua/0000-0001-7749-000X; </t>
  </si>
  <si>
    <t>The study was funded by the Second Tibetan Plateau Scientific Expedition and Research (No. 2019QZKK0502).</t>
  </si>
  <si>
    <t>10.1186/s13002-022-00504-0</t>
  </si>
  <si>
    <t>ZT9FE</t>
  </si>
  <si>
    <t>Green Submitted, gold, Green Published</t>
  </si>
  <si>
    <t>WOS:000769453500002</t>
  </si>
  <si>
    <t>Ding, XY; Guo, CA; Hu, HB; Wang, YH</t>
  </si>
  <si>
    <t>Ding, Xiao-Yong; Guo, Chang-An; Hu, Hua-Bin; Wang, Yu-Hua</t>
  </si>
  <si>
    <t>Plants for making wooden bowls and related traditional knowledge in the Gyirong Valley, Tibet, China</t>
  </si>
  <si>
    <t>Tibetan; Traditional handicraft; Wooden bowl; Ethnobotany; Governance</t>
  </si>
  <si>
    <t>Background The wooden bowl is an important symbol of the Tibetan cultures, yet, in China, little has been documented regarding the raw materials used to make these items as well as their cultural significance in Tibet. This study explores the ethnobotanical uses of plants used to make wooden bowls to understand their sustainability, cultural significance, and current status of related traditional knowledge in Gyirong Town, which is one of the most famous places for wooden bowl making. Materials and methods Between 2019 and 2021, key informant interviews, semi-structured interviews, and participatory observations were used to conduct ethnobotanical field surveys in Gyirong Valley. The field work was performed with the assistance of local guides. In this study, we utilized a use-report (UR) to reflect the number of mentions of a species by locals. Results Our results show that 16 different plants are used during the wooden bowl making process, of which nine are used as raw materials, three for dyeing, and four for varnishing. Although communities rely heavily on these plants, good management and collection methods were observed. We also documented the use of Fallopia denticulata as a red dye and four species of Impatiens as wood varnishes for the first time. Conclusion The wooden bowl craftsmen and their housewives have a wealth of traditional knowledge of using plants to make wooden bowls in Gyirong Town. And the wooden bowls are now also offering benefits to the locals as well. The government and local people are committed to the protection and development of traditional knowledge related to wooden bowls, and this knowledge maintains a healthy degree of vitality. This research can provide insights into the vitality of traditional handicrafts that are facing challenges and promote their protection.</t>
  </si>
  <si>
    <t>Ding, Xiao-Yong</t>
  </si>
  <si>
    <t>[Ding, Xiao-Yong; Guo, Chang-An; Wang, Yu-Hua] Chinese Acad Sci, Kunming Inst Bot, Yunnan Key Lab Wild Plant Resources, Kunming, Yunnan, Peoples R China; [Ding, Xiao-Yong; Guo, Chang-An] Univ Chinese Acad Sci, Beijing, Peoples R China; [Hu, Hua-Bin] Chinese Acad Sci, CAS Key Lab Trop Plant Resources &amp; Sustainable Us, Xishuangbanna Trop Bot Garden, Mengla 666303, Yunnan, Peoples R China</t>
  </si>
  <si>
    <t>Chinese Academy of Sciences; Kunming Institute of Botany, CAS; Chinese Academy of Sciences; University of Chinese Academy of Sciences, CAS; Chinese Academy of Sciences; Xishuangbanna Tropical Botanical Garden, CAS</t>
  </si>
  <si>
    <t>Wang, YH (通讯作者)，Chinese Acad Sci, Kunming Inst Bot, Yunnan Key Lab Wild Plant Resources, Kunming, Yunnan, Peoples R China.</t>
  </si>
  <si>
    <t>MAR 10</t>
  </si>
  <si>
    <t>10.1186/s13002-022-00514-y</t>
  </si>
  <si>
    <t>ZQ6KV</t>
  </si>
  <si>
    <t>WOS:000767212500001</t>
  </si>
  <si>
    <t>Cheng, Z; Lu, XP; Lin, FK; Naeem, A; Long, CL</t>
  </si>
  <si>
    <t>Cheng, Zhuo; Lu, Xiaoping; Lin, Fengke; Naeem, Abid; Long, Chunlin</t>
  </si>
  <si>
    <t>Ethnobotanical study on wild edible plants used by Dulong people in northwestern Yunnan, China</t>
  </si>
  <si>
    <t>Dulong people; Dulongjiang area; Ethnobotany; Wild edible plants; Traditional knowledge</t>
  </si>
  <si>
    <t>WESTERN YUNNAN; FOOD PLANTS; CONSERVATION; DIVERSITY; ETHNOPHARMACOLOGY; XISHUANGBANNA; KNOWLEDGE; NUTRITION; RELATIVES; AREA</t>
  </si>
  <si>
    <t>Background Dulong (Drung people) are one of the ethnic minorities of China, consisting of a small population living in remote and mountainous regions with limited facilities. Over the years, the Dulong have maintained their livelihood by collecting wild medicinal and edible plants. Therefore, through their experience and understanding, they had accumulated sufficient traditional knowledge about local plant resources. Since ancient times, wild edible plants have been essential to the food security of the Dulong people. However, there is almost no comprehensive report available on WEPs consumed by the Dulong people. The objectives of this study were to: (1) make a systematic study of WEPs used by Dulong people, (2) record traditional knowledge related to WEPs, (3) analyze multiple uses of WEPs, and (4) evaluate species with significant cultural significance to Dulong people. Methods Ethnobotanical survey including free listing, semi-structured interviews, key informant interviews and participatory observations was conducted in Dulongjiang Township, Gongshan County, Yunnan Province, Southwest China. A total of 127 informants were selected using the snowball method and information about WEPs, including vernacular name, food categories, parts used, mode of consumption, collection season, and other local uses were collected. The RFC and CFSI were calculated to identify the most culturally significant WEPs. One-way analysis of variance was performed to evaluate whether the four reference variables (gender, age, occupation, and education) significantly influenced the number of plant species mentioned by the respondents. Results and discussion A total of 148 species of WEPs consumed by the Dulong people belonging to 58 families were collected, including wild vegetables (71), wild fruits (52), staple food substitutes (15), spices (7), nuts (4), tea substitute (2), liquor making materials (3) oils and fats (3), and culinary coagulants (1). WEPs are used in a number of different ways, including as fuelwood, feed, and medicine. Food substitute plants accounted for the majority of the top 27 wild food plants identified by RFC and CFSI. It was observed that farmers have more knowledge of WEPs, and moderate education level informants reported less WEPs used. Conclusion The WEPs used by the Dulong people are diverse and abundant in the Dulongjiang region. In the future, WEPs such as Maianthemum atropurpureum, Caryota obtusa, Cardiocrinum giganteum, and Angiopteris esculenta with economic potential can be developed to provide a source of income for the residents. More studies of the nutritional value, chemical composition, and biological activities of WEPs are needed. The demands and development of local communities can be realized under the premise of protecting WEPs and the associated traditional knowledge. More attention should be paid to the value of WEP and underutilized plants during future rural development.</t>
  </si>
  <si>
    <t>Cheng, Zhuo</t>
  </si>
  <si>
    <t>[Cheng, Zhuo; Lu, Xiaoping; Lin, Fengke; Long, Chunlin] Minzu Univ China, Natl Ethn Affairs Commiss China, Key Lab Ecol &amp; Environm Minor Areas, Beijing 100081, Peoples R China; [Cheng, Zhuo; Lu, Xiaoping; Lin, Fengke; Long, Chunlin] Minzu Univ China, Coll Life &amp; Environm Sci, Beijing 100081, Peoples R China; [Cheng, Zhuo; Lu, Xiaoping; Lin, Fengke; Long, Chunlin] Minzu Univ China, Minist Educ, Key Lab Ethnomed, Beijing 100081, Peoples R China; [Naeem, Abid] Jiangxi Univ Tradit Chinese Med, Key Lab Modern Preparat Tradit Chinese Med, Minist Educ, Nanchang 330006, Jiangxi, Peoples R China; [Long, Chunlin] Chinese Acad Sci, Kunming Inst Bot, Kunming 650201, Yunnan, Peoples R China</t>
  </si>
  <si>
    <t>Minzu University of China; Jiangxi University of Traditional Chinese Medicine; Chinese Academy of Sciences; Kunming Institute of Botany, CAS</t>
  </si>
  <si>
    <t>Long, CL (通讯作者)，Minzu Univ China, Natl Ethn Affairs Commiss China, Key Lab Ecol &amp; Environm Minor Areas, Beijing 100081, Peoples R China.;Long, CL (通讯作者)，Minzu Univ China, Coll Life &amp; Environm Sci, Beijing 100081, Peoples R China.;Long, CL (通讯作者)，Minzu Univ China, Minist Educ, Key Lab Ethnomed, Beijing 100081, Peoples R China.;Long, CL (通讯作者)，Chinese Acad Sci, Kunming Inst Bot, Kunming 650201, Yunnan, Peoples R China.</t>
  </si>
  <si>
    <t>Long, Chunlin/0000-0002-6573-6049</t>
  </si>
  <si>
    <t>Biodiversity Survey and Assessment Project of the Ministry of Ecology and Environment of China [2019HJ2096001006]; National Natural Science Foundation of China [31761143001, 31870316]; Minzu University of China [2020MDJC03]; Key Laboratory of Ethnomedicine (Minzu University of China) of Ministry of Education of China [KLEM-ZZ201904, KLEM-ZZ201906, JSYY-20190101-043]</t>
  </si>
  <si>
    <t>Biodiversity Survey and Assessment Project of the Ministry of Ecology and Environment of China; National Natural Science Foundation of China(National Natural Science Foundation of China (NSFC)); Minzu University of China; Key Laboratory of Ethnomedicine (Minzu University of China) of Ministry of Education of China</t>
  </si>
  <si>
    <t>This work was supported by grants from the Biodiversity Survey and Assessment Project of the Ministry of Ecology and Environment of China (2019HJ2096001006), National Natural Science Foundation of China (31761143001 and 31870316), Minzu University of China (2020MDJC03), Key Laboratory of Ethnomedicine (Minzu University of China) of Ministry of Education of China (KLEM-ZZ201904 and KLEM-ZZ201906), and Jiansheng Fresh Herb Medicine R&amp;D Foundation (JSYY-20190101-043).</t>
  </si>
  <si>
    <t>10.1186/s13002-022-00501-3</t>
  </si>
  <si>
    <t>YK9GE</t>
  </si>
  <si>
    <t>WOS:000745511400001</t>
  </si>
  <si>
    <t>Xu, YL; Shen, HH; Du, XY; Lu, L</t>
  </si>
  <si>
    <t>Xu, Yan-Ling; Shen, Hao-Hua; Du, Xin-Yu; Lu, Lu</t>
  </si>
  <si>
    <t>Plastome characteristics and species identification of Chinese medicinal wintergreens (Gaultheria, Ericaceae)</t>
  </si>
  <si>
    <t>PLANT DIVERSITY</t>
  </si>
  <si>
    <t>DNA barcodes; Gene duplication; Plastome; Repeat sequences; Structural variation</t>
  </si>
  <si>
    <t>CHLOROPLAST GENOME; PHYLOGENETIC ANALYSIS; INVERTED REPEAT; EVOLUTION; SEQUENCE; DNA; SOFTWARE; INSIGHTS; REARRANGEMENTS; ORGANIZATION</t>
  </si>
  <si>
    <t>Wintergreen oil is a folk medicine widely used in foods, pesticides, cosmetics and drugs. In China, nine out of 47 species within Gaultheria (Ericaceae) are traditionally used as Chinese medicinal wintergreens; however, phylogenetic approaches currently used to discriminating these species remain unsatisfactory. In this study, we sequenced and characterized plastomes from nine Chinese wintergreen species and identified candidate DNA barcoding regions for Gaultheria. Each Gaultheria plastome contained 110 unique genes (76 protein-coding, 30 tRNA, and four rRNA genes). Duplication of trnfM, rps14, and rpl23 genes were detected, while all plastomes lacked ycf1 and ycf2 genes. Gaultheria plastomes shared substantially contracted SSC regions that contained only the ndhF gene. Moreover, plastomes of Gaultheria leucocarpa var. yunnanensis contained an inversion in the LSC region and an IR expansion to cover the ndhF gene. Multiple rearrangement events apparently occurred between the Gaultheria plastomes and those from several previously reported families in Ericales. Our phylogenetic reconstruction using 42 plastomes revealed well-supported relationships within all nine Gaultheria species. Additionally, seven mutational hotspot regions were identified as potential DNA barcodes for Chinese medicinal wintergreens. Our study is the first to generate complete plastomes and describe the structural variations of the complicated genus Gaultheria. In addition, our findings provide important resources for identification of Chinese medicinal wintergreens. Copyright (c) 2022 Kunming Institute of Botany, Chinese Academy of Sciences. Publishing services by Elsevier B.V. on behalf of KeAi Communications Co., Ltd. This is an open access article under the CC BYNC-ND license (http://creativecommons.org/licenses/by-nc-nd/4.0/).</t>
  </si>
  <si>
    <t>Xu, Yan-Ling</t>
  </si>
  <si>
    <t>[Xu, Yan-Ling; Shen, Hao-Hua; Lu, Lu] Kunming Med Univ, Sch Pharmaceut Sci, Kunming, Yunnan, Peoples R China; [Xu, Yan-Ling; Shen, Hao-Hua; Lu, Lu] Kunming Med Univ, Yunnan Key Lab Pharmacol Nat Prod, Kunming, Yunnan, Peoples R China; [Du, Xin-Yu] Chinese Acad Sci, Kunming Inst Bot, Germplasm Bank Wild Species, Kunming, Yunnan, Peoples R China</t>
  </si>
  <si>
    <t>Kunming Medical University; Kunming Medical University; Chinese Academy of Sciences; Kunming Institute of Botany, CAS</t>
  </si>
  <si>
    <t>Lu, L (通讯作者)，Kunming Med Univ, Sch Pharmaceut Sci, Kunming, Yunnan, Peoples R China.;Lu, L (通讯作者)，Kunming Med Univ, Yunnan Key Lab Pharmacol Nat Prod, Kunming, Yunnan, Peoples R China.;Du, XY (通讯作者)，Chinese Acad Sci, Kunming Inst Bot, Germplasm Bank Wild Species, Kunming, Yunnan, Peoples R China.</t>
  </si>
  <si>
    <t>duxinyu@mail.kib.ac.cn; lulukmu@163.com</t>
  </si>
  <si>
    <t>Du, Xinyu/0000-0002-5721-7812; Xu, Yan-Ling/0000-0001-7396-8459</t>
  </si>
  <si>
    <t>National Natural Science Foundation of China [31960080, 41671052, 42175139]; Reserve Talents of Young and Middle-aged Academic and Technical Leaders in Yunnan province [202005AC160020]; Program Innovative Research Team in Science and Technology in Yunnan Province [202005AE160004]</t>
  </si>
  <si>
    <t>National Natural Science Foundation of China(National Natural Science Foundation of China (NSFC)); Reserve Talents of Young and Middle-aged Academic and Technical Leaders in Yunnan province; Program Innovative Research Team in Science and Technology in Yunnan Province</t>
  </si>
  <si>
    <t>We thank the Germplasm Bank of Wild Species at the Kunming Institute of Botany for skillful laboratory assistance; we are grateful to Liang-Xin Gao and Zheng-Yu Zuo for the help of DNA extraction, PCR, and Sanger sequencing works to validate some repeat regions. This research was co-supported by the National Natural Science Foundation of China (31960080, 41671052 and 42175139), the Reserve Talents of Young and Middle-aged Academic and Technical Leaders in Yunnan province (202005AC160020), and the Program Innovative Research Team in Science and Technology in Yunnan Province (202005AE160004).</t>
  </si>
  <si>
    <t>2096-2703</t>
  </si>
  <si>
    <t>2468-2659</t>
  </si>
  <si>
    <t>Plant Diversity</t>
  </si>
  <si>
    <t>10.1016/j.pld.2022.06.002</t>
  </si>
  <si>
    <t>http://dx.doi.org/10.1016/j.pld.2022.06.002</t>
  </si>
  <si>
    <t>9D0XT</t>
  </si>
  <si>
    <t>WOS:000935830000001</t>
  </si>
  <si>
    <t>Ao, YS; Chang, YH; Liu, DT; Liu, YB; Ma, YP</t>
  </si>
  <si>
    <t>Ao, Yi-Shan; Chang, Yu-Hang; Liu, De-Tuan; Liu, Yong-Bo; Ma, Yong-Peng</t>
  </si>
  <si>
    <t>Does the critically endangered Rhododendron amesiae deserve top priority for conservation?</t>
  </si>
  <si>
    <t>Ao, Yi-Shan</t>
  </si>
  <si>
    <t>[Ao, Yi-Shan; Chang, Yu-Hang; Liu, De-Tuan; Ma, Yong-Peng] Chinese Acad Sci, Kunming Inst Bot, Yunnan Key Lab Integrat Conservat Plant Species Ex, Kunming 650201, Peoples R China; [Ao, Yi-Shan; Chang, Yu-Hang; Liu, De-Tuan] Univ Chinese Acad Sci, Beijing 100049, Peoples R China; [Liu, Yong-Bo] Chinese Res Inst Environm Sci, State Key Lab Environm Criteria &amp; Risk Assessment, Beijing 100012, Peoples R China</t>
  </si>
  <si>
    <t>Chinese Academy of Sciences; Kunming Institute of Botany, CAS; Chinese Academy of Sciences; University of Chinese Academy of Sciences, CAS; Chinese Research Academy of Environmental Sciences</t>
  </si>
  <si>
    <t>Ma, YP (通讯作者)，Chinese Acad Sci, Kunming Inst Bot, Yunnan Key Lab Integrat Conservat Plant Species Ex, Kunming 650201, Peoples R China.;Liu, YB (通讯作者)，Chinese Res Inst Environm Sci, State Key Lab Environm Criteria &amp; Risk Assessment, Beijing 100012, Peoples R China.</t>
  </si>
  <si>
    <t>liuyb@craes.org.cn; mayongpeng@mail.kib.ac.cn</t>
  </si>
  <si>
    <t>Biodiversity Survey and Assessment Project of the Ministry of Ecol-ogy and Environment, China [2019HJ2096001006]; CAS Light of West China Program; Ten Thousand Talent Program of Yunnan Province [YNWR-QNBJ-2018-174]</t>
  </si>
  <si>
    <t>Biodiversity Survey and Assessment Project of the Ministry of Ecol-ogy and Environment, China; CAS Light of West China Program; Ten Thousand Talent Program of Yunnan Province</t>
  </si>
  <si>
    <t>Thanks to Dr. Jane Marczewski from University of Edinburgh for many constructive suggestions. This study was supported by the Biodiversity Survey and Assessment Project of the Ministry of Ecology and Environment, China (2019HJ2096001006) , CAS Light of West China Program (to Y. Ma) , and the Ten Thousand Talent Program of Yunnan Province (YNWR-QNBJ-2018-174) .</t>
  </si>
  <si>
    <t>10.1016/j.pld.2022.09.005</t>
  </si>
  <si>
    <t>7F4TB</t>
  </si>
  <si>
    <t>WOS:000901840900001</t>
  </si>
  <si>
    <t>Wambulwa, MC; Fan, PZ; Milne, R; Wu, ZY; Luo, YH; Wang, YH; Wang, H; Gao, LM; Xiahou, ZY; Jin, YC; Ye, LJ; Xu, ZC; Yang, ZC; Li, DZ; Liu, J</t>
  </si>
  <si>
    <t>Wambulwa, Moses C.; Fan, Peng-Zhen; Milne, Richard; Wu, Zeng-Yuan; Luo, Ya-Huang; Wang, Yue-Hua; Wang, Hong; Gao, Lian-Ming; Xiahou, Zuo-Ying; Jin, Ye-Chuan; Ye, Lin-Jiang; Xu, Zu-Chang; Yang, Zhi-Chun; Li, De-Zhu; Liu, Jie</t>
  </si>
  <si>
    <t>Genetic analysis of walnut cultivars from southwest China: Implications for germplasm improvement</t>
  </si>
  <si>
    <t>Cultivars; Genetic diversity; Juglans sigillata; Southwest China; Walnut</t>
  </si>
  <si>
    <t>JUGLANS-REGIA L.; CROP YEAR; DIVERSITY; FOREST; WILD; IDENTIFICATION; DOMESTICATION; JUGLANDACEAE; POPULATIONS; SOFTWARE</t>
  </si>
  <si>
    <t>Walnuts are highly valued for their rich nutritional profile and wide medicinal applications. This demand has led to the intensification of breeding activities in major walnut production areas such as southwest China, in order to develop more superior cultivars. With the increasing number of cultivars, accurate identification becomes fundamental to selecting the right cultivar for grafting, industrial processing or development of new cultivars. To ensure proper identification of cultivars and understand the genetic structure of wild and cultivated material, we genotyped 362 cultivated and wild individuals of walnut trees from southwest China (with two additional populations from Xinjiang, plus three cultivars from Canada, France and Belgium) using 36 polymorphic microsatellite loci. We found relatively low indices of genetic diversity (HO = 0.570, HE = 0.404, NA = 2.345) as well as a high level of clonality (&gt;85% of cultivars), indicating reliance on genetically narrow sources of parental material for breeding. Our STRUCTURE and PCoA analyses generally delineated the two species, though considerable levels of introgression were also evident. More significantly, we detected a distinct genetic group of cultivated Juglans sigillata, which mainly comprised individuals of the popular 'Yangbidapao' landrace. Finally, a core set of 18 SSR loci was selected, which was capable of identifying 32 cultivars. In a nutshell, our results call for more utilization of genetically disparate material, including wild walnut trees, as parental sources to breed for more cultivars. The data reported herein will significantly contribute towards the genetic improvement and conservation of the walnut germplasm in southwest China.Copyright (c) 2021 Kunming Institute of Botany, Chinese Academy of Sciences. Publishing services by Elsevier B.V. on behalf of KeAi Communications Co. Ltd. This is an open access article under the CC BY-NC-ND license (http://creativecommons.org/licenses/by-nc-nd/4.0/).</t>
  </si>
  <si>
    <t>[Wambulwa, Moses C.; Fan, Peng-Zhen; Luo, Ya-Huang; Wang, Hong; Gao, Lian-Ming; Ye, Lin-Jiang; Li, De-Zhu; Liu, Jie] Chinese Acad Sci, Kunming Inst Bot, CAS Key Lab Plant Divers &amp; Biogeog East Asia, Kunming 650201, Yunnan, Peoples R China; [Wambulwa, Moses C.; Fan, Peng-Zhen; Wu, Zeng-Yuan; Luo, Ya-Huang; Xiahou, Zuo-Ying; Xu, Zu-Chang; Li, De-Zhu; Liu, Jie] Chinese Acad Sci, Kunming Inst Bot, Germplasm Bank Wild Species, Kunming 650201, Yunnan, Peoples R China; [Wambulwa, Moses C.; Fan, Peng-Zhen] South Eastern Kenya Univ, Dept Life Sci, Kitui 17090200, Kenya; [Fan, Peng-Zhen] Univ Chinese Acad Sci, Beijing 100049, Peoples R China; [Milne, Richard] Univ Edinburgh, Inst Mol Plant Sci, Sch Biol Sci, Edinburgh, Scotland; [Wang, Yue-Hua; Jin, Ye-Chuan] Yunnan Univ, Sch Sch Ecol &amp; Environm Sci, Kunming 650091, Yunnan, Peoples R China; [Yang, Zhi-Chun] Yangbi Forestry &amp; Grassland Adm, Dali 672500, Yunnan, Peoples R China</t>
  </si>
  <si>
    <t>Chinese Academy of Sciences; Kunming Institute of Botany, CAS; Chinese Academy of Sciences; Kunming Institute of Botany, CAS; Chinese Academy of Sciences; University of Chinese Academy of Sciences, CAS; University of Edinburgh; Yunnan University</t>
  </si>
  <si>
    <t>Li, DZ; Liu, J (通讯作者)，Chinese Acad Sci, Kunming Inst Bot, CAS Key Lab Plant Divers &amp; Biogeog East Asia, Kunming 650201, Yunnan, Peoples R China.;Li, DZ; Liu, J (通讯作者)，Chinese Acad Sci, Kunming Inst Bot, Germplasm Bank Wild Species, Kunming 650201, Yunnan, Peoples R China.</t>
  </si>
  <si>
    <t>National Natural Science Foundation of China [31770367, 41971071]; Top-notch Young Tal-ents Project of Yunnan Provincial Ten Thousand Talents Program( [YNWR-QNBJ-2018-146]; Key Research Program of Frontier Sciences, CAS [ZDBS-LY-7001]; Natural Science Foundation of Yunnan [2017FB027]; CAS'YouthInnovation Promotion Association [2019385]; Biological Re-sources Program, Chinese Academy of Sciences [KFJ-BRP-017-XX]; Postdoctoral International Exchange Program of the Office of China Postdoctoral Council; Postdoctoral Research Fund ofYunnan Province</t>
  </si>
  <si>
    <t>National Natural Science Foundation of China(National Natural Science Foundation of China (NSFC)); Top-notch Young Tal-ents Project of Yunnan Provincial Ten Thousand Talents Program(; Key Research Program of Frontier Sciences, CAS; Natural Science Foundation of Yunnan(Natural Science Foundation of Yunnan Province); CAS'YouthInnovation Promotion Association; Biological Re-sources Program, Chinese Academy of Sciences; Postdoctoral International Exchange Program of the Office of China Postdoctoral Council; Postdoctoral Research Fund ofYunnan Province</t>
  </si>
  <si>
    <t>This research was funded by the National Natural Science Foundation of China (31770367, 41971071), Top-notch Young Tal-ents Project of Yunnan ProvincialTen Thousand Talents Program(YNWR-QNBJ-2018-146), the Key Research Program of FrontierSciences, CAS (ZDBS-LY-7001), and Natural Science Foundation ofYunnan (2017FB027). Zeng-Yuan Wu was supported by CAS'YouthInnovation Promotion Association (2019385), the Biological Resources Program, Chinese Academy of Sciences (KFJ-BRP-017-XX).Moses Wambulwa was supported by the Postdoctoral International Exchange Program of the Office of China Postdoctoral Council, thePostdoctoral Targeted Funding and Postdoctoral Research Fund ofYunnan Province. Molecular experiments were performed at theLaboratory of Molecular Biology at the Germplasm Bank of WildSpecies, Kunming Institute of Botany, Chinese Academy of Sciences.We are grateful to Mr. Xue-Wen Liu, Tao Liu, Dr. Tao Wu and othervolunteers for their help withfield work.</t>
  </si>
  <si>
    <t>10.1016/j.pld.2021.08.005</t>
  </si>
  <si>
    <t>7F0DU</t>
  </si>
  <si>
    <t>WOS:000901528600001</t>
  </si>
  <si>
    <t>Worthy, FR; Goldberg, SD; Ranjitkar, S; Xu, JC</t>
  </si>
  <si>
    <t>Worthy, Fiona R.; Goldberg, Stefanie D.; Ranjitkar, Sailesh; Xu, Jian-Chu</t>
  </si>
  <si>
    <t>Seedling survival after simulating grazing and drought for two species from the Pamirs, northwestern China</t>
  </si>
  <si>
    <t>Medicinal plant; Pastoralist; Plantago lessingii; Saussurea glacialis; Soil moisture; Water de ficit</t>
  </si>
  <si>
    <t>PLANTAGO-LANCEOLATA; GROWTH; DESERT; DEFOLIATION; STRATEGIES; NITROGEN; STRESS; CARBON; SOIL</t>
  </si>
  <si>
    <t>For plant populations to persist, seedling recruitment is essential, requiring seed germination, seedling survival and growth. Drought and grazing potentially reduce seedling recruitment via increased mor-tality and reduced growth. We studied these seed-related processes for two species indigenous to the Pamir Mountains of Xinjiang in northwestern China: Saussurea glacialis and Plantago lessingii. Seeds collected from Taxkorgan, Xinjiang, had a viability rate of 15.8% for S. glacialis but 100% for P. lessingii. Of the viable seeds, the highest germination rates were 62.9% for S. glacialis and 45.6% for P. lessingii. In a greenhouse experiment, we imposed a series of stressful conditions, involving a combination of simu-lated grazing and drought events. These had the most severe impact on younger seedlings. Modelling showed that 89% of S. glacialis mortality was due to early simulated grazing, whereas 80% of P. lessingii mortality was due to early simulated drought. Physiological differences could contribute to their differing resilience. S. glacialis may rely on water storage in leaves to survive drought events, but showed no shifts in biomass allocation that would improve grazing tolerance. P. lessingii appears more reliant on its root system to survive grazing, but the root reserves of younger plants could be insufficient to grow deeper in response to drought. After applying all mortality factors, 17.7 seedlings/parent of P. lessingii survived, while only &lt;0.1 seedlings/parent of S. glacialis survived, raising concerns for its capacity to persist in the Pamirs. Inherent genetic differences may underlie the two species' contrasting grazing and drought responses. Thus, differing conservation strategies are required for their utilization and protection.Copyright (c) 2021 Kunming Institute of Botany, Chinese Academy of Sciences. Publishing services by Elsevier B.V. on behalf of KeAi Communications Co., Ltd. This is an open access article under the CC BY -NC-ND license (http://creativecommons.org/licenses/by-nc-nd/4.0/).</t>
  </si>
  <si>
    <t>Worthy, Fiona R.</t>
  </si>
  <si>
    <t>[Worthy, Fiona R.; Goldberg, Stefanie D.; Xu, Jian-Chu] Chinese Acad Sci, Kunming Inst Bot, CAS Key Lab Plant Divers &amp; Biogeog East Asia, Kunming 650201, Yunnan, Peoples R China; [Goldberg, Stefanie D.; Xu, Jian-Chu] World Agroforestry ICRAF, CIFOR ICRAF China Program, Kunming 650201, Yunnan, Peoples R China; [Ranjitkar, Sailesh; Xu, Jian-Chu] Chinese Acad Sci, Kunming Inst Bot, Honghe Ctr Mt Futures CMF, Honghe County 654400, Yunnan, Peoples R China; [Ranjitkar, Sailesh] Lumbini Buddhist Univ, Fac Agroforestry, Lumbini, Nepal</t>
  </si>
  <si>
    <t>Xu, JC (通讯作者)，Chinese Acad Sci, Kunming Inst Bot, CAS Key Lab Plant Divers &amp; Biogeog East Asia, Kunming 650201, Yunnan, Peoples R China.</t>
  </si>
  <si>
    <t>jxu@mail.kib.ac.cn</t>
  </si>
  <si>
    <t>Ranjitkar, Sailesh/I-9307-2014</t>
  </si>
  <si>
    <t>Ranjitkar, Sailesh/0000-0002-4741-3975</t>
  </si>
  <si>
    <t>Yunnan Provincial Human Resources and Social Security Bureau Post-Doctoral Grant; National Sciences Foundation China [41661144001]; Key Research Program of Frontier Sciences [QYZDY-SSW-SMC014]; Chinese Academy of Sciences President's International Fellowship Initiative grant [2020FYC0003]</t>
  </si>
  <si>
    <t>Yunnan Provincial Human Resources and Social Security Bureau Post-Doctoral Grant; National Sciences Foundation China; Key Research Program of Frontier Sciences; Chinese Academy of Sciences President's International Fellowship Initiative grant</t>
  </si>
  <si>
    <t>We thank the Taxkorgan Nature Reserve for permission to work in the region and for field assistance from their staff. From the Kunming Institute of Botany's Centre for Mountain Ecosystem Studies; Wang Zheng Hong and Mu Zhi Lin assisted in seed collection and installing microclimate stations. Yang Tian Suo gave greenhouse assistance. Hu Xiao Jian assisted with seed storage and X-ray screening at the Kunming Institute of Botany's Germplasm Bank of Wild Species. Austin G. Smith commented on the final version of the manuscript. This work was supported by a Yunnan Provincial Human Resources and Social Security Bureau Post-Doctoral Grant, Chinese Academy of Sciences President's International Fellowship Initiative grant [grant number 2020FYC0003] , the National Sciences Foundation China [grant number 41661144001] and the Key Research Program of Frontier Sciences [grant number QYZDY-SSW-SMC014] .</t>
  </si>
  <si>
    <t>10.1016/j.pld.2021.07.0032468-2659</t>
  </si>
  <si>
    <t>7F0CQ</t>
  </si>
  <si>
    <t>WOS:000901525600001</t>
  </si>
  <si>
    <t>Song, A; Liu, J; Liang, SQ; Van Do, T; Nguyen, HB; Deng, WYD; Jia, LB; Del Rio, C; Srivastava, G; Feng, Z; Zhou, ZK; Huang, J; Su, T</t>
  </si>
  <si>
    <t>Song, Ai; Liu, Jia; Liang, Shui-Qing; Van Do, Truong; Nguyen, Hung Ba; Deng, Wei-Yu-Dong; Jia, Lin -Bo; Del Rio, Cedric; Srivastava, Gaurav; Feng, Zhuo; Zhou, Zhe-Kun; Huang, Jian; Su, Tao</t>
  </si>
  <si>
    <t>Leaf fossils of Sabalites (Arecaceae) from the Oligocene of northern Vietnam and their paleoclimatic implications</t>
  </si>
  <si>
    <t>Fossil; Leaf; Oligocene; Paleoclimate; Palm; Vietnam</t>
  </si>
  <si>
    <t>PALM LEAVES; EOCENE; CHINA; BASIN; MIOCENE; PROVENANCE; DIVERSITY; ONSHORE</t>
  </si>
  <si>
    <t>Recent paleobotanical investigations in Vietnam provide a good opportunity to improve our under-standing of the biodiversity and paleoclimatic conditions in the geological past of Southeast Asia. Palms (Arecaceae) are a diverse family of typical thermophilous plants with a relatively low tolerance for freezing. In this study, we describe well-preserved fossil palm leaves from the Oligocene Dong Ho For-mation of Hoanh Bo Basin, northern Vietnam. Characters of the fossil leaves, such as a fan-shaped costapalmate lamina, an unarmed petiole, a costa slightly enlarged at the base that then tapers distally into the blade, and well-preserved amphistomatic leaves with cuticles, suggest that they represent a new fossil species, which we herein designate Sabalites colaniae A. Song, T. Su, T. V. Do et Z.K. Zhou sp. nov. Together with other paleontological and palaeoclimatic evidence, we conclude that a warm climate prevailed in northern Vietnam and nearby areas during the Oligocene. Copyright (c) 2021 Kunming Institute of Botany, Chinese Academy of Sciences. Publishing services by Elsevier B.V. on behalf of KeAi Communications Co. Ltd. This is an open access article under the CC BY -NC-ND license (http://creativecommons.org/licenses/by-nc-nd/4.0/).</t>
  </si>
  <si>
    <t>Song, Ai</t>
  </si>
  <si>
    <t>[Song, Ai; Feng, Zhuo] Yunnan Univ, Inst Palaeontol,Yunnan Key Lab Earth Syst Sci, Yunnan Key Lab Palaeobiol, MEC Int Joint Lab Palaeobiol &amp; Palaeoenvironment, Kunming 650500, Peoples R China; [Song, Ai; Liu, Jia; Liang, Shui-Qing; Deng, Wei-Yu-Dong; Del Rio, Cedric; Zhou, Zhe-Kun; Huang, Jian; Su, Tao] Chinese Acad Sci, CAS Key Lab Trop Forest Ecol, Xishuangbanna Trop Bot Garden, Mengla 666303, Peoples R China; [Van Do, Truong; Nguyen, Hung Ba] Vietnam Acad Sci &amp; Technol, Vietnam Natl Museum Nat, 18 Hoang Quoc Viet, Hanoi, Vietnam; [Van Do, Truong] Vietnam Acad Sci &amp; Technol, Grad Acad Sci &amp; Technol, 18 Hoang Quoc Viet, Hanoi, Vietnam; [Jia, Lin -Bo] Chinese Acad Sci, Kunming Inst Bot, CAS Key Lab Plant Divers &amp; Biogeog East Asia, Kunming 650204, Peoples R China; [Srivastava, Gaurav] Birbal Sahni Inst Palaeosci, Lucknow 226007, India</t>
  </si>
  <si>
    <t>Yunnan University; Chinese Academy of Sciences; Xishuangbanna Tropical Botanical Garden, CAS; Vietnam Academy of Science &amp; Technology (VAST); Vietnam Academy of Science &amp; Technology (VAST); Chinese Academy of Sciences; Kunming Institute of Botany, CAS; Department of Science &amp; Technology (India); Birbal Sahni Institute of Palaeobotany (BSIP)</t>
  </si>
  <si>
    <t>Song, A (通讯作者)，Yunnan Univ, Inst Palaeontol,Yunnan Key Lab Earth Syst Sci, Yunnan Key Lab Palaeobiol, MEC Int Joint Lab Palaeobiol &amp; Palaeoenvironment, Kunming 650500, Peoples R China.;Song, A; Huang, J; Su, T (通讯作者)，Chinese Acad Sci, CAS Key Lab Trop Forest Ecol, Xishuangbanna Trop Bot Garden, Mengla 666303, Peoples R China.</t>
  </si>
  <si>
    <t>Su, Tao/0000-0002-9148-6127; Zhou, Zhekun/0000-0002-0710-2128; DEL RIO, Cedric/0000-0002-6340-5692</t>
  </si>
  <si>
    <t>National Natural Science Foundation of China (NSFC) [31800183, 41922010, 42002020, 41661134049]; Yunnan Basic Research Projects [202001AU070137, 2019FB026]; Chinese Academy of Sciences Light of West China Program [2020000023]; CAS 135 program [2017XTBG-T03]; Project Study, collection of fossil woods in Vietnam for exhibition in System of Vietnam National Museum of Nature  [CT0000.01/19-21]</t>
  </si>
  <si>
    <t xml:space="preserve">National Natural Science Foundation of China (NSFC)(National Natural Science Foundation of China (NSFC)); Yunnan Basic Research Projects; Chinese Academy of Sciences Light of West China Program; CAS 135 program; Project Study, collection of fossil woods in Vietnam for exhibition in System of Vietnam National Museum of Nature </t>
  </si>
  <si>
    <t>We thank members of Paleoecology Research Group (PRG) in Xishuangbanna Tropical Botanical Garden (XTBG) , Chinese Academy of Sciences for field trips in northern Vietnam; People's Committee of Hoanh Bo District, Quang Ninh Province, Vietnam and Vietnam National Museum of Nature (VNMN) , Vietnam Acad- emy of Science and Technology for field permission and assistance; the Public Technology Service Center in XTBG for imaging assistance. We thank Mrs. Teresa Spicer for polishing English which makes our manuscript a great improve. GS thanks to Dr. Vandana Prasad (Director) , Birbal Sahni Institute of Palaeosciences, Lucknow for providing necessary facilities during the research work. This work is supported by National Natural Science Foundation of China (NSFC) (31800183, 41922010, 42002020, 41661134049) , Yunnan Basic Research Projects (202001AU070137, 2019FB026) , Chinese Academy of Sciences Light of West China Program (2020000023) , the CAS 135 program (2017XTBG-T03) , and Project Study, collection of fossil woods in Vietnam for exhibition in System of Vietnam National Museum of Nature  (CT0000.01/19-21) .</t>
  </si>
  <si>
    <t>10.1016/j.pld.2021.08.003</t>
  </si>
  <si>
    <t>4X2FL</t>
  </si>
  <si>
    <t>WOS:000860663400001</t>
  </si>
  <si>
    <t>Yang, Y; Ferguson, DK; Liu, B; Mao, KS; Gao, LM; Zhang, SZ; Wan, T; Rushforth, K; Zhang, ZX</t>
  </si>
  <si>
    <t>Yang, Yong; Ferguson, David Kay; Liu, Bing; Mao, Kang-Shan; Gao, Lian-Ming; Zhang, Shou-Zhou; Wan, Tao; Rushforth, Keith; Zhang, Zhi-Xiang</t>
  </si>
  <si>
    <t>Recent advances on phylogenomics of gymnosperms and a new classification</t>
  </si>
  <si>
    <t>Classi fication; Gymnosperms; Morphology; New tribe; Phylogenomics; Taxonomy</t>
  </si>
  <si>
    <t>GINKGO-BILOBA L.; EXTANT GYMNOSPERMS; CUPRESSACEAE; EVOLUTION; GENOME; ORIGIN; GENUS; CIRCUMSCRIPTION; RECONSTRUCTION; PODOCARPACEAE</t>
  </si>
  <si>
    <t>Living gymnosperms comprise four major groups: cycads, Ginkgo, conifers, and gnetophytes. Relation-ships among/within these lineages have not been fully resolved. Next generation sequencing has made available a large number of sequences, including both plastomes and single-copy nuclear genes, for reconstruction of solid phylogenetic trees. Recent advances in gymnosperm phylogenomic studies have updated our knowledge of gymnosperm systematics. Here, we review major advances of gymnosperm phylogeny over the past 10 years and propose an updated classification of extant gymnosperms. This new classification includes three classes (Cycadopsida, Ginkgoopsida, and Pinopsida), five subclasses (Cyca-didae, Ginkgoidae, Cupressidae, Pinidae, and Gnetidae), eight orders (Cycadales, Ginkgoales, Araucariales, Cupressales, Pinales, Ephedrales, Gnetales, and Welwitschiales), 13 families, and 86 genera. We also described six new tribes including Acmopyleae Y. Yang, Austrocedreae Y. Yang, Chamaecyparideae Y. Yang, Microcachrydeae Y. Yang, Papuacedreae Y. Yang, and Prumnopityeae Y. Yang, and made 27 new combinations in the genus Sabina. Copyright (c) 2022 Kunming Institute of Botany, Chinese Academy of Sciences. Publishing services by Elsevier B.V. on behalf of KeAi Communications Co. Ltd. This is an open access article under the CC BY -NC-ND license (http://creativecommons.org/licenses/by-nc-nd/4.0/).</t>
  </si>
  <si>
    <t>Yang, Yong</t>
  </si>
  <si>
    <t>[Yang, Yong] Nanjing Forestry Univ, Coll Biol &amp; Environm, Coinnovat Ctr Sustainable Forestry Southern China, 159 Longpan Rd, Nanjing 210037, Peoples R China; [Ferguson, David Kay] Univ Vienna, Dept Paleontol, A-1090 Vienna, Austria; [Liu, Bing] Chinese Acad Sci, Inst Bot, State Key Lab Systemat &amp; Evolutionary Bot, 20 Nanxincun, Beijing 100093, Peoples R China; [Liu, Bing] Chinese Acad Sci, Sino Afr Joint Res Ctr, Wuhan 430074, Peoples R China; [Mao, Kang-Shan] Sichuan Univ, Coll Life Sci, Key Lab Bioresource &amp; Eco Environm, State Key Lab Hydraul &amp; Mt River Engn,Minist Educ, Chengdu 610065, Peoples R China; [Gao, Lian-Ming] Chinese Acad Sci, Kunming Inst Bot, CAS Key Lab Plant Divers &amp; Biogeog East Asia, Kunming 650201, Peoples R China; [Gao, Lian-Ming] Chinese Acad Sci, Kunming Inst Bot, Lijiang Forest Biodivers Natl Observat &amp; Res Stn, Lijiang 674100, Peoples R China; [Zhang, Shou-Zhou; Wan, Tao] Shenzhen &amp; Chinese Acad Sci, Key Lab Southern Subtrop Plant Divers, FairyLake Bot Garden, Shenzhen, Peoples R China; [Rushforth, Keith] The Shippen, Devon EN15 3NL, England; [Zhang, Zhi-Xiang] Beijing Forestry Univ, Sch Ecol &amp; Nat Conservat, Beijing, Peoples R China</t>
  </si>
  <si>
    <t>Nanjing Forestry University; University of Vienna; Chinese Academy of Sciences; Institute of Botany, CAS; Chinese Academy of Sciences; Sichuan University; Chinese Academy of Sciences; Kunming Institute of Botany, CAS; Chinese Academy of Sciences; Kunming Institute of Botany, CAS; Beijing Forestry University</t>
  </si>
  <si>
    <t>Yang, Y (通讯作者)，Nanjing Forestry Univ, Coll Biol &amp; Environm, Coinnovat Ctr Sustainable Forestry Southern China, 159 Longpan Rd, Nanjing 210037, Peoples R China.</t>
  </si>
  <si>
    <t>yangyong@njfu.edu.cn</t>
  </si>
  <si>
    <t>Gao, Lianming/H-4527-2011</t>
  </si>
  <si>
    <t>Gao, Lianming/0000-0001-9047-2658</t>
  </si>
  <si>
    <t>National Natural Science Foundation of China [31970205, 31870206]; Nanjing Forestry University, China</t>
  </si>
  <si>
    <t>National Natural Science Foundation of China(National Natural Science Foundation of China (NSFC)); Nanjing Forestry University, China</t>
  </si>
  <si>
    <t>This work was supported by the National Natural Science Foundation of China (31970205, 31870206) and the Metasequoia funding of the Nanjing Forestry University, China. We thank Y.H.Ji and two other anonymous reviewers for their valuable suggestions.</t>
  </si>
  <si>
    <t>10.1016/j.pld.2022.05.003</t>
  </si>
  <si>
    <t>3Z5IO</t>
  </si>
  <si>
    <t>WOS:000844451000001</t>
  </si>
  <si>
    <t>Zhang, YZ; Qian, LS; Chen, XF; Sun, L; Sun, H; Chen, JG</t>
  </si>
  <si>
    <t>Zhang, Ya-Zhou; Qian, Li-Shen; Chen, Xu-Fang; Sun, Lu; Sun, Hang; Chen, Jian-Guo</t>
  </si>
  <si>
    <t>Diversity patterns of cushion plants on the Qinghai-Tibet Plateau: A basic study for future conservation efforts on alpine ecosystems</t>
  </si>
  <si>
    <t>Climatic features; Cushion distribution; Ecosystem engineer; Hengduan mountains; Phylogenetic diversity; Phylogenetic community structure</t>
  </si>
  <si>
    <t>RHODODENDRON DIVERSITY; PHYLOGENETIC DIVERSITY; HENGDUAN MOUNTAINS; HIGH-ANDES; CLIMATE; EVOLUTION; DIVERSIFICATION; COMMUNITIES; TOPOGRAPHY; TOLERANCE</t>
  </si>
  <si>
    <t>The Qinghai-Tibet Plateau (QTP) is an important cushion plant hotspot. However, the distribution of cushion plants on the QTP is unknown, as are the factors that drive cushion plant distribution, limiting our understanding of the evolution of cushion species in the region. In this study, we assessed spatial patterns of total cushion plant diversity (including taxonomic and phylogenetic) over the entire QTP and compared patterns of diversity of cushion plants with different typologies (i.e., compact vs. loose). We also examined how these patterns were related to climatic features. Our results indicate that the southern QTP hosts the highest total cushion plant richness, especially in the south-central Hengduan Mountains subregion. The total number of cushion species declines from south to north and from southeast to northwest. Compact cushion plants exhibit similar patterns as the total cushion plant richness, whereas loose cushion plants show random distribution. Cushion plant phylogenetic diversity showed a similar pattern as that of the total cushion plant richness. In addition, cushion plant phylogenetic community structure was clustered in the eastern and southwestern QTP, whereas random or overdispersed in other areas. Climatic features represented by annual energy and water trends, seasonality and extreme environmental factors, had significant effects on cushion plant diversity patterns but limited effects on the phylogenetic community structure, suggesting that climatic features indeed promote the formation of cushion plants. Because cushion plants play vital roles in alpine ecosystems, our findings not only promote our understanding of the evolution and formation of alpine cushion plant diversity but also provide an indispensable foundation for future studies on cushion plant functions and thus alpine ecosystem sustainability in the entire QTP region. Copyright (c) 2021 Kunming Institute of Botany, Chinese Academy of Sciences. Publishing services by Elsevier B.V. on behalf of KeAi Communications Co., Ltd. This is an open access article under the CC BY NC-ND license (http://creativecommons.org/licenses/by-nc-nd/4.0/).</t>
  </si>
  <si>
    <t>Zhang, Ya-Zhou</t>
  </si>
  <si>
    <t>[Zhang, Ya-Zhou; Qian, Li-Shen; Chen, Xu-Fang; Sun, Lu; Sun, Hang; Chen, Jian-Guo] Chinese Acad Sci, Kunming Inst Bot, Key Lab Plant Divers &amp; Biogeog East Asia, Kunming, Yunnan, Peoples R China; [Zhang, Ya-Zhou; Qian, Li-Shen; Chen, Xu-Fang; Sun, Lu] Univ Chinese Acad Sci, Beijing, Peoples R China; [Qian, Li-Shen] Yunnan Univ, Sch Life Sci, Kunming, Yunnan, Peoples R China</t>
  </si>
  <si>
    <t>Sun, H; Chen, JG (通讯作者)，Chinese Acad Sci, Kunming Inst Bot, Key Lab Plant Divers &amp; Biogeog East Asia, Kunming, Yunnan, Peoples R China.</t>
  </si>
  <si>
    <t>sunhang@mail.kib.ac.cn; chenjianguo@mail.kib.ac.cn</t>
  </si>
  <si>
    <t>chen, jian guo/0000-0003-3062-9881; Zhang, Yazhou/0000-0002-5148-3423</t>
  </si>
  <si>
    <t>Second Tibetan Plateau Scienti fic Expedition and Research (STEP) program [2019QZKK0502]; Strategic Priority Research Program of Chi-nese Academy of Sciences [XDA20050203]; Key Projects of the Joint Fund of the National Natural Science Foundation of China [U1802232]; Yunnan Applied Basic Research Project [202001AT070060]</t>
  </si>
  <si>
    <t>Second Tibetan Plateau Scienti fic Expedition and Research (STEP) program; Strategic Priority Research Program of Chi-nese Academy of Sciences(Chinese Academy of Sciences); Key Projects of the Joint Fund of the National Natural Science Foundation of China(National Natural Science Foundation of China (NSFC)); Yunnan Applied Basic Research Project</t>
  </si>
  <si>
    <t>This study was supported by grants from the Second Tibetan Plateau Scienti fic Expedition and Research (STEP) program (2019QZKK0502) , the Strategic Priority Research Program of Chi-nese Academy of Sciences (XDA20050203) , the Key Projects of the Joint Fund of the National Natural Science Foundation of China (U1802232) and the Yunnan Applied Basic Research Project (202001AT070060) . None of the contents of this manuscript have previously appeared online.</t>
  </si>
  <si>
    <t>10.1016/j.pld.2021.09.001</t>
  </si>
  <si>
    <t>2H2VX</t>
  </si>
  <si>
    <t>WOS:000814158000001</t>
  </si>
  <si>
    <t>Wu, JF; Jia, DR; Liu, RJ; Zhou, ZL; Wang, LL; Chen, MY; Meng, LH; Duan, YW</t>
  </si>
  <si>
    <t>Wu, Jin-Feng; Jia, Dong-Rui; Liu, Rui-Juan; Zhou, Zhi-Li; Wang, Lin-Lin; Chen, Min-Yu; Meng, Li-Hua; Duan, Yuan-Wen</t>
  </si>
  <si>
    <t>Multiple lines of evidence supports the two varieties of Halenia elliptica (Gentianaceae) as two species</t>
  </si>
  <si>
    <t>Halenia elliptica; Flowering phenology; Mating system; Reproductive isolation; Monophyly; Species delimitation</t>
  </si>
  <si>
    <t>REPRODUCTIVE ISOLATION; PHYLOGENETIC ANALYSIS; FLORAL TRAITS; NUCLEAR; DIVERSIFICATION; DELIMITATION; CHLOROPLAST; ANGIOSPERMS; SPECIATION; RESOLVES</t>
  </si>
  <si>
    <t>Delimiting species requires multiple sources of evidence. Here, we delimited two varieties of Halenia elliptica (Gentianaceae) using several lines of evidence, including morphological traits and mating system in a sympatric population, phylogenetic relationships based on nrITS and cpDNA (rpl16) data, and complete chloroplast genome sequences. Comparative analysis of 21 morphological traits clearly separates the two varieties of H. elliptica. Examination of the flowering process and pollination treatments indicate that H. elliptica var. grandiflora produces seeds via outcrossing, whereas H. elliptica var. elliptica produces seeds via mixed mating. Furthermore, hand-pollinated hybridization of the two varieties produced no seeds. Observations of pollinators showed that when bees began a pollination bout on H. elliptica var. grandiflora they preferred to continue pollinating this variety; however, when they began a pollination bout on H. elliptica var. elliptica, they showed no preference for either variety. Phylogenetic analysis confirmed the monophyly of H. elliptica, which was further divided into two monophyletic clades corresponding to the two varieties. A large number of variants from the chloroplast genomes reflected remarkable genetic dissimilarities between the two varieties of H. elliptica. We recommend that the two varieties of H. elliptica should be revised as two species (H. elliptica and H. grandiflora). Our findings indicate that H. elliptica varieties may have split into two separate species due to a shift in mating system, changes in flowering phenology and/or post-pollination reproductive isolation. Copyright (c) 2021 Kunming Institute of Botany, Chinese Academy of Sciences. Publishing services by Elsevier B.V. on behalf of KeAi Communications Co., Ltd. This is an open access article under the CC BY NC-ND license (http://creativecommons.org/licenses/by-nc-nd/4.0/).</t>
  </si>
  <si>
    <t>Wu, Jin-Feng</t>
  </si>
  <si>
    <t>[Wu, Jin-Feng; Meng, Li-Hua] Yunnan Normal Univ, Sch Life Sci, Kunming 650092, Yunnan, Peoples R China; [Jia, Dong-Rui] Yunnan Univ, Sch Ecol &amp; Environm Sci, Kunming 650091, Yunnan, Peoples R China; [Jia, Dong-Rui] Yunnan Univ, Yunnan Key Lab Plateau Mt Ecol &amp; Restorat Degrade, Kunming 650091, Yunnan, Peoples R China; [Liu, Rui-Juan] Chinese Acad Sci, Northwest Inst Plateau Biol, Xining 810001, Peoples R China; [Zhou, Zhi-Li; Wang, Lin-Lin; Chen, Min-Yu; Duan, Yuan-Wen] Chinese Acad Sci, Inst Tibetan Plateau Res Kunming, Kunming Inst Bot, Germplasm Bank Wild Species, Kunming 650201, Yunnan, Peoples R China; [Duan, Yuan-Wen] Chinese Acad Sci, Kunming Inst Bot, Yunnan Lijiang Forest Ecosyst Natl Observat &amp; Res, Lijiang 674100, Yunnan, Peoples R China</t>
  </si>
  <si>
    <t>Yunnan Normal University; Yunnan University; Yunnan University; Chinese Academy of Sciences; Chinese Academy of Sciences; Kunming Institute of Botany, CAS; Chinese Academy of Sciences; Kunming Institute of Botany, CAS</t>
  </si>
  <si>
    <t>Meng, LH (通讯作者)，Chinese Acad Sci, Kunming Inst Bot, Lanhei Rd 132, Kunming 650201, Yunnan, Peoples R China.;Duan, YW (通讯作者)，Yunnan Normal Univ, Yuhua Dist 1, Kunming 650092, Yunnan, Peoples R China.</t>
  </si>
  <si>
    <t>menglihua@mails.gucas.ac.cn; duanyw@mail.kib.ac.cn</t>
  </si>
  <si>
    <t>Duan, Yuan-Wen/0000-0002-8399-5116</t>
  </si>
  <si>
    <t>Second Tibetan Plateau Sci-entific Expedition and Research (STEP) program [2019QZKK0502]; National Key R &amp; D Program of China [2017YFC0505200]; National Natural Science Foundation of China [31460096, 31590823]; State Key Laboratory of Phytochemistry and Plant Resources in West China [P2020-KF04]</t>
  </si>
  <si>
    <t>Second Tibetan Plateau Sci-entific Expedition and Research (STEP) program; National Key R &amp; D Program of China; National Natural Science Foundation of China(National Natural Science Foundation of China (NSFC)); State Key Laboratory of Phytochemistry and Plant Resources in West China</t>
  </si>
  <si>
    <t>We are grateful to the staff at the Lijiang Alpine Botanical Garden (Lijiang Forest Ecosystem Research Station) for their kind help and support during the field experiments. We thank Mr. Kai-Wen Jiang and Dr. Bin Tian from the Southwest Forest University for their suggested revisions of the taxonomic treatment. Financial support for this research was provided by the Second Tibetan Plateau Sci-entific Expedition and Research (STEP) program (2019QZKK0502) , National Key R &amp; D Program of China (2017YFC0505200) , National Natural Science Foundation of China (31460096 and 31590823) and State Key Laboratory of Phytochemistry and Plant Resources in West China (P2020-KF04) .</t>
  </si>
  <si>
    <t>10.1016/j.pld.2021.09.004</t>
  </si>
  <si>
    <t>WOS:000814158000007</t>
  </si>
  <si>
    <t>Zhe, MQ; Zhang, L; Liu, F; Huang, YW; Fan, WS; Yang, JB; Zhu, AD</t>
  </si>
  <si>
    <t>Zhe, Mengqing; Zhang, Le; Liu, Fang; Huang, Yiwei; Fan, Weishu; Yang, Junbo; Zhu, Andan</t>
  </si>
  <si>
    <t>Plastid RNA editing reduction accompanied with genetic variations in Cymbidium, a genus with diverse lifestyle modes</t>
  </si>
  <si>
    <t>RNA editing; Plastomes; ndh genes; Lifestyle</t>
  </si>
  <si>
    <t>CRASSULACEAN ACID METABOLISM; ORCHIDACEAE; ALIGNMENT; GENOME</t>
  </si>
  <si>
    <t>Recent sequencing efforts have broadly uncovered the evolutionary trajectory of plastid genomes (plastomes) of flowering plants in diverse habitats, yet our knowledge of the evolution of plastid posttranscriptional modifications is limited. In this study, we generated 11 complete plastomes and performed ultra-deep transcriptome sequencing to investigate the co-evolution of plastid RNA editing and genetic variation in Cymbidium, a genus with diverse trophic lifestyles. Genome size and gene content is reduced in terrestrial and green mycoheterotrophic orchids relative to their epiphytic relatives. This could be partly due to extensive losses and pseudogenization of ndh genes for the plastid NADH dehydrogenase-like complex, but independent pseudogenization of ndh genes has also occurred in the epiphyte C. mannii, which was reported to use strong crassulacean acid metabolism photosynthesis. RNA editing sites are abundant but variable in number among Cymbidium plastomes. The nearly twofold variation in editing abundance is mainly due to extensive reduction of ancestral editing sites in ndh transcripts of terrestrial, mycoheterotrophic, and C. mannii plastomes. The co-occurrence of editing reduction and pseudogenization in ndh genes suggests functional constraints on editing machinery may be relaxed, leading to nonrandom loss of ancestral edited sites via reduced editing efficiency. This study represents the first systematic examination of RNA editing evolution linked to plastid genome variation in a single genus. We also propose an explanation for how genomic and posttranscriptional variations might be affected by lifestyle-associated ecological adaptation strategies in Cymbidium. Copyright (c) 2021 Kunming Institute of Botany, Chinese Academy of Sciences.</t>
  </si>
  <si>
    <t>Zhe, Mengqing</t>
  </si>
  <si>
    <t>[Zhe, Mengqing; Zhang, Le; Liu, Fang; Huang, Yiwei; Fan, Weishu; Yang, Junbo; Zhu, Andan] Chinese Acad Sci, Kunming Inst Bot, Germplasm Bank Wild Species, Kunming 650201, Yunnan, Peoples R China; [Zhe, Mengqing; Liu, Fang; Huang, Yiwei] Univ Chinese Acad Sci, Beijing 100049, Peoples R China; [Zhang, Le] Yunnan Univ, Sch Life Sci, Kunming 650500, Yunnan, Peoples R China</t>
  </si>
  <si>
    <t>Zhu, AD (通讯作者)，132 Lanhei Rd, Kunming 650201, Yunnan, Peoples R China.</t>
  </si>
  <si>
    <t>zhuandan@mail.kib.ac.cn</t>
  </si>
  <si>
    <t>Liu, Fang/0000-0002-4980-8700; Zhu, Andan/0000-0002-4417-565X</t>
  </si>
  <si>
    <t>Strategic Priority Research Program of the Chinese Academy of Sciences [XDB31010000]; Large-scale Scientific Facilities of the Chinese Academy of Sciences [2017-LSF-GBOWS-02]; open research project for Cross-Cooperative Team of the Germ-plasm Bank of Wild Species, Kunming Institute of Botany, Chinese Academy of Sciences; CAS Pioneer Hundred Talents Program</t>
  </si>
  <si>
    <t>Strategic Priority Research Program of the Chinese Academy of Sciences(Chinese Academy of Sciences); Large-scale Scientific Facilities of the Chinese Academy of Sciences; open research project for Cross-Cooperative Team of the Germ-plasm Bank of Wild Species, Kunming Institute of Botany, Chinese Academy of Sciences; CAS Pioneer Hundred Talents Program</t>
  </si>
  <si>
    <t>We greatly thank Dr. Jia-Lin Huang and Mr. Ji-Dong Ya for sample collection and identification. We also appreciate Dr. Jeff Mower (University of Nebraska) for careful reading and language editing. This work was supported by the Strategic Priority Research Program of the Chinese Academy of Sciences (grant no. XDB31010000) , by the Large-scale Scientific Facilities of the Chi-nese Academy of Sciences (grant no. 2017-LSF-GBOWS-02) , by an open research project for Cross-Cooperative Team of the Germ-plasm Bank of Wild Species, Kunming Institute of Botany, Chinese Academy of Sciences, and by the CAS Pioneer Hundred Talents Program (to A.Z.) .</t>
  </si>
  <si>
    <t>10.1016/j.pld.2021.07.002</t>
  </si>
  <si>
    <t>WOS:000814158000010</t>
  </si>
  <si>
    <t>Wang, YL; He, XH; Yu, FQ</t>
  </si>
  <si>
    <t>Wang, Yanliang; He, Xinhua; Yu, Fuqiang</t>
  </si>
  <si>
    <t>Non-host plants: Are they mycorrhizal networks players?</t>
  </si>
  <si>
    <t>Colonization; Mycorrhizal networks; Non-hosts; Tripartite interaction</t>
  </si>
  <si>
    <t>BASIDIOMYCETE TRICHOLOMA-MATSUTAKE; ARBUSCULAR MYCORRHIZAL; ARABIDOPSIS-THALIANA; PIRIFORMOSPORA-INDICA; DEFENSE RESPONSE; IN-VITRO; ROOT; GROWTH; FUNGI; HOST</t>
  </si>
  <si>
    <t>Common mycorrhizal networks (CMNs) that connect individual plants of the same or different species together play important roles in nutrient and signal transportation, and plant community organization. However, about 10% of land plants are non-mycorrhizal species with roots that do not form any wellrecognized types of mycorrhizas; and each mycorrhizal fungus can only colonize a limited number of plant species, resulting in numerous non-host plants that could not establish typical mycorrhizal symbiosis with a specific mycorrhizal fungus. If and how non-mycorrhizal or non-host plants are able to involve in CMNs remains unclear. Here we summarize studies focusing on mycorrhizal-mediated host and non-host plant interaction. Evidence has showed that some host-supported both arbuscular mycorrhizal (AM) and ectomycorrhizal (EM) hyphae can access to non-host plant roots without forming typical mycorrhizal structures, while such non-typical mycorrhizal colonization often inhibits the growth but enhances the induced system resistance of non-host plants. Meanwhile, the host growth is also differentially affected, depending on plant and fungi species. Molecular analyses suggested that the AMF colonization to non-hosts is different from pathogenic and endophytic fungi colonization, and the hyphae in non-host roots may be alive and have some unknown functions. Thus we propose that non-host plants are also important CMNs players. Using non-mycorrhizal model species Arabidopsis, tripartite culture system and new technologies such as nanoscale secondary ion mass spectrometry and multiomics, to study nutrient and signal transportation between host and non-host plants via CMNs may provide new insights into the mechanisms underlying benefits of intercropping and agro-forestry systems, as well as plant community establishment and stability. Copyright ?? 2021 Kunming Institute of Botany, Chinese Academy of Sciences. Publishing services by Elsevier B.V. on behalf of KeAi Communications Co. Ltd. This is an open access article under the CC BY</t>
  </si>
  <si>
    <t>Wang, Yanliang</t>
  </si>
  <si>
    <t>[Wang, Yanliang; He, Xinhua; Yu, Fuqiang] Chinese Acad Sci, Kunming Inst Bot, Yunnan Key Lab Fungal Divers &amp; Green Dev, Germplasm Bank Wild Species, Kunming 650201, Yunnan, Peoples R China; [He, Xinhua] Univ Calif Davis, Dept Land Air &amp; Water Resources, Davis, CA 95616 USA; [He, Xinhua] Univ Western Australia, Sch Biol Sci, Perth, WA 6009, Australia</t>
  </si>
  <si>
    <t>Chinese Academy of Sciences; Kunming Institute of Botany, CAS; University of California System; University of California Davis; University of Western Australia</t>
  </si>
  <si>
    <t>Yu, FQ (通讯作者)，Chinese Acad Sci, Kunming Inst Bot, Yunnan Key Lab Fungal Divers &amp; Green Dev, Germplasm Bank Wild Species, Kunming 650201, Yunnan, Peoples R China.</t>
  </si>
  <si>
    <t>He, Xinhua/0000-0002-5570-3454; Wang, Yanliang/0000-0001-6095-8235</t>
  </si>
  <si>
    <t>Yunnan High Level Talent Introduction Plan, Kunming Institute of Botany [Y9627111K1]; Natural Sciences Foundation of China [31901204]</t>
  </si>
  <si>
    <t>Yunnan High Level Talent Introduction Plan, Kunming Institute of Botany; Natural Sciences Foundation of China(National Natural Science Foundation of China (NSFC))</t>
  </si>
  <si>
    <t>This study was supported by grants from Yunnan High Level Talent Introduction Plan, Kunming Institute of Botany (Y9627111K1) and Natural Sciences Foundation of China (31901204).</t>
  </si>
  <si>
    <t>16 DONGHUANGCHENGGEN NORTH ST, BEIJING, DONGHENG DISTRICT 100717, PEOPLES R CHINA</t>
  </si>
  <si>
    <t>10.1016/j.pld.2021.06.005</t>
  </si>
  <si>
    <t>1K2LX</t>
  </si>
  <si>
    <t>WOS:000798440100001</t>
  </si>
  <si>
    <t>Kim, C; Kim, DK; Sun, H; Kim, JH</t>
  </si>
  <si>
    <t>Kim, Changkyun; Kim, Dong-Kap; Sun, Hang; Kim, Joo-Hwan</t>
  </si>
  <si>
    <t>Phylogenetic relationship, biogeography, and conservation genetics of endangered Fraxinus chiisanensis (Oleaceae), endemic to South Korea</t>
  </si>
  <si>
    <t>East China Sea land bridge; Endemic species; Fraxinus chiisanensis; Korean Peninsula; Genetic diversity; Biogeography</t>
  </si>
  <si>
    <t>CHLOROPLAST DNA; MOLECULAR PHYLOGEOGRAPHY; GLACIAL REFUGIUM; POPULATION-SIZE; NORTH-AMERICA; HYDRANGEACEAE; DIVERSITY; EVOLUTION; HISTORY; NUCLEAR</t>
  </si>
  <si>
    <t>Endemic plants are important for understanding phylogenetic relationships, biogeographical history, and genetic variation because of their restricted distribution and their role in conserving biodiversity. Here, we investigated the phylogenetic relationships of the Korean endemic Fraxinus chiisanensis by reconstructing the molecular phylogeny of Fraxinus based on two nuclear DNA (nrITS and phantastica) and two chloroplast DNA (psbA-trnH and rpl32-trnL) regions. Within our fossil-calibrated phylogenetic framework, we also inferred the biogeographical history of F. chiisanensis. To provide a scientific basis for the conservation of F. chiisanensis, we determined the levels of genetic diversity and genetic differentiation in this species. Combining information from nuclear and chloroplast DNA sequence data, our molecular phylogenetic analyses identified F. chiisanensis as a genetically distinct unit from its sister group, Fraxinus platypoda from Japan. Our molecular dating analyses using nuclear and chloroplast DNA data sets show F. chiisanensis diverged from its sister F. platypoda in the Early or Middle Miocene and differentiated in the Late Miocene on the Korean Peninsula. Our results suggest that the divergence of F. chiisanensis was associated with the submergence of the East China Sea land bridge and enhanced monsoons in East Asia. When compared to F. platypoda, F. chiisanensis exhibits low genetic diversity within populations and high genetic differentiation among populations. These results help us to understand the evolutionary history of F. chiisanensis and to develop a conservation strategy for this species. Copyright ?? 2021 Kunming Institute of Botany, Chinese Academy of Sciences. Publishing services by Elsevier B.V. on behalf of KeAi Communications Co., Ltd. This is an open access article under the CC BY NC-ND license (http://creativecommons.org/licenses/by-nc-nd/4.0/).</t>
  </si>
  <si>
    <t>Kim, Changkyun</t>
  </si>
  <si>
    <t>[Kim, Changkyun] Honam Natl Inst Biol Resources, Plant Res Div, Mokpo 58762, South Korea; [Kim, Dong-Kap] Korea Natl Arboretum, Forest Biodivers Div, Pochon 11186, South Korea; [Sun, Hang] Chinese Acad Sci, Kunming Inst Bot, CAS Key Lab Plant Biodivers &amp; Biogeog East Asia, Kunming 650204, Yunnan, Peoples R China; [Kim, Joo-Hwan] Gachon Univ, Dept Life Sci, Seongnam 13120, South Korea</t>
  </si>
  <si>
    <t>Korea National Arboretum; Chinese Academy of Sciences; Kunming Institute of Botany, CAS; Gachon University</t>
  </si>
  <si>
    <t>Kim, JH (通讯作者)，Gachon Univ, Dept Life Sci, Seongnam 13120, South Korea.</t>
  </si>
  <si>
    <t>kimjh2009@gachon.ac.kr</t>
  </si>
  <si>
    <t>Korea National Arboretum [KNA1-1-13, KNA1-1-14-1]; Gachon University [2018-0320]</t>
  </si>
  <si>
    <t>Korea National Arboretum; Gachon University</t>
  </si>
  <si>
    <t>The authors thank Drs. S. Kikuchi, S. Kanetani, and J. Worth (Forestry and Forest Products Research Institute) for help in col-lecting plant material. This work was supported by grants from the Korea National Arboretum (Grant no. KNA1-1-13,14-1) and Gachon University (Grant no. 2018-0320) to J-H Kim.</t>
  </si>
  <si>
    <t>10.1016/j.pld.2021.06.004</t>
  </si>
  <si>
    <t>WOS:000798440100006</t>
  </si>
  <si>
    <t>Zuo, ZY; Zhao, T; Du, XY; Xiong, Y; Lu, JM; Li, DZ</t>
  </si>
  <si>
    <t>Zuo, Zheng-Yu; Zhao, Ting; Du, Xin-Yu; Xiong, Yun; Lu, Jin-Mei; Li, De-Zhu</t>
  </si>
  <si>
    <t>A revision of Dryopteris sect. Diclisodon (Dryopteridaceae) based on morphological and molecular evidence with description of a new species</t>
  </si>
  <si>
    <t>Dryopteris gaoligongensis; Dryopteris renchangiana; Dryopteris sect; Nephrocystis; Dryopteris sinonepalensis; Molecular phylogeny; Nomenclatural novelties</t>
  </si>
  <si>
    <t>NOTHOPERANEMA; PTERIDOPHYTA; NOMENCLATURE; SYSTEMATICS</t>
  </si>
  <si>
    <t>Dryopteris sect. Diclisodon is a small section of ferns with about 12 species mainly distributed in East Asia. Here, we carried out morphological and phylogenetic analyses of this section. A new species from southwest China, D. gaoligongensis, is described and illustrated. Dryopteris gaoligongensis resembles D. indonesiana and D. sparsa, but differs by having a creeping rhizome and large 4-pinnate fronds. We also show that D. glabrior Ching &amp; Z.Y. Liu is a distinct species; however, because it is a later homonym of D. glabrior Copel., it should be renamed D. renchangiana. We conclude that a species previously known as D. nitidula, also an illegitimate homonym, should be recognized with a new name, D. sinonepalensis. We resolve the phylogenetic position of D. yoroii as sister to other sampled species of D. sect. Diclisodon. Our phylogenetic analyses confirm the distinctiveness of D. gaoligongensis, D. renchangiana, and D. sinonepalensis. A key to species of D. sect. Diclisodon in China is provided. Copyright (c) 2021 Kunming Institute of Botany, Chinese Academy of Sciences. Publishing services by Elsevier B.V. on behalf of KeAi Communications Co. Ltd.</t>
  </si>
  <si>
    <t>Zuo, Zheng-Yu</t>
  </si>
  <si>
    <t>[Zuo, Zheng-Yu; Zhao, Ting; Du, Xin-Yu; Lu, Jin-Mei; Li, De-Zhu] Chinese Acad Sci, Kunming Inst Bot, Germplasm Bank Wild Species, Kunming 650201, Yunnan, Peoples R China; [Zuo, Zheng-Yu] Univ Chinese Acad Sci, Kunming Coll Life Sci, Kunming 650201, Yunnan, Peoples R China; [Xiong, Yun] Gongshan Bur Gaoligongshan Natl Nat Reserve, Gongshan 673500, Yunnan, Peoples R China</t>
  </si>
  <si>
    <t>Lu, JM; Li, DZ (通讯作者)，Chinese Acad Sci, Kunming Inst Bot, Germplasm Bank Wild Species, Kunming 650201, Yunnan, Peoples R China.</t>
  </si>
  <si>
    <t>Li, De-Zhu/0000-0002-4990-724X; Du, Xinyu/0000-0002-5721-7812; Zuo, Zheng-Yu/0000-0002-8334-6132</t>
  </si>
  <si>
    <t>Strategic Priority Research Program of Chinese Academy of Sciences [XDB31000000]; Na-tional Natural Science Foundation of China [31970232]; Technological leading talent project of Yunnan [2017HA014]</t>
  </si>
  <si>
    <t>Strategic Priority Research Program of Chinese Academy of Sciences(Chinese Academy of Sciences); Na-tional Natural Science Foundation of China(National Natural Science Foundation of China (NSFC)); Technological leading talent project of Yunnan</t>
  </si>
  <si>
    <t>The study was supported by the Strategic Priority Research Program of Chinese Academy of Sciences (XDB31000000) , the Na-tional Natural Science Foundation of China (31970232) , and the Technological leading talent project of Yunnan (2017HA014) . We also thank Mr. Wei-Ting Liou of National Taiwan University for sample collection, Dr. Fraser-Jenkins C.R., Dr. Li-Bing Zhang, and an anonymous reviewer for their constructive comments and suggestions.</t>
  </si>
  <si>
    <t>10.1016/j.pld.2021.09.005</t>
  </si>
  <si>
    <t>WOS:000798440100007</t>
  </si>
  <si>
    <t>Wang, WB; Ao, T; Zhang, YY; Wu, D; Xu, W; Han, B; Liu, AZ</t>
  </si>
  <si>
    <t>Wang, Wen-Bo; Ao, Tao; Zhang, Yan-Yu; Wu, Di; Xu, Wei; Han, Bing; Liu, Ai-Zhong</t>
  </si>
  <si>
    <t>Genome-wide analysis of the B3 transcription factors reveals that RcABI3/VP1 subfamily plays important roles in seed development and oil storage in castor bean (Ricinus communis)</t>
  </si>
  <si>
    <t>B3 transcription factor; Castor bean; Gene expression; ABI3; VP1 subfamily; Seed development; Seed oil</t>
  </si>
  <si>
    <t>EMBRYO DEVELOPMENT; LEAFY COTYLEDON2; ARABIDOPSIS RAV1; DOMAIN; PROTEIN; MATURATION; GENES; REGULATOR; SEQUENCE; GERMINATION</t>
  </si>
  <si>
    <t>The B3 transcription factors (TFs) in plants play vital roles in numerous biological processes. Although B3 genes have been broadly identified in many plants, little is known about their potential functions in mediating seed development and material accumulation. Castor bean (Ricinus communis) is a non-edible oilseed crop considered an ideal model system for seed biology research. Here, we identified a total of 61 B3 genes in the castor bean genome, which can be classified into five subfamilies, including ABI3/VP1, HSI, ARF, RAV and REM. The expression profiles revealed that RcABI3/VP1 subfamily genes are significantly up-regulated in the middle and later stages of seed development, indicating that these genes may be associated with the accumulation of storage oils. Furthermore, through yeast one-hybrid and tobacco transient expression assays, we detected that ABI3/VP1 subfamily member RcLEC2 directly regulates the transcription of RcOleosin2, which encodes an oil-body structural protein. This finding suggests that RcLEC2, as a seed-specific TF, may be involved in the regulation of storage materials accumulation. This study provides novel insights into the potential roles and molecular basis of B3 family proteins in seed development and material accumulation. Copyright ?? 2021 Kunming Institute of Botany, Chinese Academy of Sciences. Publishing services by Elsevier B.V. on behalf of KeAi Communications Co. Ltd. This is an open access article under the CC BY</t>
  </si>
  <si>
    <t>Wang, Wen-Bo</t>
  </si>
  <si>
    <t>[Wang, Wen-Bo] Univ Chinese Acad Sci, Sino Danish Coll, Beijing 100049, Peoples R China; [Zhang, Yan-Yu] Northwest A&amp;F Univ, Yangling 712100, Shaanxi, Peoples R China; [Liu, Ai-Zhong] Southwest Forestry Univ, Key Lab Forest Resources Conservat &amp; Utilizat Sou, Minist Educ, Kunming 650224, Yunnan, Peoples R China; [Ao, Tao] Chinese Acad Sci, Key Lab Trop Plant Resources &amp; Sustainable Use, Xishuangbanna Trop Bot Garden, Mengla 666303, Peoples R China; [Wang, Wen-Bo; Wu, Di; Xu, Wei; Han, Bing] Chinese Acad Sci, Kunming Inst Bot, 132 Lanhei Rd, Kunming 650204, Yunnan, Peoples R China; [Wang, Wen-Bo; Wu, Di] Univ Chinese Acad Sci, Beijing 100101, Peoples R China</t>
  </si>
  <si>
    <t>Chinese Academy of Sciences; University of Chinese Academy of Sciences, CAS; Northwest A&amp;F University - China; Southwest Forestry University - China; Chinese Academy of Sciences; Xishuangbanna Tropical Botanical Garden, CAS; Chinese Academy of Sciences; Kunming Institute of Botany, CAS; Chinese Academy of Sciences; University of Chinese Academy of Sciences, CAS</t>
  </si>
  <si>
    <t>Liu, AZ (通讯作者)，Southwest Forestry Univ, Key Lab Forest Resources Conservat &amp; Utilizat Sou, Minist Educ, Kunming 650224, Yunnan, Peoples R China.</t>
  </si>
  <si>
    <t>National Natural Science Foundation of China [31661143002, 81760507, 31571709, 31771839, 31701123, 31501034]; Yunnan Applied Basic Research Projects [2016FA011, 2016FB060, 2016FB040]; National R&amp;D Infrastructure and Facility development Program of China Fundamental Science Data Sharing Platform [DKA 2017-12-02-16]; 13th Five-year informatization Plan of Chinese Academy of Sciences [XXH13506]</t>
  </si>
  <si>
    <t>National Natural Science Foundation of China(National Natural Science Foundation of China (NSFC)); Yunnan Applied Basic Research Projects; National R&amp;D Infrastructure and Facility development Program of China Fundamental Science Data Sharing Platform; 13th Five-year informatization Plan of Chinese Academy of Sciences</t>
  </si>
  <si>
    <t>Authors gave many thanks to Zibo Academy of Agricultural Sciences, Shandong, China for providing the seeds of castor bean var. ZB306 elite inbred line. This work was supported by National Natural Science Foundation of China (31661143002, 81760507, 31571709, 31771839, 31701123 and 31501034), Yunnan Applied Basic Research Projects (2016FA011, 2016FB060 and 2016FB040), the National R&amp;D Infrastructure and Facility development Program of China Fundamental Science Data Sharing Platform (DKA 2017-12-02-16) and the 13th Five-year informatization Plan of Chinese Academy of Sciences (No. XXH13506).</t>
  </si>
  <si>
    <t>10.1016/j.pld.2021.06.008</t>
  </si>
  <si>
    <t>WOS:000798440100009</t>
  </si>
  <si>
    <t>Lv, ZY; Yusupov, Z; Zhang, DG; Zhang, YZ; Zhang, XS; Lin, N; Tojibaev, K; Sun, H; Deng, T</t>
  </si>
  <si>
    <t>Lv, Zhen-Yu; Yusupov, Ziyoviddin; Zhang, Dai-Gui; Zhang, Ya-Zhou; Zhang, Xiao-Shuang; Lin, Nan; Tojibaev, Komiljon; Sun, Hang; Deng, Tao</t>
  </si>
  <si>
    <t>Oreocharis xieyongii, an unusual new species of Gesneriaceae from western Hunan, China</t>
  </si>
  <si>
    <t>China; Gesneriaceae; Morphology; Phylogeny; Taxonomy</t>
  </si>
  <si>
    <t>POLLINATION SYNDROMES; GUANGXI; ISLAND</t>
  </si>
  <si>
    <t>A new species, Oreocharis xieyongii T. Deng, D.G. Zhang &amp; H. Sun, from Hunan Province, central China, is described. The combination of purple zygomorphic corolla with longer adaxial lobes and exserted stamens defines the species and discriminates it from all other current Oreocharis species. Morphological traits of the new species were compared to those of two similar species, Oreocharis xiangguiensis and O. rubrostriata. Phylogenetic analysis indicates that the new species is nested within the Oreocharis. Although only half of Oreocharis species were included in our study, evolutionary character analysis indicates that the ancestral states of the genus are likely the purple corolla, longer abaxial lip and inserted stamens. The longer adaxial lip is perhaps an apomorphy and only present in O. xieyongii and O. rubrostriata. Both morphological and molecular evidence suggest that O. xieyongii is a taxon new to science. Copyright (c) 2022 Kunming Institute of Botany, Chinese Academy of Sciences. Publishing services by Elsevier B.V. on behalf of KeAi Communications Co., Ltd. This is an open access article under the CC BY NC-ND license (http://creativecommons.org/licenses/by-nc-nd/4.0/).</t>
  </si>
  <si>
    <t>Lv, Zhen-Yu</t>
  </si>
  <si>
    <t>[Lv, Zhen-Yu; Yusupov, Ziyoviddin; Zhang, Ya-Zhou; Zhang, Xiao-Shuang; Lin, Nan; Tojibaev, Komiljon; Sun, Hang; Deng, Tao] Chinese Acad Sci, Kunming Inst Bot, CAS Key Lab Plant Divers &amp; Biogeog East Asia, Kunming 650204, Yunnan, Peoples R China; [Yusupov, Ziyoviddin; Zhang, Ya-Zhou; Lin, Nan] Univ Chinese Acad Sci, Beijing 100049, Peoples R China; [Yusupov, Ziyoviddin; Tojibaev, Komiljon] Acad Sci Uzbek, Inst Bot, Tashkent 100053, Uzbekistan; [Zhang, Dai-Gui; Zhang, Xiao-Shuang] Jishou Univ, Key Lab Plant Resources Conservat &amp; Utilizat, Jishou 416000, Hunan, Peoples R China; [Lv, Zhen-Yu] Yunnan Normal Univ, Sch Life Sci, Kunming 650500, Yunnan, Peoples R China</t>
  </si>
  <si>
    <t>Chinese Academy of Sciences; Kunming Institute of Botany, CAS; Chinese Academy of Sciences; University of Chinese Academy of Sciences, CAS; Academy of Sciences of Uzbekistan; Institute of Botany, Uzbekistan; Jishou University; Yunnan Normal University</t>
  </si>
  <si>
    <t>Sun, H; Deng, T (通讯作者)，Chinese Acad Sci, Kunming Inst Bot, CAS Key Lab Plant Divers &amp; Biogeog East Asia, Kunming 650204, Yunnan, Peoples R China.</t>
  </si>
  <si>
    <t>sunhang@mail.kib.ac.cn; dengtao@mail.kib.ac.cn</t>
  </si>
  <si>
    <t>Yusupov, Ziyoviddin/AAE-4357-2019</t>
  </si>
  <si>
    <t>Yusupov, Ziyoviddin/0000-0003-2278-542X</t>
  </si>
  <si>
    <t>National Natural Science Foundation of China-Yunnan joint fund [U1802232]; Major Program of NSFC [31590823]; NSFC [32170215]; Youth Innovation Promotion Association CAS [2019382]; Young Academic and Technical Leader Raising Foundation of Yunnan Province [2019HB039]; Second Tibetan Plateau Scientific Expedition and Research (STEP) program [2019QZKK0502]; CAS Light of West China Program</t>
  </si>
  <si>
    <t>National Natural Science Foundation of China-Yunnan joint fund(National Natural Science Foundation of China (NSFC)); Major Program of NSFC; NSFC(National Natural Science Foundation of China (NSFC)); Youth Innovation Promotion Association CAS; Young Academic and Technical Leader Raising Foundation of Yunnan Province; Second Tibetan Plateau Scientific Expedition and Research (STEP) program; CAS Light of West China Program</t>
  </si>
  <si>
    <t>We are grateful to Michael Moller and Sergey Volis for their comments and linguistic help. This study was supported by grants from the National Natural Science Foundation of China-Yunnan joint fund to support key projects (U1802232), the Major Program of NSFC (31590823), NSFC (32170215), the Youth Innovation Promotion Association CAS (2019382), the Young Academic and Technical Leader Raising Foundation of Yunnan Province (2019HB039), the Second Tibetan Plateau Scientific Expedition and Research (STEP) program (2019QZKK0502) and the CAS Light of West China Program.</t>
  </si>
  <si>
    <t>10.1016/j.pld.2021.11.008</t>
  </si>
  <si>
    <t>WOS:000798440100011</t>
  </si>
  <si>
    <t>Song, J; Bian, JG; Xue, N; Xu, YX; Wu, JQ</t>
  </si>
  <si>
    <t>Song, Juan; Bian, Jinge; Xue, Na; Xu, Yuxing; Wu, Jianqiang</t>
  </si>
  <si>
    <t>Inter-species mRNA transfer among green peach aphids, dodder parasites, and cucumber host plants</t>
  </si>
  <si>
    <t>Dodder; Cuscuta; Green peach aphid; Host plant; mRNA transfer; Inter-kingdom interaction</t>
  </si>
  <si>
    <t>LONG-DISTANCE TRANSPORT; TRANSCRIPT; RESPONSES; MOVEMENT; EXCHANGE; MOBILITY; SIGNALS</t>
  </si>
  <si>
    <t>mRNAs are transported within a plant through phloem. Aphids are phloem feeders and dodders (Cuscuta spp.) are parasites which establish phloem connections with host plants. When aphids feed on dodders, whether there is trafficking of mRNAs among aphids, dodders, and host plants and if aphid feeding affects the mRNA transfer between dodders and hosts are unclear. We constructed a green peach aphid (GPA, Myzus persicae)-dodder (Cuscuta australis)-cucumber (Cucumis sativus) tritrophic system by infesting GPAs on C. australis, which parasitized cucumber hosts. We found that GPA feeding activated defense-related phytohormonal and transcriptomic responses in both C. australis and cucumbers and large numbers of mRNAs were found to be transferred between C. australis and cucumbers and between C. australis and GPAs; importantly, GPA feeding on C. australis greatly altered inter-species mobile mRNA profiles. Furthermore, three cucumber mRNAs and three GPA mRNAs could be respectively detected in GPAs and cucumbers. Moreover, our statistical analysis indicated that mRNAs with high abundances and long transcript lengths are likely to be mobile. This study reveals the existence of inter-species and even inter-kingdom mRNA movement among insects, parasitic plants, and parasite hosts, and suggests complex regulation of mRNA trafficking. Copyright (c) 2021 Kunming Institute of Botany, Chinese Academy of Sciences. Publishing services by Elsevier B.V. on behalf of KeAi Communications Co. Ltd. This is an open access article under the CC BY NC-ND license (http://creativecommons.org/licenses/by-nc-nd/4.0/).</t>
  </si>
  <si>
    <t>Song, Juan</t>
  </si>
  <si>
    <t>[Song, Juan; Bian, Jinge; Xue, Na; Xu, Yuxing; Wu, Jianqiang] Chinese Acad Sci, Kunming Inst Bot, Dept Econ Plants &amp; Biotechnol, Yunnan Key Lab Wild Plant Resources, Kunming 650201, Yunnan, Peoples R China; [Song, Juan; Bian, Jinge; Xue, Na; Xu, Yuxing; Wu, Jianqiang] Univ Chinese Acad Sci, CAS Ctr Excellence Biot Interact, Beijing 100049, Peoples R China</t>
  </si>
  <si>
    <t>Xu, YX; Wu, JQ (通讯作者)，Chinese Acad Sci, Kunming Inst Bot, Dept Econ Plants &amp; Biotechnol, Yunnan Key Lab Wild Plant Resources, Kunming 650201, Yunnan, Peoples R China.</t>
  </si>
  <si>
    <t>Xu, Yuxing/0000-0002-7801-8759; Song, Juan/0000-0002-6030-8037; Xue, Na/0000-0003-4145-1054</t>
  </si>
  <si>
    <t>China Postdoctoral Science Foun-dation [2020M673314, 2020M673315]; Post-doctoral Directional Training Foundation of Yunnan Province</t>
  </si>
  <si>
    <t>China Postdoctoral Science Foun-dation(China Postdoctoral Science Foundation); Post-doctoral Directional Training Foundation of Yunnan Province</t>
  </si>
  <si>
    <t>This work was supported by China Postdoctoral Science Foun-dation (2020M673314 (J.S.) and 2020M673315 (Y.X.) ) and Post-doctoral Directional Training Foundation of Yunnan Province (J.S. and Y.X.) . We are grateful to the Service Center for Experimental Biotechnology at the Kunming Institute of Botany, CAS, for sup-porting plant cultivation.</t>
  </si>
  <si>
    <t>10.1016/j.pld.2021.03.004</t>
  </si>
  <si>
    <t>ZI3WY</t>
  </si>
  <si>
    <t>WOS:000761555800001</t>
  </si>
  <si>
    <t>Qian, LS; Shi, HH; Ou, XK; Sun, H</t>
  </si>
  <si>
    <t>Qian, Li-Shen; Shi, Hong-Hua; Ou, Xiao-Kun; Sun, Hang</t>
  </si>
  <si>
    <t>Elevational patterns of functional diversity and trait of Delphinium (Ranunculaceae) in Hengduan Mountains, China</t>
  </si>
  <si>
    <t>Elevational gradients; Species richness; Functional diversity; Hengduan mountains</t>
  </si>
  <si>
    <t>SPECIES RICHNESS PATTERNS; PHYLOGENETIC DIVERSITY; GEOMETRIC CONSTRAINTS; REPRODUCTIVE ALLOCATION; ENDEMIC RICHNESS; GLOBAL ANALYSIS; SMALL MAMMALS; GRADIENT; DRIVERS; PLANTS</t>
  </si>
  <si>
    <t>Elevational patterns of trait occurrence and functional diversity provide an important perspective for understanding biodiversity. However, previous studies have mostly examined functional diversity at the community scale. Here, we examined large-scale patterns of trait occurrence and functional diversity in Delphinium along an elevational gradient from 1000 to 5700 m in the Hengduan Mountains, SW China. Elevational distribution and trait data of 102 Delphinium species were compiled to evaluate the patterns of interspecific traits, species richness, and functional diversity. We found that the distribution of species richness showed a unimodal curve that peaked between 3500 and 4000 m; functional diversity and traits showed different patterns along an elevational gradient. The functional diversity increased at a lower rate along an elevation gradient, whereas species richness continued to increase. Species with large ranges and non-endemic species were most affected by geometric constraints. Richness of species endemic to the Hengduan Mountains peaked at higher elevations, likely due to increased speciation and restricted dispersion under alpine conditions. We conclude that the middle elevation region is not only the functionally richest but also the most functionally stable region for Delphinium, which could be insurance against environmental change. Extreme conditions and strong environmental filters in an alpine environment may cause the convergence of species traits, which could relate to reducing nutrient trait investment and increasing reproductive trait investment. We conclude that large-scale studies are consistent with previous studies at the community scale. This may indicate that the relationship between functional diversity and species richness across different scales is the same. Copyright (c) 2021 Kunming Institute of Botany, Chinese Academy of Sciences. Publishing services by Elsevier B.V. on behalf of KeAi Communications Co., Ltd. This is an open access article under the CC BY NC-ND license (http://creativecommons.org/licenses/by-nc-nd/4.0/).</t>
  </si>
  <si>
    <t>Qian, Li-Shen</t>
  </si>
  <si>
    <t>[Qian, Li-Shen] Yunnan Univ, Sch Life Sci, Kunming 650091, Yunnan, Peoples R China; [Qian, Li-Shen; Shi, Hong-Hua] Univ Chinese Acad Sci, Beijing 100049, Peoples R China; [Qian, Li-Shen; Shi, Hong-Hua; Sun, Hang] Chinese Acad Sci, Kunming Inst Bot, CAS Key Lab Plant Divers &amp; Biogeog East Asia, Kunming 650201, Yunnan, Peoples R China; [Ou, Xiao-Kun] Yunnan Univ, Sch Ecol &amp; Environm Sci, Kunming 650091, Yunnan, Peoples R China</t>
  </si>
  <si>
    <t>Yunnan University; Chinese Academy of Sciences; University of Chinese Academy of Sciences, CAS; Chinese Academy of Sciences; Kunming Institute of Botany, CAS; Yunnan University</t>
  </si>
  <si>
    <t>Sun, H (通讯作者)，Chinese Acad Sci, Kunming Inst Bot, CAS Key Lab Plant Divers &amp; Biogeog East Asia, Kunming 650201, Yunnan, Peoples R China.;Ou, XK (通讯作者)，Yunnan Univ, Sch Ecol &amp; Environm Sci, Kunming 650091, Yunnan, Peoples R China.</t>
  </si>
  <si>
    <t>xkou@ynu.edu.cn; sunhang@mail.kib.ac.cn</t>
  </si>
  <si>
    <t>Second Tibetan Plateau Scientific Expedition and Research (STEP) program [2019QZKK0502]; Strategic Priority Research Program of the Chinese Academy of Sciences [XDA20050203]; Key Projects of the Joint Fund of the National Natural Science Foundation of China [U1802232]</t>
  </si>
  <si>
    <t>Second Tibetan Plateau Scientific Expedition and Research (STEP) program; Strategic Priority Research Program of the Chinese Academy of Sciences(Chinese Academy of Sciences); Key Projects of the Joint Fund of the National Natural Science Foundation of China(National Natural Science Foundation of China (NSFC))</t>
  </si>
  <si>
    <t>We thank Jiahui Chen for his kind help to provide the data source of functional traits. We thank Lu Sun for his kind help with R. This study was supported by the Second Tibetan Plateau Scientific Expedition and Research (STEP) program (2019QZKK0502), the Strategic Priority Research Program of the Chinese Academy of Sciences (XDA20050203), and the Key Projects of the Joint Fund of the National Natural Science Foundation of China (U1802232).</t>
  </si>
  <si>
    <t>10.1016/j.pld.2021.11.004</t>
  </si>
  <si>
    <t>WOS:000761555800003</t>
  </si>
  <si>
    <t>Yin, ZJ; Wang, ZH; Kilian, N; Liu, Y; Peng, H; Zhao, MX</t>
  </si>
  <si>
    <t>Yin, Zhi-Jian; Wang, Ze-Huan; Kilian, Norbert; Liu, Ying; Peng, Hua; Zhao, Ming-Xu</t>
  </si>
  <si>
    <t>Mojiangia oreophila (Crepidinae, Cichorieae, Asteraceae), a new species and genus from Mojiang County, SW Yunnan, China, and putative successor of the maternal Faberia ancestor</t>
  </si>
  <si>
    <t>Asteraceae; Crepidinae; Phylogeny; Taxonomy; Reticulate evolution; Cytonuclear discordance</t>
  </si>
  <si>
    <t>POLLEN MORPHOLOGY; COMPOSITAE; CYTOTAXONOMY; ORIGIN; GENERA; MODEL</t>
  </si>
  <si>
    <t>A single small population of chasmophytic plants is described as Mojiangia oreophila, a monotypic genus in the subtribe Crepidinae, characterised by a unique combination of morphological features, in particular densely long-papillose homomorphic achenes with five main ribs each accompanied by two secondary ribs, coarse brownish pappus bristles, moderately many -flowered capitula, a small involucre with numerous outer phyllaries, perennial rosette herb growth and brown-woolly caudex and leaf axils. Molecular phylogenetic analysis detected that in the nrITS phylogeny M. oreophila forms a clade of its own in the Crepidinae; in the plastid DNA phylogeny it is nested in the clade formed by the hybridogenous genus Faberia, the maternal ancestor of which comes from the Crepidinae and the paternal ancestor from the Lactucinae, where Faberia is placed in nrITS phylogenies. M. oreophila shares several morphological features with Faberia and also shares the expected chromosome number of 2n 1/4 16 with its hitherto unknown maternal ancestor. M. oreophila may therefore be a successor of the maternal ancestor of Faberia. Alternatively, cytonuclear discordance is to be assumed in Mojiangia, caused by chloroplast capture as a result of hybridisation and introgression with Faberia. Copyright (c) 2021 Kunming Institute of Botany, Chinese Academy of Sciences. Publishing services by Elsevier B.V. on behalf of KeAi Communications Co. Ltd. This is an open access article under the CC BY NC-ND license (http://creativecommons.org/licenses/by-nc-nd/4.0/).</t>
  </si>
  <si>
    <t>Yin, Zhi-Jian</t>
  </si>
  <si>
    <t>[Yin, Zhi-Jian; Zhao, Ming-Xu] China Forest Explorat &amp; Design Inst Kunming, Kunming 650200, Yunnan, Peoples R China; [Wang, Ze-Huan] Guizhou Univ Tradit Chinese Med, Coll Pharm, Dept Med Plants &amp; Cultivat, Guiyang 550025, Peoples R China; [Kilian, Norbert] Free Univ Berlin, Bot Garten, Konigin Luise Str 6-8, D-14195 Berlin, Germany; [Kilian, Norbert] Free Univ Berlin, Bot Museum Berlin, Konigin Luise Str 6-8, D-14195 Berlin, Germany; [Liu, Ying] Sun Yat Sen Univ, Sch Life Sci, CAS State Key Lab Biocontrol, Guangzhou 510275, Guangdong, Peoples R China; [Liu, Ying] Sun Yat Sen Univ, Sch Life Sci, Guangdong Key Lab Plant Resources, Guangzhou 510275, Guangdong, Peoples R China; [Peng, Hua] Chinese Acad Sci, Kunming Inst Bot, Key Lab Plant Divers &amp; Biogeog East Asia, Kunming 650201, Yunnan, Peoples R China</t>
  </si>
  <si>
    <t>Guizhou University of Traditional Chinese Medicine; Free University of Berlin; Free University of Berlin; Sun Yat Sen University; Sun Yat Sen University; Chinese Academy of Sciences; Kunming Institute of Botany, CAS</t>
  </si>
  <si>
    <t>Kilian, N (通讯作者)，Free Univ Berlin, Bot Garten, Konigin Luise Str 6-8, D-14195 Berlin, Germany.;Kilian, N (通讯作者)，Free Univ Berlin, Bot Museum Berlin, Konigin Luise Str 6-8, D-14195 Berlin, Germany.</t>
  </si>
  <si>
    <t>n.kilian@bgbm.org</t>
  </si>
  <si>
    <t>Mingxu, Zhao/0000-0002-4981-9792; Kilian, Norbert/0000-0003-0890-4373</t>
  </si>
  <si>
    <t>National Natural Science Foundation of China [31500168]; specific funds for the Fourth National Survey on Chinese Materia Medica Resources [GZY-KJS-2018-004]</t>
  </si>
  <si>
    <t>National Natural Science Foundation of China(National Natural Science Foundation of China (NSFC)); specific funds for the Fourth National Survey on Chinese Materia Medica Resources</t>
  </si>
  <si>
    <t>The authors are grateful to the staff of KUN and the Institute of Cultivation and Processing of Chinese Medicinal Materials for research facilities. The use of high-performance computing resources at the Scientific Computing Service of the Freie Universitat Berlin is also gratefully acknowledged. This study was supported by the National Natural Science Foundation of China (grant no. 31500168) and specific funds for the Fourth National Survey on Chinese Materia Medica Resources (GZY-KJS-2018-004). Finally, we would like to thank the Editors and two anonymous reviewers for their valuable comments on earlier versions of this paper.</t>
  </si>
  <si>
    <t>10.1016/j.pld.2021.06.007</t>
  </si>
  <si>
    <t>WOS:000761555800007</t>
  </si>
  <si>
    <t>Lin, L; Cai, L; Fan, L; Ma, JC; Yang, XY; Hu, XJ</t>
  </si>
  <si>
    <t>Lin, Liang; Cai, Lei; Fan, Lei; Ma, Jun-Chao; Yang, Xiang-Yun; Hu, Xiao-Jian</t>
  </si>
  <si>
    <t>Seed dormancy, germination and storage behavior of Magnolia sinica, a plant species with extremely small populations of Magnoliaceae</t>
  </si>
  <si>
    <t>Magnolia sinica; Seed; Dormancy; Storage behavior; Cryopreservation; Excised embryo</t>
  </si>
  <si>
    <t>EMBRYO; TRAITS; YUNNAN; PSESP</t>
  </si>
  <si>
    <t>Magnolia sinica is one of the most endangered Magnoliaceae species in China. Seed biology information concerning its long-term ex situ conservation and utilization is insufficient. This study investigated dormancy status, germination requirements and storage behavior of M. sinica. Freshly matured seeds germinated to ca. 86.5% at 25/15 degrees C but poorly at 30 degrees C; GA3 and moist chilling promoted germination significantly at 20 degrees C. Embryos grew at temperatures (alternating or constant) between 20 degrees C and 25 degrees C, but not at 5 degrees C or 30 degrees C. Our results indicate that M. sinica seeds possibly have non-deep simple morphophysiological dormancy (MPD). Seeds survived desiccation to 9.27% and 4.85% moisture content (MC) as well as a further 6-month storage at-20 degrees C and in liquid nitrogen, including recovery in vitro as excised embryos. The established protocol ensured that at least 58% of seedlings were obtained after both cold storage and cryopreservation. These results indicate that both conventional seed banking and cryopreservation have potential as long-term ex situ conservation methods, although further optimized approaches are recommended for this critically endangered magnolia species. Copyright (c) 2021 Kunming Institute of Botany, Chinese Academy of Sciences. Publishing services by Elsevier B.V. on behalf of KeAi Communications Co., Ltd. This is an open access article under the CC BY license (http://creativecommons.org/licenses/by/4.0/).</t>
  </si>
  <si>
    <t>[Lin, Liang; Fan, Lei; Ma, Jun-Chao; Yang, Xiang-Yun; Hu, Xiao-Jian] Chinese Acad Sci, Kunming Inst Bot, Germplasm Bank Wild Species, Kunming 650201, Yunnan, Peoples R China; [Cai, Lei] Chinese Acad Sci, Kunming Inst Bot, Yunnan Key Lab Integrat Conservat Plant Species E, Key Lab Plant Divers &amp; Biogeog East Asia, Kunming 650201, Yunnan, Peoples R China</t>
  </si>
  <si>
    <t>Hu, XJ (通讯作者)，Chinese Acad Sci, Kunming Inst Bot, Germplasm Bank Wild Species, Kunming 650201, Yunnan, Peoples R China.</t>
  </si>
  <si>
    <t>huxiaojian@mail.kib.ac.cn</t>
  </si>
  <si>
    <t>Hu, Xiao-Jian/0000-0002-7328-3588</t>
  </si>
  <si>
    <t>Shandong Provincial Agricultural Elite Varieties Project 'Research on key techniques for conservation of wild forest species in germplasm bank' [2019LZGC01801]; Biological Resources Programme, Chinese Academy of Sciences [KFJ-BRP-017-75]; Science &amp; Technology Basic Resources Investigation Program of China [2017FY100100]; open research project of Cross-Cooperative Team of the Germplasm Bank of Wild Species, Kunming Institute of Botany, Chinese Academy of Sciences; National Natural Science Foundation of China [31500272]</t>
  </si>
  <si>
    <t>Shandong Provincial Agricultural Elite Varieties Project 'Research on key techniques for conservation of wild forest species in germplasm bank'; Biological Resources Programme, Chinese Academy of Sciences; Science &amp; Technology Basic Resources Investigation Program of China; open research project of Cross-Cooperative Team of the Germplasm Bank of Wild Species, Kunming Institute of Botany, Chinese Academy of Sciences; National Natural Science Foundation of China(National Natural Science Foundation of China (NSFC))</t>
  </si>
  <si>
    <t>We thank Prof. Hugh W. Pritchard for his great help on revision of the manuscript. We also thank Prof. Wei-Qi Li for his critical comments on the manuscript. We also would like to thank Yun Gang Guo, Juan Yang, Cheng Liu and Mei-Juan Li of the Germplasm Bank of Wild Species, Kunming Institute of Botany, Chinese Academy of Sciences for their help in this study. This study was supported by the Shandong Provincial Agricultural Elite Varieties Project 'Research on key techniques for conservation of wild forest species in germplasm bank' (grant no.2019LZGC01801); the Biological Resources Programme, Chinese Academy of Sciences (KFJ-BRP-017-75); the Science &amp; Technology Basic Resources Investigation Program of China (grant no. 2017FY100100); the open research project of Cross-Cooperative Team of the Germplasm Bank of Wild Species, Kunming Institute of Botany, Chinese Academy of Sciences and the National Natural Science Foundation of China (grant no. 31500272). This study was conducted using the facilities of the Large Research Infrastructures User Service Platform, Chinese Academy of Sciences.</t>
  </si>
  <si>
    <t>10.1016/j.pld.2021.06.009</t>
  </si>
  <si>
    <t>WOS:000761555800008</t>
  </si>
  <si>
    <t>Feng, JQ; Wang, JH; Zhang, SB</t>
  </si>
  <si>
    <t>Feng, Jing-Qiu; Wang, Ji-Hua; Zhang, Shi-Bao</t>
  </si>
  <si>
    <t>Leaf physiological and anatomical responses of two sympatric Paphiopedilum species to temperature</t>
  </si>
  <si>
    <t>Conservation; Cultivation; High-temperature; Leaf anatomy; Paphiopedilum; Photosynthesis</t>
  </si>
  <si>
    <t>PHENOTYPIC PLASTICITY; MESOPHYLL CONDUCTANCE; STOMATAL DENSITY; PHOTOSYNTHESIS; CO2; DROUGHT; TRAITS; GROWTH; WATER</t>
  </si>
  <si>
    <t>Paphiopedilum dianthum and P. micranthum are two endangered orchid species, with high ornamental and conservation values. They are sympatric species, but their leaf anatomical traits and flowering period have significant differences. However, it is unclear whether the differences in leaf structure of the two species will affect their adaptabilities to temperature. Here, we investigated the leaf photosynthetic, anatomical, and flowering traits of these two species at three sites with different temperatures (Kunming, 16.7 +/- 0.2 degrees C; Puer, 17.7 +/- 0.2 degrees C; Menglun, 23.3 +/- 0.2 degrees C) in southwest China. Compared with those at Puer and Kunming, the values of light-saturated photosynthetic rate (Pmax), stomatal conduc-tance (gs), leaf thickness (LT), and stomatal density (SD) in both species were lower at Menglun. The values of Pmax, gs, LT, adaxial cuticle thickness (CTad) and SD in P. dianthum were higher than those of P. micranthum at the three sites. Compared with P. dianthum, there were no flowering plants of P. micranthum at Menglun. These results indicated that both species were less resistance to high tem-perature, and P. dianthum had a stronger adaptability to high-temperature than P. micranthum. Our findings can provide valuable information for the conservation and cultivation of Paphiopedilum species. Copyright (c) 2021 Kunming Institute of Botany, Chinese Academy of Sciences. Publishing services by Elsevier B.V. on behalf of KeAi Communications Co., Ltd. This is an open access article under the CC BY-NC-ND license (http://creativecommons.org/licenses/by-nc-nd/4.0/).</t>
  </si>
  <si>
    <t>Feng, Jing-Qiu</t>
  </si>
  <si>
    <t>[Feng, Jing-Qiu; Zhang, Shi-Bao] Chinese Acad Sci, Kunming Inst Bot, Key Lab Econ Plants &amp; Biotechnol, Yunnan Key Lab Wild Plant Resources, Kunming 650201, Yunnan, Peoples R China; [Feng, Jing-Qiu] Univ Chinese Acad Sci, Beijing 100049, Peoples R China; [Wang, Ji-Hua] Yunnan Acad Agr Sci, Flower Res Inst, Kunming 650205, Yunnan, Peoples R China</t>
  </si>
  <si>
    <t>Chinese Academy of Sciences; Kunming Institute of Botany, CAS; Chinese Academy of Sciences; University of Chinese Academy of Sciences, CAS; Yunnan Academy of Agricultural Sciences</t>
  </si>
  <si>
    <t>Zhang, SB (通讯作者)，Chinese Acad Sci, Kunming Inst Bot, Key Lab Econ Plants &amp; Biotechnol, Yunnan Key Lab Wild Plant Resources, Kunming 650201, Yunnan, Peoples R China.</t>
  </si>
  <si>
    <t>National Natural Science Foundation of China [31970361]; Applied Basic Research Plan of Yunnan Province [2018FA016]; Science and Technology Plan of Yunnan [2018BB010]; project for Construction of International Flower Technology Innovation Center and Achievement Industrialization [2019ZG006]; Project for Innovation Team of Yunnan Province</t>
  </si>
  <si>
    <t>National Natural Science Foundation of China(National Natural Science Foundation of China (NSFC)); Applied Basic Research Plan of Yunnan Province; Science and Technology Plan of Yunnan; project for Construction of International Flower Technology Innovation Center and Achievement Industrialization; Project for Innovation Team of Yunnan Province</t>
  </si>
  <si>
    <t>This work was financially supported by the National Natural Science Foundation of China (31970361), the Applied Basic Research Plan of Yunnan Province (2018FA016), the Science and Technology Plan of Yunnan (2018BB010), and the project for Construction of International Flower Technology Innovation Center and Achievement Industrialization (2019ZG006), and the Project for Innovation Team of Yunnan Province. Thanks to Dr. John A Meadows for proofreading and editing. Thanks to Mr. Jianbo Yang for helping to make the map of species distribution.</t>
  </si>
  <si>
    <t>10.1016/j.pld.2021.05.001</t>
  </si>
  <si>
    <t>WOS:000761555800009</t>
  </si>
  <si>
    <t>Yang, H; Li, P; Jin, GH; Gui, DP; Liu, L; Zhang, CJ</t>
  </si>
  <si>
    <t>Yang, Hong; Li, Ping; Jin, Guihua; Gui, Daping; Liu, Li; Zhang, Chengjun</t>
  </si>
  <si>
    <t>Temporal regulation of alternative splicing events in rice memory under drought stress</t>
  </si>
  <si>
    <t>Alternative splicing; Drought memory; Exon skipping</t>
  </si>
  <si>
    <t>TRANSCRIPTION FACTOR FAMILY; GENOME-WIDE ANALYSIS; RNA-SEQ; GENE; IDENTIFICATION; SPLICEOSOME; COMPLEXITY; TOLERANCE; LANDSCAPE; PROTEIN</t>
  </si>
  <si>
    <t>Plant adaptation to drought stress is essential for plant survival and crop yield. Recently, harnessing drought memory, which is induced by repeated stress and recovery cycles, was suggested as a means to improve drought resistance at the transcriptional level. However, the genetic mechanism underlying drought memory is unclear. Here, we carried out a quantitative analysis of alternative splicing (AS) events in rice memory under drought stress, generating 12 transcriptome datasets. Notably, we identified exon skipping (ES) as the predominant AS type (&gt;80%) in differential alternative splicing (DAS) in response to drought stress. Applying our analysis pipeline to investigate DAS events following drought stress in six other plant species revealed variable ES frequencies ranging from 9.94% to 60.70% depending on the species, suggesting that the relative frequency of DAS types in plants is likely to be species specific. The dinucleotide sequence at AS splice sites in rice following drought stress was preferentially GC-AG and AT-AC. Since U12-type splicing uses the AT-AC site, this suggests that drought stress may increase U12-type splicing, and thus increase ES frequency. We hypothesize that multiple isoforms derived from exon skipping may be induced by drought stress in rice. We also identified 20 transcription factors and three highly connected hub genes with potential roles in drought memory that may be good targets for plant breeding. Copyright (c) 2020 Kunming Institute of Botany, Chinese Academy of Sciences. Publishing services by Elsevier B.V. on behalf of KeAi Communications Co., Ltd. This is an open access article under the CC BY NC-ND license (http://creativecommons.org/licenses/by-nc-nd/4.0/).</t>
  </si>
  <si>
    <t>Yang, Hong</t>
  </si>
  <si>
    <t>[Yang, Hong; Li, Ping; Jin, Guihua; Gui, Daping; Liu, Li; Zhang, Chengjun] Chinese Acad Sci, Kunming Inst Bot, Germplasm Bank Wild Species, Kunming 650201, Yunnan, Peoples R China; [Liu, Li] Hubei Univ, Hubei Collaborat Innovat Ctr Green Transformat Bi, State Key Lab Biocatalysis &amp; Enzyme Engn, Sch Life Sci,Hubei Key Lab Ind Biotechnol, Wuhan 430062, Peoples R China; [Zhang, Chengjun] Chinese Acad Sci, Haiyan Engn &amp; Technol Ctr, Kunming Inst Bot, Kunming 650201, Yunnan, Peoples R China; [Yang, Hong; Jin, Guihua] Univ Chinese Acad Sci, Beijing 100049, Peoples R China</t>
  </si>
  <si>
    <t>Chinese Academy of Sciences; Kunming Institute of Botany, CAS; Hubei University; Chinese Academy of Sciences; Kunming Institute of Botany, CAS; Chinese Academy of Sciences; University of Chinese Academy of Sciences, CAS</t>
  </si>
  <si>
    <t>Liu, L; Zhang, CJ (通讯作者)，Chinese Acad Sci, Kunming Inst Bot, Germplasm Bank Wild Species, Kunming 650201, Yunnan, Peoples R China.</t>
  </si>
  <si>
    <t>liulia@mail.kib.ac.cn; zhangchengjun@mail.kib.ac.cn</t>
  </si>
  <si>
    <t>National Natural Science Foundation of China [31571311, 31971410]; CAS Pioneer Hundred Talents Program</t>
  </si>
  <si>
    <t>National Natural Science Foundation of China(National Natural Science Foundation of China (NSFC)); CAS Pioneer Hundred Talents Program</t>
  </si>
  <si>
    <t>This study was funded by National Natural Science Foundation of China (31571311 to CZ and 31971410 to LL) and the CAS Pioneer Hundred Talents Program (CZ and LL) .</t>
  </si>
  <si>
    <t>10.1016/j.pld.2020.11.0042468-2659</t>
  </si>
  <si>
    <t>VK8QN</t>
  </si>
  <si>
    <t>WOS:000761555200001</t>
  </si>
  <si>
    <t>Wang, H; Zhang, ZQ; Zhang, B; Wang, LP; Guo, W; Fang, Y; Li, QJ</t>
  </si>
  <si>
    <t>Wang, Hao; Zhang, Zhi-Qiang; Zhang, Bo; Wang, Li-Ping; Guo, Wen; Fang, Ye; Li, Qing-Jun</t>
  </si>
  <si>
    <t>Architectural effects regulate resource allocation within the inflorescences with nonlinear blooming patterns</t>
  </si>
  <si>
    <t>AMERICAN JOURNAL OF BOTANY</t>
  </si>
  <si>
    <t>floral position; floral traits; flowering sequence; Lamiaceae; pollen; ovule ratio; reproductive success</t>
  </si>
  <si>
    <t>FLORAL SEX ALLOCATION; ACONITUM-GYMNANDRUM RANUNCULACEAE; REPRODUCTIVE SUCCESS; SEED SET; FRUIT; SIZE; FLOWERS; CONSTRAINTS; POLLINATION; TRAITS</t>
  </si>
  <si>
    <t>Premise Spatial and temporal resource allocations within inflorescences have been well-studied in many plants based on flowering sequence or floral position. However, there had been few attempts to investigate architectural effects and resource competition in species where the blooming pattern does not follow a linear positional pattern within the inflorescence. Moreover, most flowering plants show female-biased sex allocation in early or basal flowers, but it is unclear in species with inherent and changeless ovule production. Methods We investigated intra-inflorescence variation in reproductive traits of Salvia przewalskii, a perennial herb with 4-ouvle ovary flowers and flowering sequence-floral position decoupled inflorescences. To detect the effects of resource competition and architectural effects on reproductive success, we manipulated inflorescence (removed floral buds by position and flowering sequence) and pollination (opened and supplemented pollination). Results Pollen production and dry mass deceased from bottom to top flowers but did not significantly differ following flowering sequence, resulting in male-biased sex allocation in basal flowers. The seed production, fruit set, and bud development exhibited significant declining trends from proximal to distal positions regardless of the thinning and pollen treatments. Meanwhile, the seed production, fruit set, and bud development success did not significant differ when thinning was conducted according to flowering sequence. Conclusions Architectural effects plays a crucial role in resource allocation within decoupled flowering inflorescences. Moreover, our results highlighted that inherent floral traits such as changeless ovule production, may modify architectural effects on sex allocation.</t>
  </si>
  <si>
    <t>Wang, Hao</t>
  </si>
  <si>
    <t>[Wang, Hao; Zhang, Zhi-Qiang; Wang, Li-Ping; Guo, Wen; Li, Qing-Jun] Yunnan Univ, Sch Ecol &amp; Environm Sci, Inst Biodivers, Yunnan Key Lab Plant Reprod Adaptat &amp; Evolutionar, Kunming 650504, Yunnan, Peoples R China; [Wang, Hao; Zhang, Zhi-Qiang; Wang, Li-Ping; Guo, Wen; Li, Qing-Jun] Yunnan Univ, Sch Ecol &amp; Environm Sci, Inst Biodivers, State Key Lab Conservat &amp; Utilizat Bioresources Y, Kunming 650504, Yunnan, Peoples R China; [Zhang, Bo] Gansu Agr Univ, Coll Grassland Sci, Minist Educ, Key Lab Grassland Ecosyst, Lanzhou 730070, Peoples R China; [Zhang, Bo] Gansu Agr Univ, Coll Grassland Sci, Sino US Ctr Grazingland Ecosyst Sustainabil, Lanzhou 730070, Peoples R China; [Wang, Li-Ping] Chinese Acad Sci, Kunming Inst Bot, Kunming 650201, Yunnan, Peoples R China; [Fang, Ye] Shangri La Alpine Bot Garden, Diqing 674400, Peoples R China</t>
  </si>
  <si>
    <t>Yunnan University; Yunnan University; Gansu Agricultural University; Gansu Agricultural University; Chinese Academy of Sciences; Kunming Institute of Botany, CAS</t>
  </si>
  <si>
    <t>Zhang, ZQ (通讯作者)，Yunnan Univ, Sch Ecol &amp; Environm Sci, Inst Biodivers, Yunnan Key Lab Plant Reprod Adaptat &amp; Evolutionar, Kunming 650504, Yunnan, Peoples R China.</t>
  </si>
  <si>
    <t>zq.zhang@ynu.edu.cn</t>
  </si>
  <si>
    <t>Zhi-Qiang, Zhang/GWZ-6955-2022</t>
  </si>
  <si>
    <t>Zhi-Qiang, Zhang/0000-0002-6907-3481</t>
  </si>
  <si>
    <t>National Natural Science Foundation of China [31760104, 31960349]; YNCUB [2018KF002]</t>
  </si>
  <si>
    <t>National Natural Science Foundation of China(National Natural Science Foundation of China (NSFC)); YNCUB</t>
  </si>
  <si>
    <t>The authors would like to thank Guoxing Cao and two anonymous reviewers for their constructive and helpful comments on our manuscript; T. Wu, J. Tang, X.W. Lv, Y.M. Li, Q. Feng, and T. Yang for help in the field; Z.D. Fang and the staff at the Shangri-La field station for providing logistical support; and Y.Z. Xiong, J.C. Peng, and S.G. Sun for help with data analysis. This research was funded by the National Natural Science Foundation of China (no. 31760104 to Z.Q.Z.; and no. 31960349 to B.Z.) and a grant (no. 2018KF002) from YNCUB.</t>
  </si>
  <si>
    <t>0002-9122</t>
  </si>
  <si>
    <t>1537-2197</t>
  </si>
  <si>
    <t>AM J BOT</t>
  </si>
  <si>
    <t>Am. J. Bot.</t>
  </si>
  <si>
    <t>10.1002/ajb2.16001</t>
  </si>
  <si>
    <t>3D9MM</t>
  </si>
  <si>
    <t>WOS:000815585900001</t>
  </si>
  <si>
    <t>Bai, ZQ; Ma, XF; Liu, B; Huang, T; Hu, KF</t>
  </si>
  <si>
    <t>Bai, Zhi-Qiang; Ma, Xiaofang; Liu, Bin; Huang, Tao; Hu, Kaifeng</t>
  </si>
  <si>
    <t>Solution structure of c-FLIP death effector domains</t>
  </si>
  <si>
    <t>BIOCHEMICAL AND BIOPHYSICAL RESEARCH COMMUNICATIONS</t>
  </si>
  <si>
    <t>Anti-apoptosis; c-FLIP; Death effector domains</t>
  </si>
  <si>
    <t>NF-KAPPA-B; CRYSTAL-STRUCTURE; ACTIVATION; CASPASE-8; REVEALS; FADD; COMPLEX; INHIBITION; MECHANISMS; INSIGHTS</t>
  </si>
  <si>
    <t>The formation of death-inducing signaling complex (DISC) and death effector domain (DED) filament initiates extrinsic apoptosis. Recruitment and activation of procaspase-8 at the DISC are regulated by c-FLIP. The interaction between c-FLIP and procaspase-8 is mediated by their tandem DEDs (tDED). However, the structure of c-FLIPtDED and how c-FLIP interferes with procaspase-8 activation at the DISC remain elusive. Here, we solved the monomeric structure of c-FLIPtDED (F114G) at near physiological pH by solution nuclear magnetic resonance (NMR). Structural superimposition reveals c-FLIPtDED (F114G) adopts a structural topology similar to that of procaspase-8(tDED). Our results provide a structural basis for understanding how c-FLIP interacts with procaspase-8 and the molecular mechanisms of c-FLIP in regulating cell death. (C) 2022 Elsevier Inc. All rights reserved.</t>
  </si>
  <si>
    <t>Bai, Zhi-Qiang</t>
  </si>
  <si>
    <t>[Bai, Zhi-Qiang; Liu, Bin; Huang, Tao; Hu, Kaifeng] Chinese Acad Sci, Kunming Inst Bot, State Key Lab Phytochemistry &amp; Plant Resources Wes, 132 Lanhei Rd, Kunming 650201, Yunnan, Peoples R China; [Bai, Zhi-Qiang; Ma, Xiaofang; Hu, Kaifeng] Chengdu Univ Tradit Chinese Med, Innovat Inst Chinese Med &amp; Pharm, Chengdu 611137, Peoples R China; [Bai, Zhi-Qiang; Liu, Bin; Huang, Tao] Univ Chinese Acad Sci, Beijing 100049, Peoples R China; [Hu, Kaifeng] Chengdu Univ Tradit Chinese Med, Innovat Inst Chinese Med &amp; Pharm, 1166 Liutai Ave, Chengdu 611137, Sichuan, Peoples R China</t>
  </si>
  <si>
    <t>Chinese Academy of Sciences; Kunming Institute of Botany, CAS; Chengdu University of Traditional Chinese Medicine; Chinese Academy of Sciences; University of Chinese Academy of Sciences, CAS; Chengdu University of Traditional Chinese Medicine</t>
  </si>
  <si>
    <t>Hu, KF (通讯作者)，Chinese Acad Sci, Kunming Inst Bot, State Key Lab Phytochemistry &amp; Plant Resources Wes, 132 Lanhei Rd, Kunming 650201, Yunnan, Peoples R China.;Hu, KF (通讯作者)，Chengdu Univ Tradit Chinese Med, Innovat Inst Chinese Med &amp; Pharm, 1166 Liutai Ave, Chengdu 611137, Sichuan, Peoples R China.</t>
  </si>
  <si>
    <t>kaifenghu@cdutcm.edu.cn</t>
  </si>
  <si>
    <t>bai, Zhi-Qiang Bai/0000-0002-7182-4977; Hu, Kaifeng/0000-0002-2343-2012</t>
  </si>
  <si>
    <t>National Natural Science Foundation of China [32171440, 21573258]; Chengdu University of Traditional Chinese Medicine; Open Research Fund of Key Laboratory of Systematic Research of Distinctive Chinese Medicine Resources in Southwest China; Shanghai E-Research Institute of Bioactive Constituent in TCM Plan</t>
  </si>
  <si>
    <t>National Natural Science Foundation of China(National Natural Science Foundation of China (NSFC)); Chengdu University of Traditional Chinese Medicine; Open Research Fund of Key Laboratory of Systematic Research of Distinctive Chinese Medicine Resources in Southwest China; Shanghai E-Research Institute of Bioactive Constituent in TCM Plan</t>
  </si>
  <si>
    <t>We are grateful to Dr. Kwen-JenChang (Kunming University of Science and Technology, Kunming) for c-FLIPs plasmid. This work was supported by the National Natural Science Foundation of China (No. 32171440, 21573258) , Chengdu University of Traditional Chi-nese Medicine, the Open Research Fund of Key Laboratory of Systematic Research of Distinctive Chinese Medicine Resources in Southwest China, and Shanghai E-Research Institute of Bioactive Constituent in TCM Plan.</t>
  </si>
  <si>
    <t>0006-291X</t>
  </si>
  <si>
    <t>1090-2104</t>
  </si>
  <si>
    <t>BIOCHEM BIOPH RES CO</t>
  </si>
  <si>
    <t>Biochem. Biophys. Res. Commun.</t>
  </si>
  <si>
    <t>AUG 30</t>
  </si>
  <si>
    <t>10.1016/j.bbrc.2022.05.086</t>
  </si>
  <si>
    <t>2A8XY</t>
  </si>
  <si>
    <t>WOS:000809779800001</t>
  </si>
  <si>
    <t>Tilahun, M; Zhao, LS; Guo, ZT; Shen, YF; Ma, L; Callaway, TR; Xu, JC; Bu, DP</t>
  </si>
  <si>
    <t>Tilahun, Mekonnen; Zhao, Liansheng; Guo, Zitai; Shen, Yifan; Ma, Lu; Callaway, Todd R.; Xu, Jianchu; Bu, Dengpan</t>
  </si>
  <si>
    <t>Amla (Phyllanthus emblica) fresh fruit as new feed source to enhance ruminal fermentation and milk production in lactating dairy cows</t>
  </si>
  <si>
    <t>ANIMAL FEED SCIENCE AND TECHNOLOGY</t>
  </si>
  <si>
    <t>Rumen fermentation; Milk production; MUN; Nitrogen efficiency; Phyllanthus emblica; Tannin</t>
  </si>
  <si>
    <t>CONDENSED TANNIN EXTRACT; IN-VITRO DIGESTIBILITY; FATTY-ACID-COMPOSITION; RUMEN FERMENTATION; DIETARY SUPPLEMENTATION; HYDROLYZABLE TANNINS; GROWTH-PERFORMANCE; PHENOLIC-COMPOUNDS; METHANE EMISSION; UREA NITROGEN</t>
  </si>
  <si>
    <t>This study sought to determine the effect of feeding three levels of the novel feedstuff fresh Phyllanthus emblica (amla) fruit on nutrient digestibility, fermentation parameters, and milk production of lactating dairy cows. Eight ruminally cannulated mid-lactation dairy cows were randomly assigned to two treatment groups in a repeated crossover design. There was a 14-d adaptation phase followed by the start of period 1. In this period, the first group of 4 cows received the control diet, whereas the other group was supplemented with FAF at increasing levels (200, 400, 600 g/d), sequentially, at 14-d intervals. Each period consisted of a cow as the main plot, with three different amla doses representing subplots. In period 2, the control and supplemented groups were exchanged. For each sub-period, the first ten days were adjusted for diet adaptation, and the last four days were assigned to sample milk, feed, rumen, and feces. Supplementation of FAF had no effect (P = 0.92) on feed intake. While, the lowest (P &lt; 0.01) rumen protozoa count was recorded at 400 g/d FAF dose compared to other groups. However, total VFA concentrations varied in a quadratic manner (P = 0.04) with increasing FAF doses. The molar proportion of acetate (P = 0.01) and propionate (P &lt; 0.01) were altered (cubic effect). The effects of FAF supplementation on NH3-N concentration (P &lt; 0.001) were dose-dependent, with the concentration decreasing by 54.9% at 200 g/d and increasing by 29.8% at 600 g/d when compared to controls. There was a quadratic effect of FAF on milk yield (P = 0.02), with the 200 and 400 g/ d groups producing higher milk yields than the 600 g/d groups. The inclusion of 400 g/d FAF in the diet led to greater milk protein yield (P &lt; 0.01) and milk nitrogen efficiency (P &lt; 0.01) compared to cows fed 200 g/d FAF. Moreover, the concentration of milk urea nitrogen (MUN) was reduced (P &lt; 0.001) with 200 or 400 g/d FAF supplementation compared with control or 600 g/d FAF. When cows were supplemented with a 400 g/d FAF dose, both ruminal protozoa counts and MUN were reduced, but milk protein and nitrogen efficiency were increased with no reduction in milk production. These results suggest that FAF can be used as an alternative natural feed source up to 400 g/d on an as-fed basis, but beyond that there may have anti-nutritional factors that limit the levels of amla supplementation.</t>
  </si>
  <si>
    <t>[Tilahun, Mekonnen; Zhao, Liansheng; Guo, Zitai; Shen, Yifan; Ma, Lu; Xu, Jianchu; Bu, Dengpan] Chinese Acad Agr Sci CAAS, Inst Anim Sci IAS, State Key Lab Anim Nutr, Beijing 100193, Peoples R China; [Callaway, Todd R.] Univ Georgia, Dept Anim &amp; Dairy Sci, Athens, GA 30602 USA; [Xu, Jianchu; Bu, Dengpan] Chinese Acad Agr Sci, Ethiopian Inst Agr Res EIAR, Joint Lab Integrated Crop Tree Livestock Syst, Beijing 100193, Peoples R China; [Xu, Jianchu; Bu, Dengpan] World Agroforestry Ctr ICRAF, Beijing 100193, Peoples R China; [Xu, Jianchu] Chinese Acad Sci, Kunming Inst Bot, Key Lab Econ Plants &amp; Biotechnol, Kunming 650201, Yunnan, Peoples R China; [Xu, Jianchu] World Agroforestry Ctr East &amp; Cent Asia, Kunming 650201, Yunnan, Peoples R China</t>
  </si>
  <si>
    <t>Chinese Academy of Agricultural Sciences; University System of Georgia; University of Georgia; Chinese Academy of Agricultural Sciences; Chinese Academy of Sciences; Kunming Institute of Botany, CAS</t>
  </si>
  <si>
    <t>Bu, DP (通讯作者)，Chinese Acad Agr Sci CAAS, Inst Anim Sci IAS, State Key Lab Anim Nutr, Beijing 100193, Peoples R China.</t>
  </si>
  <si>
    <t>budengpan@caas.cn</t>
  </si>
  <si>
    <t>Meselu, Mekonnen Tilahun/0000-0001-9894-2562; Guo, Zitai/0000-0002-0105-9966</t>
  </si>
  <si>
    <t>Key Research and Development Program of the Ningxia Hui Autonomous Region [2021BEF02018]; Central Public-interest Scientific Institution Basal Research Fund [Y2021GH17, 2020-YWF-YB-07]; Agriculture Science and Technology Innovation Program [ASTIP-IAS07-1]; Beijing Dairy Industry Innovation Team [BAIC06-2021]</t>
  </si>
  <si>
    <t>Acknowledgments This research was partially supported by the Key Research and Development Program of the Ningxia Hui Autonomous Region (2021BEF02018) , the Central Public-interest Scientific Institution Basal Research Fund (Nos. Y2021GH17, and 2020-YWF-YB-07) , the Agriculture Science and Technology Innovation Program (ASTIP-IAS07-1) , and Beijing Dairy Industry Innovation Team (BAIC06-2021) . The authors are grateful to thank Jeferson M. Lourenco ( Ph.D.) for his help to review the manuscript.</t>
  </si>
  <si>
    <t>0377-8401</t>
  </si>
  <si>
    <t>1873-2216</t>
  </si>
  <si>
    <t>ANIM FEED SCI TECH</t>
  </si>
  <si>
    <t>Anim. Feed Sci. Technol.</t>
  </si>
  <si>
    <t>10.1016/j.anifeedsci.2021.115160</t>
  </si>
  <si>
    <t>Agriculture, Dairy &amp; Animal Science</t>
  </si>
  <si>
    <t>1K8CZ</t>
  </si>
  <si>
    <t>WOS:000798825300004</t>
  </si>
  <si>
    <t>Idrees, M; Zhang, ZY; Yaseen, A; Jiao, YQ; Zheng, X</t>
  </si>
  <si>
    <t>Idrees, Muhammad; Zhang, Zhiyong; Yaseen, Aftab; Jiao, Yongqing; Zheng, Xu</t>
  </si>
  <si>
    <t>Kadsura longipedunculata Finet &amp; Gagnepain (Schisandraceae): An Overview of Botany, Traditional Uses, Phytochemistry and Pharmacological Activities</t>
  </si>
  <si>
    <t>FORESTS</t>
  </si>
  <si>
    <t>Kadsura longipedunculata; phytochemistry; pharmacology; medicinal plant</t>
  </si>
  <si>
    <t>LOWERS SERUM-CHOLESTEROL; ESSENTIAL OILS; DIBENZOCYCLOOCTADIENE LIGNANS; TRITERPENE DILACTONES; CHEMICAL-CONSTITUENTS; STRUCTURE ELUCIDATION; GENUS KADSURA; HETEROCLITA; STEMS; 5-ALPHA-CHOLEST-8(14)-EN-3-BETA-OL-15-ONE</t>
  </si>
  <si>
    <t>Kadsura longipedunculata Finet &amp; Gagnepain (Chinese Kadsura vine) is an evergreen climbing shrub that is widely found in the southwest province of China. The plant can be used as folk medicine to cure canker sores, dysmenorrhea, traumatic injury, insomnia, rheumatoid arthritis, gastrointestinal inflammation, menstrual disorders, and feminine condition. We conducted an open-ended, online database search with the help of Baidu Scholar, CNKI, Elsevier, Scopus, ScienceDirect, Google, Pubmed, and Web of Science for all publications accessible from 1986 to 2022, using the terms related to traditional uses, botany, phytochemistry, and pharmacological properties. A total of ca. 314 phytochemicals were reviewed and identified in K. longipedunculata, with lignans and terpenoids as the predominant groups. The isolated compounds of this plant possess cytotoxic, antioxidant, antitumor, anti-inflammatory, anti-insomnia, anti-trypanosomal, anti-platelet aggregation, hepatoprotective, and other pharmacological effects. This review offers primary data for further research needed to determine the chemical components responsible for its pharmacological effect in order to continue its traditional use. More clinical and preclinical evidence is required to determine the rationale and safety of using K. longipendunculata for medicinal and food purposes.</t>
  </si>
  <si>
    <t>Idrees, Muhammad</t>
  </si>
  <si>
    <t>[Idrees, Muhammad; Zhang, Zhiyong] Neijiang Normal Univ, Coll Life Sci, Neijiang 641000, Peoples R China; [Yaseen, Aftab] Chinese Acad Sci, Kunming Inst Bot, Yunnan Key Lab Nat Med Chem, State Key Lab Phytochem &amp; Plant Resources West, Kunming 650201, Yunnan, Peoples R China; [Yaseen, Aftab] Univ Chinese Acad Sci, Beijing 100049, Peoples R China; [Jiao, Yongqing; Zheng, Xu] Henan Agr Univ, Coll Agron, State Key Lab Wheat &amp; Maize Crop Sci, Longzi Lake Campus, Zhengzhou 450046, Peoples R China; [Jiao, Yongqing; Zheng, Xu] Henan Agr Univ, Coll Agron, Longzi Lake Campus, Zhengzhou 450046, Peoples R China</t>
  </si>
  <si>
    <t>Neijiang Normal University; Chinese Academy of Sciences; Kunming Institute of Botany, CAS; Chinese Academy of Sciences; University of Chinese Academy of Sciences, CAS; Henan Agricultural University; Henan Agricultural University</t>
  </si>
  <si>
    <t>Idrees, M; Zhang, ZY (通讯作者)，Neijiang Normal Univ, Coll Life Sci, Neijiang 641000, Peoples R China.</t>
  </si>
  <si>
    <t>idreesbiotech@yahoo.com; zhangzyong219@126.com</t>
  </si>
  <si>
    <t>Idrees, Muhammad/0000-0001-7031-7247</t>
  </si>
  <si>
    <t>Key Research and Development Project of Sichuan Provincial Department of Science and Technology [2022YFN0032]; High-level Talent Introduction Project of Science and Technology Department of Sichuan Province of China [2021JDGD0019]; High-level Talent Teams of Neijiang Normal University [RSC202102]; Scientific Research Project of Neijiang Normal University [2020WJ02]</t>
  </si>
  <si>
    <t>Key Research and Development Project of Sichuan Provincial Department of Science and Technology; High-level Talent Introduction Project of Science and Technology Department of Sichuan Province of China; High-level Talent Teams of Neijiang Normal University; Scientific Research Project of Neijiang Normal University</t>
  </si>
  <si>
    <t>This research was funded by the Key Research and Development Project of Sichuan Provincial Department of Science and Technology (2022YFN0032), High-level Talent Introduction Project of Science and Technology Department of Sichuan Province of China (2021JDGD0019), the High-level Talent Teams of Neijiang Normal University (RSC202102), and the Scientific Research Project of Neijiang Normal University (2020WJ02).</t>
  </si>
  <si>
    <t>1999-4907</t>
  </si>
  <si>
    <t>Forests</t>
  </si>
  <si>
    <t>10.3390/f13081281</t>
  </si>
  <si>
    <t>4B9DQ</t>
  </si>
  <si>
    <t>WOS:000846068700001</t>
  </si>
  <si>
    <t>Maharachchikumbura, SSN; Wanasinghe, DN; Elgorban, AM; Al-Rejaie, SS; Kazerooni, EA; Cheewangkoon, R</t>
  </si>
  <si>
    <t>Maharachchikumbura, Sajeewa S. N.; Wanasinghe, Dhanushka N.; Elgorban, Abdallah M.; Al-Rejaie, Salim S.; Kazerooni, Elham A.; Cheewangkoon, Ratchadawan</t>
  </si>
  <si>
    <t>Brunneosporopsis yunnanensis gen. et sp. nov. and Allocryptovalsa xishuangbanica sp. nov., New Terrestrial Sordariomycetes from Southwest China</t>
  </si>
  <si>
    <t>LIFE-BASEL</t>
  </si>
  <si>
    <t>Diaporthomycetidae; Greater Mekong Subregion; Hypocreales; microfungi; Sichuan; Xylariomycetidae; Yunnan</t>
  </si>
  <si>
    <t>MULTIGENE PHYLOGENY; FUNGI; FORESTS; NUCLEAR</t>
  </si>
  <si>
    <t>Three fungal taxa were collected on dead branches of wood during fieldwork in Sichuan and Yunnan Provinces, China. The new generic name Brunneosporopsis gen. nov. and species B. yunnanensis sp. nov. are introduced for a novel taxon characterized by globose to subglobose and dark olivacous-brown conidia. Phylogenetic analyses based on combined LSU, SSU and tef1-alpha loci strongly support the monophyly of this taxon and place it in the subclass Diaporthomycetidae. It could not be assigned to any currently recognized families in the subclass and was, therefore, placed in the Diaporthomycetidae genera incertae sedis. A second taxon represents a new species in Allocryptovalsa based on an analysis of the sequence datasets of ITS and btub loci of the novel, brown-spored sexual morphic species. This taxon is described here as A. xishuangbanica sp. nov. An interesting hypocrealean fungus producing synnemata, Stilbocrea gracilipes, was collected from dead wood of an unknown host from Sichuan Province and is reported here, with asexual morph from both the host and culture as well as LSU, ITS, tef1-alpha, rpb2 and rpb1 sequence data.</t>
  </si>
  <si>
    <t>Maharachchikumbura, Sajeewa S. N.</t>
  </si>
  <si>
    <t>[Maharachchikumbura, Sajeewa S. N.] Univ Elect Sci &amp; Technol China, Ctr Informat Biol, Sch Life Sci &amp; Technol, Chengdu 611731, Peoples R China; [Wanasinghe, Dhanushka N.; Cheewangkoon, Ratchadawan] Chiang Mai Univ, Fac Agr, Dept Entomol &amp; Plant Pathol, Chiang Mai 50200, Thailand; [Wanasinghe, Dhanushka N.] Chinese Acad Sci, Honghe Ctr Mt Futures, Kunming Inst Bot, Beijing 654400, Honghe County, Peoples R China; [Elgorban, Abdallah M.] King Saud Univ, Coll Sci, Dept Bot &amp; Microbiol, Riyadh 11451, Saudi Arabia; [Al-Rejaie, Salim S.] King Saud Univ, Coll Pharm, Dept Pharmacol &amp; Toxicol, Riyadh 11451, Saudi Arabia; [Kazerooni, Elham A.] Kyungpook Natl Univ, Sch Appl Biosci, Daegu 41566, South Korea</t>
  </si>
  <si>
    <t>University of Electronic Science &amp; Technology of China; Chiang Mai University; Chinese Academy of Sciences; Kunming Institute of Botany, CAS; King Saud University; King Saud University; Kyungpook National University</t>
  </si>
  <si>
    <t>Wanasinghe, DN; Cheewangkoon, R (通讯作者)，Chiang Mai Univ, Fac Agr, Dept Entomol &amp; Plant Pathol, Chiang Mai 50200, Thailand.;Wanasinghe, DN (通讯作者)，Chinese Acad Sci, Honghe Ctr Mt Futures, Kunming Inst Bot, Beijing 654400, Honghe County, Peoples R China.</t>
  </si>
  <si>
    <t>sajeewa83@yahoo.com; wanasinghe@mail.kib.ac.cn; aelgorban@ksu.edu.sa; rajaie@ksu.edu.sa; elham.ghasemi.k@gmail.com; ratchadawan.c@cmu.ac.th</t>
  </si>
  <si>
    <t>Maharachchikumbura, Sajeewa/C-9403-2013; Wanasinghe, Dhanushka Nadeeshan/P-1693-2017; Elgorban, Dr. Abdallah/C-6000-2013</t>
  </si>
  <si>
    <t>Maharachchikumbura, Sajeewa/0000-0001-9127-0783; Wanasinghe, Dhanushka Nadeeshan/0000-0003-1759-3933; Kazerooni, Elham/0000-0003-2891-8254; Elgorban, Dr. Abdallah/0000-0003-3664-7853</t>
  </si>
  <si>
    <t>High-End Foreign Experts in the High-Level Talent 318 Recruitment Plan of Yunnan Province, 2021; CAS President's International Fellowship Initiative [2021FYB0005]; National Science Foundation of China (NSFC) [32150410362]; Human Resources and Social Security Bureau of Yunnan Province; University of Electronic Science and Technology of China; King Saud University, Riyadh, Saudi Arabia [RSP-2021/120]; Chiang Mai University</t>
  </si>
  <si>
    <t>High-End Foreign Experts in the High-Level Talent 318 Recruitment Plan of Yunnan Province, 2021; CAS President's International Fellowship Initiative; National Science Foundation of China (NSFC)(National Natural Science Foundation of China (NSFC)); Human Resources and Social Security Bureau of Yunnan Province; University of Electronic Science and Technology of China; King Saud University, Riyadh, Saudi Arabia(King Saud University); Chiang Mai University</t>
  </si>
  <si>
    <t>High-End Foreign Experts in the High-Level Talent 318 Recruitment Plan of Yunnan Province, 2021, CAS President's International Fellowship Initiative (number 2021FYB0005), the National Science Foundation of China (NSFC) under the project code 32150410362 and the Postdoctoral Fund from Human Resources and Social Security Bureau of Yunnan Province. University of Electronic Science and Technology of China. Researchers supporting Project number (RSP-2021/120), King Saud University, Riyadh, Saudi Arabia and Chiang Mai University.</t>
  </si>
  <si>
    <t>2075-1729</t>
  </si>
  <si>
    <t>Life-Basel</t>
  </si>
  <si>
    <t>10.3390/life12050635</t>
  </si>
  <si>
    <t>Biology; Microbiology</t>
  </si>
  <si>
    <t>Life Sciences &amp; Biomedicine - Other Topics; Microbiology</t>
  </si>
  <si>
    <t>1P0JY</t>
  </si>
  <si>
    <t>WOS:000801707600001</t>
  </si>
  <si>
    <t>Aslam, MM; Okal, EJ; Waseem, M</t>
  </si>
  <si>
    <t>Aslam, Mehtab Muhammad; Okal, Eyalira Jacob; Waseem, Muhammad</t>
  </si>
  <si>
    <t>Cadmium toxicity impacts plant growth and plant remediation strategies</t>
  </si>
  <si>
    <t>PLANT GROWTH REGULATION</t>
  </si>
  <si>
    <t>Cd toxicity; Heavy metals; Plant growth; Phytoremediation; Environmental pollution</t>
  </si>
  <si>
    <t>QUANTITATIVE TRAIT LOCUS; HEAVY-METAL ATPASE; OXIDATIVE STRESS; IRON TRANSPORTER; CD ACCUMULATION; RICE GRAINS; INDICA RICE; TOLERANCE; L.; RESPONSES</t>
  </si>
  <si>
    <t>Heavy metal (HM) contamination in agricultural soils has become a prime concern for today's society, as it entails environmental risks. Cadmium (Cd) is extremely toxic and carcinogenic, as it shows devastating effects on human health, and crop growth and productivity. Plants are the main source of heavy metal entry into the food chain, which originates due to anthropogenic activities (mining, smelting, and sewage sludge), results in enhanced Cd contamination in the environment. In crops, Cd antagonistically competes with nutrients acquisition and disturb plant physiological attributes, thus restricting plant survival in polluted soils. Therefore, a comprehensive review of environmentally friendly management practices for Cd-resilience crops is of utmost urgency. Thus, in this review we aim to advance our understanding in an integrated way to remediate heavy metals, identifying Cd-tolerant cultivars, selective breeding of low Cd-accumulating cultivars, Cd-tolerant plant growth-promoting rhizobacteria. Moreover, to understand molecular mechanisms and identify genes potentially implicated in Cd-tolerance with the final aim of engineering a perfect bioremediation ensemble to be used in the recovery of polluted soils, agroecosystems restoration, the reduction of environmental, and food-feed-associated risks, and ultimately protecting animal and human health. This may help to determine the ecological importance of Cd pollution in interdisciplinary studies and offers crucial remediation strategies to prevent the dispersion of Cd contamination in agricultural soils, to ensure global food security problems.</t>
  </si>
  <si>
    <t>[Aslam, Mehtab Muhammad] Yangzhou Univ, Coll Agr, Yangzhou 225009, Jiangsu, Peoples R China; [Aslam, Mehtab Muhammad] Chinese Univ HongKong, Dept Biol, State Key Lab Agrobiotechnol, Hong Kong, Peoples R China; [Okal, Eyalira Jacob] Chinese Acad Sci, Ctr Mt Futures, Kunming Inst Bot, Kunming 650201, Yunnan, Peoples R China; [Waseem, Muhammad] Univ Narowal, Dept Bot, Narowal 51600, Punjab, Pakistan; [Waseem, Muhammad] Hainan Univ, Coll Hort, Haikou 570100, Hainan, Peoples R China</t>
  </si>
  <si>
    <t>Yangzhou University; Chinese University of Hong Kong; Chinese Academy of Sciences; Kunming Institute of Botany, CAS; Hainan University</t>
  </si>
  <si>
    <t>Waseem, M (通讯作者)，Univ Narowal, Dept Bot, Narowal 51600, Punjab, Pakistan.;Waseem, M (通讯作者)，Hainan Univ, Coll Hort, Haikou 570100, Hainan, Peoples R China.</t>
  </si>
  <si>
    <t>m.waseem.botanist@gmail.com</t>
  </si>
  <si>
    <t>WASEEM, MUHAMMAD/K-9284-2019</t>
  </si>
  <si>
    <t>WASEEM, MUHAMMAD/0000-0001-7947-7722</t>
  </si>
  <si>
    <t>0167-6903</t>
  </si>
  <si>
    <t>1573-5087</t>
  </si>
  <si>
    <t>PLANT GROWTH REGUL</t>
  </si>
  <si>
    <t>Plant Growth Regul.</t>
  </si>
  <si>
    <t>10.1007/s10725-022-00917-7</t>
  </si>
  <si>
    <t>5U0GJ</t>
  </si>
  <si>
    <t>WOS:000876232600001</t>
  </si>
  <si>
    <t>Fang, DS; Cheng, CR; Qiu, MH; Peng, XR</t>
  </si>
  <si>
    <t>Fang, Da-Shuang; Cheng, Chun-Ru; Qiu, Ming-Hua; Peng, Xing-Rong</t>
  </si>
  <si>
    <t>Diverse meroterpenoids with alpha-glucosidase inhibitory activity from Ganoderma cochlear</t>
  </si>
  <si>
    <t>FITOTERAPIA</t>
  </si>
  <si>
    <t>Ganoderma; Ganoderma cochlear; Meroterpenoids; ?-Glucosidase; Molecular docking</t>
  </si>
  <si>
    <t>GANOMYCIN I; LUCIDUM</t>
  </si>
  <si>
    <t>Three new meroterpenoids, cochlearins J-L (1-3) and three known meroterpenoids (4-6) were isolated from the fruiting bodies of Ganoderma cochlear. NMR (1H and 13C NMR, 1H -1H COSY, HSQC, HMBC and ROESY), and HRESIMS were employed for the structure elucidation of new compounds. The stereostructures of 1-3 were confirmed by calculated ECD and optical rotation methods. Furthermore, compounds (+)-1, (-)-1, (+)-2, (-)-2, (+)-3, (-)-3, and 4-6 were evaluated for their alpha-glucosidase inhibitory activity. The results showed that com-pounds (+)-1, (-)-1 and (+)-2 exhibited stronger inhibition against alpha-glucosidase with IC50 values of 24.18 +/- 1.98, 26.49 +/- 3.20 and 29.68 +/- 2.73 mu M, respectively, compared to the positive control ursolic acid (49.65 +/- 2.21 mu M). The molecular docking experiments reveal that (+)-2 and (-)-2 had different binding mode with alpha-glucosidase, leading to their different inhibition.</t>
  </si>
  <si>
    <t>Fang, Da-Shuang</t>
  </si>
  <si>
    <t>[Fang, Da-Shuang; Cheng, Chun-Ru] Sichuan Univ Sci &amp; Engn, Coll Chem Engn, Inst Pharmaceut Engn Technol &amp; Applicat, Key Lab Green Chem Sichuan Inst Higher Educ, Zigong 643000, Sichuan, Peoples R China; [Fang, Da-Shuang; Qiu, Ming-Hua; Peng, Xing-Rong] Chinese Acad Sci, State Key Lab Phytochem &amp; Plant Resources West Chi, Kunming Inst Bot, Kunming 650201, Peoples R China; [Qiu, Ming-Hua; Peng, Xing-Rong] Univ Chinese Acad Sci, Kunming Coll Life Sci, Kunming 650204, Yunnan, Peoples R China</t>
  </si>
  <si>
    <t>Cheng, CR (通讯作者)，Sichuan Univ Sci &amp; Engn, Coll Chem Engn, Inst Pharmaceut Engn Technol &amp; Applicat, Key Lab Green Chem Sichuan Inst Higher Educ, Zigong 643000, Sichuan, Peoples R China.;Qiu, MH; Peng, XR (通讯作者)，Chinese Acad Sci, State Key Lab Phytochem &amp; Plant Resources West Chi, Kunming Inst Bot, Kunming 650201, Peoples R China.</t>
  </si>
  <si>
    <t>pharmaceutics@163.com; mhchiu@mail.kib.ac.cn; pengxingrong@mail.kib.ac.cn</t>
  </si>
  <si>
    <t>Basic Research Program of Yunnan Province [202001AT070070]; Youth Innovation Promotion Association of CAS [2019383]; Foundation Project of Key State Lab of Phytochemistry and Plant Resources in West China [P2022-KF10, P2020-KF02]; Central Guidance on Local Science and Technology Development Fund of Sichuan Province [2021ZYD0062]; graduate Innovation Fund of Sichuan University of Science Engineering [y2021009, y2021016]</t>
  </si>
  <si>
    <t>Basic Research Program of Yunnan Province; Youth Innovation Promotion Association of CAS; Foundation Project of Key State Lab of Phytochemistry and Plant Resources in West China; Central Guidance on Local Science and Technology Development Fund of Sichuan Province; graduate Innovation Fund of Sichuan University of Science Engineering</t>
  </si>
  <si>
    <t>The research work was financially supported by the Basic Research Program of Yunnan Province (202001AT070070), and the Youth Innovation Promotion Association of CAS (2019383). Foundation Project of Key State Lab. of Phytochemistry and Plant Resources in West China (P2022-KF10, P2020-KF02). As well as the Central Guidance on Local Science and Technology Development Fund of Sichuan Province (No. 2021ZYD0062). The graduate Innovation Fund of Sichuan University of Science &amp; Engineering (y2021009, y2021016).</t>
  </si>
  <si>
    <t>0367-326X</t>
  </si>
  <si>
    <t>1873-6971</t>
  </si>
  <si>
    <t>Fitoterapia</t>
  </si>
  <si>
    <t>10.1016/j.fitote.2022.105420</t>
  </si>
  <si>
    <t>http://dx.doi.org/10.1016/j.fitote.2022.105420</t>
  </si>
  <si>
    <t>8H8OG</t>
  </si>
  <si>
    <t>WOS:000921287300001</t>
  </si>
  <si>
    <t>Wang, Y; Ma, YB; Huang, XY; Li, TZ; He, XF; Zhang, XM; Chen, JJ</t>
  </si>
  <si>
    <t>Wang, Yuan; Ma, Yun-Bao; Huang, Xiao-Yan; Li, Tian-Ze; He, Xiao-Feng; Zhang, Xue-Mei; Chen, Ji-Jun</t>
  </si>
  <si>
    <t>Artemleucolides A-L, eudesmane-type sesquiterpenoids from Artemisia leucophylla and their antihepatoma cytotoxicity</t>
  </si>
  <si>
    <t>Artemisia leucophylla; Artemleucolides A-L; Eudesmane-type sesquiterpenoids; Cytotoxicity</t>
  </si>
  <si>
    <t>ASSIGNMENT; LACTONES</t>
  </si>
  <si>
    <t>Twelve undescribed and 13 known eudesmane-type sesquiterpenoids were obtained from Artemisia leucophylla, and structurally elucidated based on comprehensive analyses of spectral data, including HRESIMS, IR, 1D and 2D NMR, and ECD calculation. The absolute configuration of compound 1 was determined by a single X-ray single crystal diffraction. Chemically, compounds 1-5 featured unprecedented 1,2-seco-1-nor-eudesmane-type skeleton with a cis-fused 6/5 bicyclic system. Antihepatoma evaluation against three human hepatoma cell lines (HepG2, Huh7, and SK-Hep-1) for all compounds demonstrated that compound 7 displayed the most active cytotoxicity with IC50 values of 35.1, 35.0, and 32.7 mu\M.</t>
  </si>
  <si>
    <t>Wang, Yuan</t>
  </si>
  <si>
    <t>[Wang, Yuan; Ma, Yun-Bao; Huang, Xiao-Yan; Li, Tian-Ze; He, Xiao-Feng; Zhang, Xue-Mei; Chen, Ji-Jun] Chinese Acad Sci, Kunming Inst Bot, State Key Lab Phytochem &amp; Plant Resources West Chi, Kunming 650201, Peoples R China; [Wang, Yuan; Chen, Ji-Jun] Univ Chinese Acad Sci, Beijing 100049, Peoples R China; [Chen, Ji-Jun] Kunming Inst Bot, Chinese Acad Sci, State Key Lab Phytochem &amp; Plant Resources West Chi, 132 Lanhei Rd, Kunming 650201, Yunnan, Peoples R China</t>
  </si>
  <si>
    <t>Chen, JJ (通讯作者)，Kunming Inst Bot, Chinese Acad Sci, State Key Lab Phytochem &amp; Plant Resources West Chi, 132 Lanhei Rd, Kunming 650201, Yunnan, Peoples R China.</t>
  </si>
  <si>
    <t>Key Program of the National Natural Science Foundation of China [22137008]; Xingdian Yingcai Project [YNWR-KJLJ-2019-002]; Youth Innovation Promotion Association, CAS [2020386]; Reserve Talents of Young and Middle-aged Academic and Technical Leaders in Yunnan Province [202105AC160021]</t>
  </si>
  <si>
    <t>Key Program of the National Natural Science Foundation of China(National Natural Science Foundation of China (NSFC)); Xingdian Yingcai Project; Youth Innovation Promotion Association, CAS; Reserve Talents of Young and Middle-aged Academic and Technical Leaders in Yunnan Province</t>
  </si>
  <si>
    <t>This work was financially supported by the Key Program of the National Natural Science Foundation of China (22137008) , the Xingdian Yingcai Project (YNWR-KJLJ-2019-002) , the Youth Innovation Promotion Association, CAS (2020386) , the Reserve Talents of Young and Middle-aged Academic and Technical Leaders in Yunnan Province (202105AC160021) .</t>
  </si>
  <si>
    <t>10.1016/j.fitote.2022.105399</t>
  </si>
  <si>
    <t>http://dx.doi.org/10.1016/j.fitote.2022.105399</t>
  </si>
  <si>
    <t>8G0TU</t>
  </si>
  <si>
    <t>WOS:000920065500001</t>
  </si>
  <si>
    <t>Guo, K; Ren, X; Zhou, TT; Li, T; Liu, YC; Tao, Y; Hu, H; Li, D; Liu, Y; Li, SH</t>
  </si>
  <si>
    <t>Guo, Kai; Ren, Xue; Zhou, Ting-Ting; Li, Tao; Liu, Yan-Chun; Tao, Yang; Hu, Hong; Li, Dan; Liu, Yan; Li, Sheng-Hong</t>
  </si>
  <si>
    <t>Secondary metabolites from the Mongolian medicine Lomatogonium carinthiacum</t>
  </si>
  <si>
    <t>Lomatogonium carinthiacum; Gentianaceae; Monoterpenoids; Monoterpenoid alkaloids; Sesquiterpenoids; Immunosuppressive activity</t>
  </si>
  <si>
    <t>STRUCTURAL ELUCIDATION; GLYCOSIDES; SECOIRIDOIDS; GLUCOSIDE; PART</t>
  </si>
  <si>
    <t>Systematic phytochemical investigation on the Mongolian medicinal herb Lomatogonium carinthiacum led to the isolation of 12 monoterpenoids including three new secoiridoids (1, 2 and 4) and one new iridoid glycoside (13), one new monoterpenoid alkaloid (3), and three new sesquiterpenoids (14-16). Comprehensive spectroscopic analysis (including 1D and 2D NMR, and HRESIMS) and quantum chemistry computations (including ECD and NMR calculations) were applied to elucidate their structures. Weak immunosuppressive activities were observed for the new isolates via inhibiting T cell proliferation and cytokine IFN-gamma secretion in vitro.</t>
  </si>
  <si>
    <t>[Guo, Kai; Ren, Xue; Li, Tao; Tao, Yang; Hu, Hong; Li, Dan; Liu, Yan; Li, Sheng-Hong] Chengdu Univ Tradit Chinese Med, Innovat Inst Chinese Med &amp; Pharm, State Key Lab Southwestern Chinese Med Resources, Chengdu 611137, Peoples R China; [Zhou, Ting-Ting; Liu, Yan-Chun; Li, Sheng-Hong] Chinese Acad Sci, Kunming Inst Bot, State Key Lab Phytochemistry &amp; Plant Resources Wes, Yunnan Key Lab Nat Med Chem, Kunming 650201, Peoples R China</t>
  </si>
  <si>
    <t>Chengdu University of Traditional Chinese Medicine; Chinese Academy of Sciences; Kunming Institute of Botany, CAS</t>
  </si>
  <si>
    <t>Li, SH (通讯作者)，Chengdu Univ Tradit Chinese Med, Innovat Inst Chinese Med &amp; Pharm, State Key Lab Southwestern Chinese Med Resources, Chengdu 611137, Peoples R China.;Li, SH (通讯作者)，Chinese Acad Sci, Kunming Inst Bot, State Key Lab Phytochemistry &amp; Plant Resources Wes, Yunnan Key Lab Nat Med Chem, Kunming 650201, Peoples R China.</t>
  </si>
  <si>
    <t>State Key Program of National Natural Science Foundation of China [21937006]; National Natural Science Foundation of China [82204245, 31900299]; Natural Science Foundation of Sichuan [2022NSFSC1456, 2022NSFSC1362]; Natural Science Foundation of Yunnan [2019ZF011-2]; China Postdoctoral Science Foundation [2021M690487]; China National Postdoctoral Program for Innovative Talents [BX20220048]</t>
  </si>
  <si>
    <t>State Key Program of National Natural Science Foundation of China(National Natural Science Foundation of China (NSFC)); National Natural Science Foundation of China(National Natural Science Foundation of China (NSFC)); Natural Science Foundation of Sichuan; Natural Science Foundation of Yunnan(Natural Science Foundation of Yunnan Province); China Postdoctoral Science Foundation(China Postdoctoral Science Foundation); China National Postdoctoral Program for Innovative Talents</t>
  </si>
  <si>
    <t>This work was financially supported by the State Key Program of National Natural Science Foundation of China (21937006) , the National Natural Science Foundation of China (82204245 and 31900299) , the Natural Science Foundation of Sichuan (2022NSFSC1456 and 2022NSFSC1362) , the Natural Science Foundation of Yunnan (2019ZF011-2) , the China Postdoctoral Science Foundation (2021M690487) , and the China National Postdoctoral Program for Innovative Talents (BX20220048) .</t>
  </si>
  <si>
    <t>10.1016/j.fitote.2022.105402</t>
  </si>
  <si>
    <t>http://dx.doi.org/10.1016/j.fitote.2022.105402</t>
  </si>
  <si>
    <t>7Z9EH</t>
  </si>
  <si>
    <t>WOS:000915853600001</t>
  </si>
  <si>
    <t>Wu, SL; Zhang, CC; Chen, JJ; Zhang, XM; Guan, M; Geng, CA</t>
  </si>
  <si>
    <t>Wu, Sheng-Li; Zhang, Chen-Chen; Chen, Ji-Jun; Zhang, Xue-Mei; Guan, Min; Geng, Chang-An</t>
  </si>
  <si>
    <t>Oligostilbenes from the seeds of Paeonia lactiflora as potent GLP-1 secretagogues targeting TGR5 receptor</t>
  </si>
  <si>
    <t>Paeonilactiflobenoid; Stilbene trimer-flavonoid hybrid; Stilbenes; Paeonia lactiflora; GLP-1 secretagogues</t>
  </si>
  <si>
    <t>GLUCAGON-LIKE PEPTIDE-1; GLYCEMIC CONTROL; ANTIOXIDANT; METABOLISM; SECRETION; METFORMIN; EXTRACT; CELLS</t>
  </si>
  <si>
    <t>One unusual stilbene trimer-flavonoid hybrid, paeonilactiflobenoid (1), together with six known stilbenes (2-7) were isolated from the seeds of Paeonia lactiflora. The structure of 1 was elucidated with the aid of HRESIMS, 1D and 2D NMR, [alpha]D spectroscopic data and ECD calculation. Compounds 2-7 showed stimulative effects on GLP-1 secretion with promoting rates of 79.8%-880.4% (25 mu M) and 217.6%-1089.4% (50 mu M), more potent than the positive control, oleoylethanolamide (250.2% at 50 mu M). Moreover, compounds 4 and 6 exhibited agonistic activity on the G protein-coupled receptor (GPCR) TGR5 with stimulative ratios of 40.2% and 40.5% at 50 mu M, and 54.2% and 49.1% at 100 mu M, respectively. Docking study manifested that 6 well located in the catalytic pocket of TGR5 by hydrogen-bond and hydrophobic interactions. The GLP-1 promotion of 6 could be attenuated by IP3, Ca2+/CaMKII and MEK/ERK pathway inhibitors, suggesting that these pathways played important roles in GLP-1 secretion. Thus, stilbenes in peony seeds maybe regarded as potential GLP-1 secretagogues through TGR5-IP3-Ca2+/CaMKII-MEK/ERK pathways.</t>
  </si>
  <si>
    <t>Wu, Sheng-Li</t>
  </si>
  <si>
    <t>[Wu, Sheng-Li; Zhang, Chen-Chen; Chen, Ji-Jun; Zhang, Xue-Mei; Geng, Chang-An] Chinese Acad Sci, Kunming Inst Bot, State Key Lab Phytochemistry &amp; Plant Resources Wes, Kunming 650201, Peoples R China; [Wu, Sheng-Li] Yunnan Univ, Sch Life Sci, Kunming 650500, Peoples R China; [Wu, Sheng-Li; Chen, Ji-Jun] Univ Chinese Acad Sci, Beijing 100049, Peoples R China; [Guan, Min] Chinese Acad Sci, Inst Biomed &amp; Biotechnol, Shenzhen Inst Adv Technol, Ctr Human Tissues &amp; Organs Degenerat, Shenzhen 518055, Peoples R China; [Geng, Chang-An] Chinese Acad Sci, Kunming Inst Bot, State Key Lab Phytochemistry &amp; Plant Resources Wes, 132 Lanhei Rd, Kunming 650201, Peoples R China</t>
  </si>
  <si>
    <t>Chinese Academy of Sciences; Kunming Institute of Botany, CAS; Yunnan University; Chinese Academy of Sciences; University of Chinese Academy of Sciences, CAS; Chinese Academy of Sciences; Shenzhen Institute of Advanced Technology, CAS; Chinese Academy of Sciences; Kunming Institute of Botany, CAS</t>
  </si>
  <si>
    <t>Geng, CA (通讯作者)，Chinese Acad Sci, Kunming Inst Bot, State Key Lab Phytochemistry &amp; Plant Resources Wes, 132 Lanhei Rd, Kunming 650201, Peoples R China.</t>
  </si>
  <si>
    <t>Yunnan Science Fund for Distinguished Young Scholars [202201AV070010]; Xingdian Yingcai Projects [YNWR-QNBJ-2018-061, YNWR-KJLJ-2019-002]; Fund of State Key Laboratory of Phytochemistry and Plant Resources in West China [P2022-KF12]</t>
  </si>
  <si>
    <t>Yunnan Science Fund for Distinguished Young Scholars; Xingdian Yingcai Projects; Fund of State Key Laboratory of Phytochemistry and Plant Resources in West China</t>
  </si>
  <si>
    <t>This work was supported by the Yunnan Science Fund for Distinguished Young Scholars (202201AV070010), the Xingdian Yingcai Projects (YNWR-QNBJ-2018-061 and YNWR-KJLJ-2019-002), and the Fund of State Key Laboratory of Phytochemistry and Plant Resources in West China (P2022-KF12).</t>
  </si>
  <si>
    <t>10.1016/j.fitote.2022.105336</t>
  </si>
  <si>
    <t>5W4VZ</t>
  </si>
  <si>
    <t>WOS:000877914900004</t>
  </si>
  <si>
    <t>Xiang, ML; Zhao, YL; Yan, XJ; Chen, S; Luo, XD</t>
  </si>
  <si>
    <t>Xiang, Mei-Ling; Zhao, Yun-Li; Yan, Xiao-Jun; Chen, Song; Luo, Xiao-Dong</t>
  </si>
  <si>
    <t>The phytochemical constituents and protective effect of Fritillaria hupehensis on acute lung injury</t>
  </si>
  <si>
    <t>Fritillaria hupehensis; Alkaloids; Acute lung injury; Lipopolysaccharides; Inflammation</t>
  </si>
  <si>
    <t>ANTIINFLAMMATORY ACTIVITY; STEROIDAL ALKALOIDS; BULBS; INFLAMMATION; CIRRHOSA; PROMOTE; CELLS; MODEL</t>
  </si>
  <si>
    <t>Acute lung injury (ALI), a severe respiratory disorder, frequently develops into acute respiratory distress syndrome (ARDS) without timely treatment and scores highly in terms of morbidity and mortality rates. Fritillaria hupehensis is a famous traditional Chinese medicine with antitussive, expectorant and anti-asthmatic effect. Here, the effects of F. hupehensis extracts on lipopolysaccharide (LPS)-induced ALI mice were evaluated for the first time. We showed ethyl acetate fraction (EAF) significantly reduced the leukocytes and neutrophils of bronchoalveolar lavage fluid (BALF) and the lung index as well as pro-inflammatory cytokines (TNF-alpha and IL-6) of lung homogenates but increasing the anti-inflammatory cytokines (IL-4 and IL-10). Additionally, the alleviation of EAF treatment on lung injury was verified through histopathological observations. Subsequent phytochemical investigation on bioactive fraction led to isolation of 17 compounds including two new, in which compounds 2, 5 and 6 exhibited better anti-inflammatory effect on LPS-induced 16 human airway epithelial (16HBE) cells model by inhibiting the production of CRP and PCT. Furthermore, compound 2 suppressed the LPS-induced upregulation of proteins containing p-p65, COX-2, Caspase-1 and IL-18. In summary, F. hupehensis alleviating LPSinduced ALI in mice may be associated with the anti-inflammatory activity of steroidal alkaloids by suppressing the NF-kappa B-regulated pro-inflammatory proteins.</t>
  </si>
  <si>
    <t>Xiang, Mei-Ling</t>
  </si>
  <si>
    <t>[Xiang, Mei-Ling; Zhao, Yun-Li; Yan, Xiao-Jun; Chen, Song; Luo, Xiao-Dong] Yunnan Univ, Sch Chem Sci &amp; Technol, Key Lab Med Chem Nat Resource, Minist Educ, Kunmina 650500, Peoples R China; [Xiang, Mei-Ling; Zhao, Yun-Li; Yan, Xiao-Jun; Chen, Song; Luo, Xiao-Dong] Yunnan Univ, Sch Chem Sci &amp; Technol, Yunnan Prov Yunnan Characterist Plant Extract Lab, Kunmina 650500, Peoples R China; [Luo, Xiao-Dong] Chinese Acad Sci, Kunming Inst Bot, State Key Lab Phytochem &amp; Plant Resources West Chi, Kunming 650201, Peoples R China</t>
  </si>
  <si>
    <t>Luo, XD (通讯作者)，Yunnan Univ, Sch Chem Sci &amp; Technol, Key Lab Med Chem Nat Resource, Minist Educ, Kunmina 650500, Peoples R China.;Luo, XD (通讯作者)，Yunnan Univ, Sch Chem Sci &amp; Technol, Yunnan Prov Yunnan Characterist Plant Extract Lab, Kunmina 650500, Peoples R China.</t>
  </si>
  <si>
    <t>High-level Talent Pro- motion and Training Project of Kunming [2022SCP003]; Project of Yunnan Characteristic Plant Screening and R &amp; D Service CXO Platform [2022YKZY001]; Yunnan Science and Technology Project [202105AE160006]</t>
  </si>
  <si>
    <t>High-level Talent Pro- motion and Training Project of Kunming; Project of Yunnan Characteristic Plant Screening and R &amp; D Service CXO Platform; Yunnan Science and Technology Project</t>
  </si>
  <si>
    <t>This work was financially supported by the High-level Talent Pro- motion and Training Project of Kunming (2022SCP003) , Project of Yunnan Characteristic Plant Screening and R &amp; D Service CXO Platform (2022YKZY001) , and Yunnan Science and Technology Project (202105AE160006) . We thank the Advanced Analysis and Measurement Center of Yunnan University for technical support.</t>
  </si>
  <si>
    <t>10.1016/j.fitote.2022.105283</t>
  </si>
  <si>
    <t>4V3ZY</t>
  </si>
  <si>
    <t>WOS:000859419600005</t>
  </si>
  <si>
    <t>Zhao, YQ; Yang, X; Fei, JM; Dong, XX; Wang, YY; Yang, S; Hao, XJ; Ding, X; Zhao, YH</t>
  </si>
  <si>
    <t>Zhao, Yueqin; Yang, Xu; Fei, Jimin; Dong, Xianxiang; Wang, Yinyuan; Yang, Shan; Hao, Xiaojiang; Ding, Xiao; Zhao, Yuhan</t>
  </si>
  <si>
    <t>Identification of limonoids from Walsura yunnanensis and evaluation of their cytotoxicity against cancer cell lines</t>
  </si>
  <si>
    <t>Limonoids; Walsura yunnanensis; Cytotoxic activity; Apoptosis; Cell cycle arrest</t>
  </si>
  <si>
    <t>11-BETA-HSD1 INHIBITORS; REARRANGED LIMONOIDS; LEAVES; TRITERPENOIDS; SESQUITERPENE; ANTIOXIDANT; ROBUSTA; GROWTH; ROOT</t>
  </si>
  <si>
    <t>Three new limonoids, walsurauias A-C (1-3), along with four known ones, were isolated from the leaves and twigs of Walsura yunnanensis C. Y. Wu. Their structures were determined on the basis of comprehensive spectroscopic data analysis. The new limonoids were screened for their cytotoxic activity (IC50 0.81-5.73 mu M) against four human cancer cell lines, including A549, HepG2, HCT116 p21KO and CNE-2. And alpha,beta-unsaturated ketone moieties in rings A and B are essential for their cytotoxic activity. Selected compounds were further investigated. Compounds 1-3 effectively induced G2/M cell cycle arrest and apoptosis in a dose-dependent manner in cancer cells. In addition, compounds 1-3 inhibited the colony formation and compounds 2 and 3 suppressed the migration of cancer cells.</t>
  </si>
  <si>
    <t>Zhao, Yueqin</t>
  </si>
  <si>
    <t>[Zhao, Yueqin; Yang, Xu; Dong, Xianxiang; Wang, Yinyuan; Yang, Shan; Hao, Xiaojiang; Ding, Xiao; Zhao, Yuhan] Chinese Acad Sci, Kunming Inst Bot, State Key Lab Phytochem &amp; Plant Resources West Ch, Kunming 650201, Yunnan, Peoples R China; [Zhao, Yueqin] Univ Chinese Acad Sci, Beijing 100049, Peoples R China; [Fei, Jimin] Kunming Med Univ, Yunnan Canc Hosp, Kunming 650118, Yunnan, Peoples R China; [Fei, Jimin] Kunming Med Univ, Affiliated Hosp 3, Kunming 650118, Yunnan, Peoples R China; [Wang, Yinyuan] Yunnan Univ, Sch Life Sci, Kunming 650091, Yunnan, Peoples R China</t>
  </si>
  <si>
    <t>Chinese Academy of Sciences; Kunming Institute of Botany, CAS; Chinese Academy of Sciences; University of Chinese Academy of Sciences, CAS; Kunming Medical University; Kunming Medical University; Yunnan University</t>
  </si>
  <si>
    <t>Hao, XJ; Ding, X; Zhao, YH (通讯作者)，Chinese Acad Sci, Kunming Inst Bot, State Key Lab Phytochem &amp; Plant Resources West Ch, Kunming 650201, Yunnan, Peoples R China.</t>
  </si>
  <si>
    <t>haoxj@mail.kib.ac.cn; dingxiao@mail.kib.ac.cn; zhaoyuhan@mail.kib.ac.cn</t>
  </si>
  <si>
    <t>National Natural Science Foundation of China [32000548, 82073740]; Natural Science Foundation of Yunnan Province [202001AT070053, 202001AT070055]; State Key Laboratory of Phytochemistry and Plant Resources in West China [P2018-ZZ05, P2019-ZZ06, P2021-ZZ04]; Service Center for Bioactivity Screening, State Key Laboratory of Phytochemistry and Plant Resources in West China</t>
  </si>
  <si>
    <t>National Natural Science Foundation of China(National Natural Science Foundation of China (NSFC)); Natural Science Foundation of Yunnan Province(Natural Science Foundation of Yunnan Province); State Key Laboratory of Phytochemistry and Plant Resources in West China; Service Center for Bioactivity Screening, State Key Laboratory of Phytochemistry and Plant Resources in West China</t>
  </si>
  <si>
    <t>This research was supported financially by grants from the National Natural Science Foundation of China (32000548 and 82073740), Natural Science Foundation of Yunnan Province (202001AT070053, 202001AT070055), grants of State Key Laboratory of Phytochemistry and Plant Resources in West China (P2018-ZZ05, P2019-ZZ06, and P2021-ZZ04). This study was also supported by shared resources of the Service Center for Bioactivity Screening, State Key Laboratory of Phytochemistry and Plant Resources in West China.</t>
  </si>
  <si>
    <t>10.1016/j.fitote.2021.105120</t>
  </si>
  <si>
    <t>ZI1SX</t>
  </si>
  <si>
    <t>WOS:000761409500010</t>
  </si>
  <si>
    <t>Yu, LL; Ling, SS; Gao, WT; Li, YX; Xiao, LG; Ni, W; Ji, YH; Liu, HY</t>
  </si>
  <si>
    <t>Yu, Ling-Ling; Ling, Shan-Shan; Gao, Wen-Tao; Li, Yan-Xi; Xiao, Long-Gao; Ni, Wei; Ji, Yun-Heng; Liu, Hai-Yang</t>
  </si>
  <si>
    <t>Platelet aggregation activity Cytotoxic activity</t>
  </si>
  <si>
    <t>Paris fargesii; Cholestane glycosides; Parisfargosieds A-E; Platelet aggregation activity; Cytotoxic activity</t>
  </si>
  <si>
    <t>STEROIDAL SAPONINS; STRUCTURAL ELUCIDATION; CHOLESTANE GLYCOSIDES; LEAVES; STEMS</t>
  </si>
  <si>
    <t>Five new cholestane glycosides, named parisfargosides A-E (1-5), were isolated from the rhizomes of Paris fargesii. Their structures were elucidated on the basis of UV, HR-ESI-MS, 1D and 2D NMR data as well as chemical methods. The structures of all compounds contained alpha, beta-unsaturated ketone unit. Compounds 3-5 possessed a 16,23-cyclocholest skeleton with 6/6/6/5/5 condensed ring, and the absolute configurations of C-16 and C-23 were confirmed according to ROESY spectra with pyridine -d5 and DMSO-d6 as solvents. In addition, the platelet aggregation activity and cytotoxic activity against five human cancer cell lines (HL-60, A549, SMMC-7721, MDA-MB-231, and SW480) of compounds 1-5 were evaluated.</t>
  </si>
  <si>
    <t>[Yu, Ling-Ling; Ling, Shan-Shan; Gao, Wen-Tao; Li, Yan-Xi; Xiao, Long-Gao; Ni, Wei; Liu, Hai-Yang] Chinese Acad Sci, Kunming Inst Bot, State Key Lab Phytochem &amp; Plant Resources West Ch, Kunming 650201, Yunnan, Peoples R China; [Yu, Ling-Ling; Ling, Shan-Shan; Gao, Wen-Tao; Li, Yan-Xi; Xiao, Long-Gao; Ni, Wei; Liu, Hai-Yang] Chinese Acad Sci, Kunming Inst Bot, Yunnan Key Lab Nat Med Chem, Kunming 650201, Yunnan, Peoples R China; [Yu, Ling-Ling; Li, Yan-Xi; Xiao, Long-Gao] Univ Chinese Acad Sci, Beijing 100049, Peoples R China; [Ji, Yun-Heng] Chinese Acad Sci, Kunming Inst Bot, Key Lab Plant Biodivers &amp; Biogeog East Asia, Kunming 650201, Yunnan, Peoples R China</t>
  </si>
  <si>
    <t>Liu, HY (通讯作者)，Chinese Acad Sci, Kunming Inst Bot, State Key Lab Phytochem &amp; Plant Resources West Ch, Kunming 650201, Yunnan, Peoples R China.;Liu, HY (通讯作者)，Chinese Acad Sci, Kunming Inst Bot, Yunnan Key Lab Nat Med Chem, Kunming 650201, Yunnan, Peoples R China.</t>
  </si>
  <si>
    <t>National Natural Science Foundation of China [U1802287, 31770391]; Ten Thousand Talents Plan of Yunnan Province for Industrial Technology Leading Talents; State Key Laboratory of Phytochemistry and Plant Resources in West China [P2019-ZZ02]; Academicians &amp; Experts Workstation of Yunnan Province [202105AF150074]</t>
  </si>
  <si>
    <t>National Natural Science Foundation of China(National Natural Science Foundation of China (NSFC)); Ten Thousand Talents Plan of Yunnan Province for Industrial Technology Leading Talents; State Key Laboratory of Phytochemistry and Plant Resources in West China; Academicians &amp; Experts Workstation of Yunnan Province</t>
  </si>
  <si>
    <t>This work was financially supported by the National Natural Science Foundation of China (U1802287 and 31770391), Ten Thousand Talents Plan of Yunnan Province for Industrial Technology Leading Talents, the State Key Laboratory of Phytochemistry and Plant Resources in West China (P2019-ZZ02), and the Academicians &amp; Experts Workstation of Yunnan Province (202105AF150074).</t>
  </si>
  <si>
    <t>10.1016/j.fitote.2022.105174</t>
  </si>
  <si>
    <t>1D8PN</t>
  </si>
  <si>
    <t>WOS:000794059000002</t>
  </si>
  <si>
    <t>Zhang, P; An, Q; Yi, P; Cui, Y; Zou, JB; Yuan, CM; Zhang, Y; Gu, W; Huang, LJ; Zhao, LH; Hu, ZX; Hao, XJ</t>
  </si>
  <si>
    <t>Zhang, Peng; An, Qiao; Yi, Ping; Cui, Yue; Zou, Ji-Bin; Yuan, Chun-Mao; Zhang, Yu; Gu, Wei; Huang, Lie-Jun; Zhao, Li-Hua; Hu, Zhan-Xing; Hao, Xiao-Jiang</t>
  </si>
  <si>
    <t>Thermlanseedlines A-G, seven thermopsine-based alkaloids with antiviral and insecticidal activities from the seeds of Thermopsis lanceolata R. Br.</t>
  </si>
  <si>
    <t>Thermopsis lanceolata R. Br.; Quinolizidine alkaloids; Anti-TSMV; Insecticidal activity</t>
  </si>
  <si>
    <t>QUINOLIZIDINE ALKALOIDS; DERIVATIVES; ROOTS</t>
  </si>
  <si>
    <t>Seven undescribed thermopsine-based alkaloids (1-7), including one undescribed biogenetically related intermediate (7), were isolated from the seeds of Thermopsis lanceolata R. Br. Compound 1 possessed a 6/6-6 tricyclic skeleton, while compounds 2-6 represented three rare dimerization patterns constructed by quinolizidine alkaloids. Their structures were elucidated by comprehensive spectroscopic data analysis as well as ECD calculations. Biologically, compound 6 displayed significant anti-Tomato spotted wilt virus (TSWV) activity compared with the positive control ningnanmycin. Moreover, compound 1 exhibited good insecticidal activity against Aphis fabae with LC50 value of 25.2 mg/L.</t>
  </si>
  <si>
    <t>Zhang, Peng</t>
  </si>
  <si>
    <t>[Zhang, Peng; An, Qiao; Yi, Ping; Zou, Ji-Bin; Yuan, Chun-Mao; Gu, Wei; Huang, Lie-Jun; Hu, Zhan-Xing; Hao, Xiao-Jiang] Guizhou Med Univ, State Key Lab Funct &amp; Applicat Med Plants, Guiyang 550014, Peoples R China; [Zhang, Peng; An, Qiao; Yi, Ping; Zou, Ji-Bin; Yuan, Chun-Mao; Gu, Wei; Huang, Lie-Jun; Hu, Zhan-Xing; Hao, Xiao-Jiang] Key Lab Chem Nat Prod Guizhou Prov, Guiyang 550002, Peoples R China; [Zhang, Peng; An, Qiao; Yi, Ping; Zou, Ji-Bin; Yuan, Chun-Mao; Gu, Wei; Huang, Lie-Jun; Hu, Zhan-Xing; Hao, Xiao-Jiang] Chinese Acad Sci, Guiyang 550002, Peoples R China; [Zhang, Peng] Guizhou Univ Tradit Chinese Med, Sch Pharm, Guiyang 550025, Peoples R China; [Cui, Yue; Zhao, Li-Hua] Yunnan Acad Agr Sci, Inst Biotechnol &amp; Germplasm Resources, Kunming 650204, Yunnan, Peoples R China; [Zhang, Yu; Hao, Xiao-Jiang] Chinese Acad Sci, Kunming Inst Bot, State Key Lab Phytochem &amp; Plant Resources West Ch, Kunming 650201, Yunnan, Peoples R China</t>
  </si>
  <si>
    <t>Guizhou Medical University; Chinese Academy of Sciences; Guizhou University of Traditional Chinese Medicine; Yunnan Academy of Agricultural Sciences; Chinese Academy of Sciences; Kunming Institute of Botany, CAS</t>
  </si>
  <si>
    <t>Hu, ZX; Hao, XJ (通讯作者)，Guizhou Med Univ, State Key Lab Funct &amp; Applicat Med Plants, Guiyang 550014, Peoples R China.;Zhao, LH (通讯作者)，Yunnan Acad Agr Sci, Inst Biotechnol &amp; Germplasm Resources, Kunming 650204, Yunnan, Peoples R China.</t>
  </si>
  <si>
    <t>356429686@qq.com; huzhxi88@163.com; haoxj@mail.kib.ac.cn</t>
  </si>
  <si>
    <t>hu, zhanxing/0000-0003-1426-5416</t>
  </si>
  <si>
    <t>National Natural Science Foundation of China [32160103, U1812403]; Science and Technology Department of Guizhou Province [QKH ZC-[2021]-YB181, QKH JC-[2020]-1Y398]; Special Project of Academic Young Cultivation and Innovation Exploration of Guizhou Medical University [QKH PTRC [2018] 5779-60]</t>
  </si>
  <si>
    <t>The work was financially supported by the National Natural Science Foundation of China (32160103 and U1812403), the Science and Technology Department of Guizhou Province (QKH ZC-[2021]-YB181 and QKH JC-[2020]-1Y398), the Special Project of Academic Young Cultivation and Innovation Exploration of Guizhou Medical University (QKH PTRC [2018] 5779-60).</t>
  </si>
  <si>
    <t>10.1016/j.fitote.2022.105140</t>
  </si>
  <si>
    <t>ZI1SH</t>
  </si>
  <si>
    <t>WOS:000761407800002</t>
  </si>
  <si>
    <t>Fan, K; Zhang, LC; Hu, WY; Deng, SY; Wu, H; Tan, BY; Zhang, RP; Ding, CF; Yu, HF</t>
  </si>
  <si>
    <t>Fan, Kun; Zhang, Lan-Chun; Hu, Wei-Yan; Deng, Shi-Yu; Wu, Hao; Tan, Bang-Yin; Zhang, Rong-Ping; Ding, Cai-Feng; Yu, Hao-Fei</t>
  </si>
  <si>
    <t>Tabernaecorymine A, an 18-normonoterpenoid indole alkaloid with antibacterial activity from Tabernaemontana corymbosa</t>
  </si>
  <si>
    <t>Tabernaemontana corymbosa; Indole alkaloid; Antibacterial activity; Streptococcus dysgalactiae</t>
  </si>
  <si>
    <t>Tabernaecorymine A, an 18-normonoterpenoid indole alkaloid with conjugated (E)-3-aminoacrylaldehyde fragment was obtained from the stem bark of Tabernaemontana corymbosa. Its structure was elucidated by extensive spectroscopic data analyses, and further verified by ACD/structure elucidator, electronic circular dichroism (ECD) analyses and density functional theory (DFT) chemical shift predictions. The compound exhibited significant antibacterial bioactivity against Streptococcus dysgalactiae with an MIC value of 3.12 mu g/mL, which is better than the plant drug berberine.</t>
  </si>
  <si>
    <t>Fan, Kun</t>
  </si>
  <si>
    <t>[Fan, Kun; Zhang, Lan-Chun; Hu, Wei-Yan; Deng, Shi-Yu; Wu, Hao; Tan, Bang-Yin; Ding, Cai-Feng; Yu, Hao-Fei] Kunming Med Univ, Sch Pharmaceut Sci, Dept Zool, Kunming 650500, Yunnan, Peoples R China; [Fan, Kun; Zhang, Lan-Chun; Hu, Wei-Yan; Deng, Shi-Yu; Wu, Hao; Tan, Bang-Yin; Ding, Cai-Feng; Yu, Hao-Fei] Kunming Med Univ, Yunnan Key Lab Pharmacol Nat Prod, Kunming 650500, Yunnan, Peoples R China; [Zhang, Rong-Ping] Yunnan Univ Tradit Chinese Med, Sch Chinese Mat Med, Kunming 650500, Yunnan, Peoples R China; [Zhang, Rong-Ping] Yunnan Univ Tradit Chinese Med, Yunnan Key Lab Southern Med Resources, Kunming 650500, Yunnan, Peoples R China; [Yu, Hao-Fei] Chinese Acad Sci, Kunming Inst Bot, State Key Lab Phytochem &amp; Plant Resources West Ch, Kunming 650201, Yunnan, Peoples R China</t>
  </si>
  <si>
    <t>Kunming Medical University; Kunming Medical University; Yunnan University of Chinese Medicine; Yunnan University of Chinese Medicine; Chinese Academy of Sciences; Kunming Institute of Botany, CAS</t>
  </si>
  <si>
    <t>Ding, CF; Yu, HF (通讯作者)，Kunming Med Univ, Sch Pharmaceut Sci, Dept Zool, Kunming 650500, Yunnan, Peoples R China.;Ding, CF; Yu, HF (通讯作者)，Kunming Med Univ, Yunnan Key Lab Pharmacol Nat Prod, Kunming 650500, Yunnan, Peoples R China.;Yu, HF (通讯作者)，Chinese Acad Sci, Kunming Inst Bot, State Key Lab Phytochem &amp; Plant Resources West Ch, Kunming 650201, Yunnan, Peoples R China.</t>
  </si>
  <si>
    <t>dingcaifeng@kmmu.edu.cn; yuhaofei@kmmu.edu.cn</t>
  </si>
  <si>
    <t>lanchun, zhang/GQQ-4034-2022</t>
  </si>
  <si>
    <t>National Natural Science Foundation of China [31900290, 32000274]; Yunnan Province Young Academic and Technical Leaders Project [202105AC160078]; Yunnan Province Post-doctoral Project, Yunnan Province Education Department Scientific Research Fund Project [2020J0139]; Applied Basic Research Key Project of Yunnan [202001AY070001-017]; seventh batch of Yunnan specialty plant polysaccharide engineering research center</t>
  </si>
  <si>
    <t>National Natural Science Foundation of China(National Natural Science Foundation of China (NSFC)); Yunnan Province Young Academic and Technical Leaders Project; Yunnan Province Post-doctoral Project, Yunnan Province Education Department Scientific Research Fund Project; Applied Basic Research Key Project of Yunnan; seventh batch of Yunnan specialty plant polysaccharide engineering research center</t>
  </si>
  <si>
    <t>The authors are grateful to the National Natural Science Foundation of China (31900290, 32000274), Yunnan Province Young Academic and Technical Leaders Project (202105AC160078), Yunnan Province Post-doctoral Project, Yunnan Province Education Department Scientific Research Fund Project (2020J0139), Applied Basic Research Key Project of Yunnan (202001AY070001-017), and the seventh batch of Yunnan specialty plant polysaccharide engineering research center for partial financial support.</t>
  </si>
  <si>
    <t>10.1016/j.fitote.2022.105129</t>
  </si>
  <si>
    <t>WOS:000761409500016</t>
  </si>
  <si>
    <t>Xin, Y; Xu, J; Lv, JJ; Zhu, HT; Wang, D; Yang, CR; Zhang, YJ</t>
  </si>
  <si>
    <t>Xin, Ying; Xu, Jia; Lv, Jun-Jiang; Zhu, Hong-Tao; Wang, Dong; Yang, Chong-Ren; Zhang, Ying-Jun</t>
  </si>
  <si>
    <t>New ent-Kaurane and cleistanthane diterpenoids with potential cytotoxicity from Phyllanthus acidus (L.) Skeels</t>
  </si>
  <si>
    <t>Phyllanthus acidus; Ent-Kaurane diterpenoids; Cleistanthane diterpenoids; Cytotoxicity; Anti-inflammation</t>
  </si>
  <si>
    <t>A-F; LIMONOIDS</t>
  </si>
  <si>
    <t>Six diterpenoids including three ent-kauranes (1-2, 4) and three cleistanthanes (3, 5-6) were isolated from the roots and stems of Phyllanthus acidus (L.) Skeels. Of them, (165)-ent-16,17,18-tri-hydroxy-19-nor-kaur-4-en-3-one (1), phyllanthone A (2), and 6-hydroxycleistanthol (3) are new compounds, while the ent-kaurane diterpenoids were reported from the titled plant for the first time. Their structures were elucidated on the basis of the extensive spectroscopic analyses. Compounds 2 and 4-6 displayed cytotoxic potential with IC50 values ranging from 1.96 to 29.15 mu M. They also showed moderate anti-inflammatory activities (IC50 = 6.30-12.05 mu M). Particularly, the new ent-kaurane 2 displayed cytotoxic potential against HL-60 (IC50 = 2.00 mu M) and MCF-7 (IC50 = 3.55 mu M) cells, and anti-inflammatory activity (IC50 = 6.47 mu M).</t>
  </si>
  <si>
    <t>Xin, Ying</t>
  </si>
  <si>
    <t>[Xin, Ying; Xu, Jia; Lv, Jun-Jiang; Zhu, Hong-Tao; Wang, Dong; Yang, Chong-Ren; Zhang, Ying-Jun] Chinese Acad Sci, Kunming Inst Bot, State Key Lab Phytochem &amp; Plant Resources West Ch, Kunming 650201, Yunnan, Peoples R China; [Xin, Ying] Chongqing Three Gorges Med Coll, Chongqing 404120, Peoples R China; [Xin, Ying; Xu, Jia; Zhang, Ying-Jun] Univ Chinese Acad Sci, Beijing 100049, Peoples R China; [Lv, Jun-Jiang] Chongqing Med &amp; Pharmaceut Coll, Chongqing 400000, Peoples R China</t>
  </si>
  <si>
    <t>Chinese Academy of Sciences; Kunming Institute of Botany, CAS; Chongqing Three Gorges University; Chinese Academy of Sciences; University of Chinese Academy of Sciences, CAS</t>
  </si>
  <si>
    <t>Zhang, YJ (通讯作者)，Chinese Acad Sci, Kunming Inst Bot, State Key Lab Phytochem &amp; Plant Resources West Ch, Kunming 650201, Yunnan, Peoples R China.</t>
  </si>
  <si>
    <t>Key Project of Basic Research Plan of Yunnan Province, China [202001AS070017]; National Natural Science Foundation of China [82074124]</t>
  </si>
  <si>
    <t>Key Project of Basic Research Plan of Yunnan Province, China; National Natural Science Foundation of China(National Natural Science Foundation of China (NSFC))</t>
  </si>
  <si>
    <t>This work was supported by the Key Project of Basic Research Plan of Yunnan Province, China (202001AS070017) and the National Natural Science Foundation of China (82074124). We are grateful to the staffs of the analytical and bioactivity screening group at the State Key Laboratory of Phytochemistry and Plant Resources in West China, Kunming Institute of Botany, Chinese Academy of Sciences, for measuring the spectroscopic data and cytotoxic and anti-inflammatory activities.</t>
  </si>
  <si>
    <t>10.1016/j.fitote.2022.105133</t>
  </si>
  <si>
    <t>WOS:000761409500020</t>
  </si>
  <si>
    <t>Xia, JN; Hu, K; Su, XZ; Tang, JW; Li, XN; Sun, HD; Puno, PT</t>
  </si>
  <si>
    <t>Xia, Jiang-Nan; Hu, Kun; Su, Xiao-Zheng; Tang, Jian-Wei; Li, Xiao-Nian; Sun, Han-Dong; Puno, Pema-Tenzin</t>
  </si>
  <si>
    <t>Discovery of ent-kaurane diterpenoids, characteristic metabolites of Isodon species, from an endophytic fungal strain Geopyxis sp. XY93 inhabiting Isodon parvifolia</t>
  </si>
  <si>
    <t>Endophytes; Isodon parvifolia; ent-Kaurane diterpenoids; Geopyxis sp.; Cytotoxic activities</t>
  </si>
  <si>
    <t>Isogeopyxins A-C (1-3), three new diterpenoids with ent-kaurane, ent-pimarane, and ent-abietane scaffolds, respectively, along with six known ent-kauranoids, were isolated from the fermentation culture of Geopyxis sp. XY93 inhabiting the leaves of Isodon parvifolia. Their structures were elucidated by interpretation of spectroscopic data, and single crystal X-ray diffraction. It marks the first time that ent-kauranoids, characteristic metabolites of Isodon species, have been isolated from an associated endophytic fungus.</t>
  </si>
  <si>
    <t>Xia, Jiang-Nan</t>
  </si>
  <si>
    <t>[Xia, Jiang-Nan; Hu, Kun; Su, Xiao-Zheng; Tang, Jian-Wei; Li, Xiao-Nian; Sun, Han-Dong; Puno, Pema-Tenzin] Chinese Acad Sci, Kunming Inst Bot, State Key Lab Phytochem &amp; Plant Resources West Ch, Yunnan Key Lab Nat Med Chem, Kunming 650201, Yunnan, Peoples R China; [Xia, Jiang-Nan; Su, Xiao-Zheng] Univ Chinese Acad Sci, Beijing 100049, Peoples R China</t>
  </si>
  <si>
    <t>Hu, K; Sun, HD; Puno, PT (通讯作者)，Chinese Acad Sci, Kunming Inst Bot, State Key Lab Phytochem &amp; Plant Resources West Ch, Yunnan Key Lab Nat Med Chem, Kunming 650201, Yunnan, Peoples R China.</t>
  </si>
  <si>
    <t>hukun@mail.kib.ac.cn; hdsun@mail.kib.ac.cn; punopematenzin@mail.kib.ac.cn</t>
  </si>
  <si>
    <t>National Natural Science Foundation of China [81903520, 81874298, 82003637]; NSFC-Joint Foundation of Yunnan Province [U2002221]; CAS Light of West China Program; Yunnan Science Fund for Distinguished Young Scholars [2019FJ002]</t>
  </si>
  <si>
    <t>We thank Service Center for Bioactivity Screening, State Key Laboratory of Phytochemistry and Plant Resources in West China, Kunming Institute of Botany for bioassays. This project was supported financially by the National Natural Science Foundation of China (Nos. 81903520, 81874298 and 82003637), the NSFC-Joint Foundation of Yunnan Province (U2002221), the CAS Light of West China Program (Pema-Tenzin Puno), and the Yunnan Science Fund for Distinguished Young Scholars (2019FJ002).</t>
  </si>
  <si>
    <t>10.1016/j.fitote.2022.105160</t>
  </si>
  <si>
    <t>WOS:000761407800009</t>
  </si>
  <si>
    <t>Xie, RX; Chen, JL; Zhou, LQ; Fu, XJ; Yuan, CM; Hu, ZX; Huang, LJ; Hao, XJ; Gu, W</t>
  </si>
  <si>
    <t>Xie, Rui-Xuan; Chen, Jun-Lei; Zhou, Li-Qiang; Fu, Xian-Jie; Yuan, Chun-Mao; Hu, Zhan-Xing; Huang, Lie-Jun; Hao, Xiao-Jiang; Gu, Wei</t>
  </si>
  <si>
    <t>Oreocharioside A-G, new acylated C-glycosylflavones from Oreocharis auricula (Gesneriaceae)</t>
  </si>
  <si>
    <t>Oreocharis auricula; Acylated C-glycosylflavones; Antioxidant activity; Anti-inflammatory activity</t>
  </si>
  <si>
    <t>ANTIOXIDANT; GLYCOSIDES; LEAVES; GLYCOSYLATION; EXTRACT</t>
  </si>
  <si>
    <t>Seven new acylated C-glycosylflavones, oreocharioside A-G, together with two known compounds were isolated from the whole plant of Oreocharis auricula. Their structures were characterized by the comprehensive analysis of their NMR, IR, UV, CD spectra and HRESIMS data. All the new compounds were evaluated for the antioxidant and anti-inflammatory activities. The results showed that compounds 1 and 2 had significant DPPH and ABTS radical scavenging activities, with the IC50 values of 0.32-3.20 mu g/mL. Compounds 2 and 3 exhibited the higher potency among all the new compounds in reducing TNF-alpha production.</t>
  </si>
  <si>
    <t>Xie, Rui-Xuan</t>
  </si>
  <si>
    <t>[Xie, Rui-Xuan; Chen, Jun-Lei; Zhou, Li-Qiang; Fu, Xian-Jie; Yuan, Chun-Mao; Hu, Zhan-Xing; Huang, Lie-Jun; Hao, Xiao-Jiang; Gu, Wei] Guizhou Med Univ, State Key Lab Funct &amp; Applicat Med Plants, Guiyang 550014, Peoples R China; [Chen, Jun-Lei; Zhou, Li-Qiang; Fu, Xian-Jie; Yuan, Chun-Mao; Hu, Zhan-Xing; Huang, Lie-Jun; Hao, Xiao-Jiang; Gu, Wei] Guizhou Prov &amp; Chinese Acad, Key Lab Chem Nat Prod, Guiyang 550014, Guizhou, Peoples R China; [Xie, Rui-Xuan] Guizhou Med Univ, Sch Pharmaceut Sci, Guiyang 550014, Peoples R China; [Hao, Xiao-Jiang] Chinese Acad Sci, Kunming Inst Bot, State Key Lab Phytochem &amp; Plant Resources West Ch, Kunming 650201, Yunnan, Peoples R China</t>
  </si>
  <si>
    <t>Guizhou Medical University; Guizhou Medical University; Chinese Academy of Sciences; Kunming Institute of Botany, CAS</t>
  </si>
  <si>
    <t>Hao, XJ; Gu, W (通讯作者)，Guizhou Med Univ, State Key Lab Funct &amp; Applicat Med Plants, Guiyang 550014, Peoples R China.</t>
  </si>
  <si>
    <t>haoxj@mail.kib.ac.cn; guwei2009@126.com</t>
  </si>
  <si>
    <t>National Natural Science Foundation of China [31860074, U1812403, 32060081]</t>
  </si>
  <si>
    <t>This work was financially supported by the grants from the National Natural Science Foundation of China (31860074, U1812403, and 32060081).</t>
  </si>
  <si>
    <t>10.1016/j.fitote.2022.105158</t>
  </si>
  <si>
    <t>WOS:000761407800007</t>
  </si>
  <si>
    <t>Sone, M; Komatsu, K; Zhu, S; Cheng, X; Ketphanh, S; Kawahara, N</t>
  </si>
  <si>
    <t>Sone, Mikako; Komatsu, Katsuko; Zhu, Shu; Cheng, Xiao; Ketphanh, Sounthone; Kawahara, Nobuo</t>
  </si>
  <si>
    <t>Essential oil components in the seed masses of Amomum xanthioides and its related species from Southeast Asia and China</t>
  </si>
  <si>
    <t>JOURNAL OF NATURAL MEDICINES</t>
  </si>
  <si>
    <t>Amomi Semen; Amomum seeds; Amomi Fructus; Amomum xanthioides; Essential oil</t>
  </si>
  <si>
    <t>ZINGIBERACEAE</t>
  </si>
  <si>
    <t>Previously, to develop an objective identification method for Amomi Semen (AS), the nucleotide sequences of nrDNA ITS region and two cpDNA regions of nine Amomum taxa specimens from Southeast Asia and China were determined, and the generated phylogenetic tree showed six taxa specimens were divided into four groups. In this study, 51 crude drug samples of AS in Japanese markets were classified into four groups or species based on their ITS sequences. Approximately 67% of samples were derived from A. villosum var. xanthioides or A. xanthioides, A. villosum var. villosum and A. longiligulare prescribed in Japanese Pharmacopoeia, and the rest were mixed with A. uliginosum and A. microcarpum. Subsequently, the essential oil compositions of Amomum taxa specimens and AS samples were determined by GC-MS to characterize each group or species. Group 1(A. xanthioides) samples were characterized by containing higher amount of camphor(6) than bornyl acetate(9), and a specific germacrene D-4-ol; group 2(Chinese A. villosum var. villosum and var. xanthioides) by containing higher amount of 9 than 6, a specific isobornyl acetate; group 3(Laotian A. villosum var. villosum and A. longiligulare) by containing higher amount of 6 than 9, and a characteristic neointermedeol, except for A. longiligulare specimen from Hainan, China; group 4(A. uliginosum) by containing equivalent amount of 6 and 9, and the specific (E,E)-farnesyl acetate and (E,E)-farnesol. A. microcarpum samples were discriminated from the above groups by absence of 6 and 9, and with higher amount of (E)-nerolidol. There was a good correlation between genetic classification and chemical discrimination.</t>
  </si>
  <si>
    <t>Sone, Mikako</t>
  </si>
  <si>
    <t>[Sone, Mikako; Komatsu, Katsuko; Zhu, Shu] Univ Toyama, Inst Nat Med, Sect Pharmacognosy, 2630 Sugitani, Toyama 9300194, Japan; [Cheng, Xiao] Chinese Acad Sci, Kunming Inst Bot, Kunming 650201, Yunnan, Peoples R China; [Ketphanh, Sounthone] Natl Agr &amp; Forestry Res Inst, Forestry Res Ctr, Viangchan, Laos; [Kawahara, Nobuo] Natl Inst Biomed Innovat Hlth &amp; Nutr, Res Ctr Med Plant Resources, 1-2 Hachimandai, Tsukuba, Ibaraki 3050843, Japan; [Kawahara, Nobuo] Kochi Prefectural Makino Bot Garden, 4200-6 Godaisan, Kochi 7818125, Japan</t>
  </si>
  <si>
    <t>University of Toyama; Chinese Academy of Sciences; Kunming Institute of Botany, CAS</t>
  </si>
  <si>
    <t>Komatsu, K (通讯作者)，Univ Toyama, Inst Nat Med, Sect Pharmacognosy, 2630 Sugitani, Toyama 9300194, Japan.</t>
  </si>
  <si>
    <t>katsukok@inm.u-toyama.ac.jp</t>
  </si>
  <si>
    <t>JSPS KAKENHI [15H05268]; Japan Agency for Medical Research and Development, AMED [JP20ak0101046]; Tsumura Co.</t>
  </si>
  <si>
    <t>JSPS KAKENHI(Ministry of Education, Culture, Sports, Science and Technology, Japan (MEXT)Japan Society for the Promotion of ScienceGrants-in-Aid for Scientific Research (KAKENHI)); Japan Agency for Medical Research and Development, AMED(Japan Agency for Medical Research and Development (AMED)); Tsumura Co.(Tsumura &amp; Company)</t>
  </si>
  <si>
    <t>We are grateful to Japan Natural Medicines Association and Japan Kampo Medicines Manufactures Association for providing crude drug samples and Department of Traditional Medicine, Ministry of Health and Sports, Myanmar for helping the collection of crude drug samples. This work was supported by JSPS KAKENHI Grant Number 15H05268 and the Research on Development of New Drugs from Japan Agency for Medical Research and Development, AMED [Grant number JP20ak0101046] as well as a research grant from Tsumura &amp; Co.</t>
  </si>
  <si>
    <t>SPRINGER JAPAN KK</t>
  </si>
  <si>
    <t>TOKYO</t>
  </si>
  <si>
    <t>SHIROYAMA TRUST TOWER 5F, 4-3-1 TORANOMON, MINATO-KU, TOKYO, 105-6005, JAPAN</t>
  </si>
  <si>
    <t>1340-3443</t>
  </si>
  <si>
    <t>1861-0293</t>
  </si>
  <si>
    <t>J NAT MED-TOKYO</t>
  </si>
  <si>
    <t>J. Nat. Med.</t>
  </si>
  <si>
    <t>10.1007/s11418-021-01599-7</t>
  </si>
  <si>
    <t>ZD3ZQ</t>
  </si>
  <si>
    <t>WOS:000746335300001</t>
  </si>
  <si>
    <t>Wang, YJ; Chang, WH; Li, XZ; Jiang, Z; Zhou, D; Feng, Y; Li, BX; Chen, G; Li, N</t>
  </si>
  <si>
    <t>Wang, Yajun; Chang, Wenhui; Li, Xuezheng; Jiang, Zhe; Zhou, Di; Feng, Yuan; Li, Bingxin; Chen, Gang; Li, Ning</t>
  </si>
  <si>
    <t>Apigenin exerts chemopreventive effects on lung injury induced by SiO2 nanoparticles through the activation of Nrf2</t>
  </si>
  <si>
    <t>APG; Lung injury; Nm SiO2; Nrf2; Chemoprevention</t>
  </si>
  <si>
    <t>OCCUPATIONAL SILICA EXPOSURE; OXIDATIVE STRESS; PARTICULATE MATTER; INDUCED APOPTOSIS; CELL-LINE; CANCER; PROTECTS; NEUROPROTECTION; INFLAMMATION; TOXICITY</t>
  </si>
  <si>
    <t>Apigenin (APG) is a flavonoid widely distributed in fruits, vegetables, and herbs, with comprehensive pharmacological effects. In this paper, we report that APG can elicit a protective effect, which is comparable to those induced by gymnoside II/n-BuOH extracts of Bletilla striata, on SiO2-induced lung injury in vitro and in vivo. In vitro experiments showed that APG (25 mu M) could restore the SiO2-decreased A549 cell viability and lower the apoptotic rate and the production of intracellular reactive oxygen species (ROS) in A549 cells treated with nm SiO2. Western blot results showed that APG (25 mu M) could increase the level of Nuclear factor E2-related factor 2 (Nrf2) and its downstream proteins. In vivo experiments showed that APG (20 mg/kg) could potently alleviate the SiO2-elicited lung injury by enhancing the Nrf2 expression and thereby suppressing Bax/Bcl-2 pathway. The present study suggests that APG can significantly alleviate the SiO2-induced lung injury both in vitro and in vivo through, at least partially, activating Nrf2 expression. [GRAPHICS] .</t>
  </si>
  <si>
    <t>Wang, Yajun</t>
  </si>
  <si>
    <t>[Wang, Yajun; Chang, Wenhui; Zhou, Di; Feng, Yuan; Li, Bingxin; Chen, Gang; Li, Ning] Shenyang Pharmaceut Univ, Sch Tradit Chinese Mat Med, Wenhua Rd 103, Shenyang 110016, Peoples R China; [Li, Xuezheng; Jiang, Zhe] Yanbian Univ Hosp, Dept PIVAS, Yanji, Peoples R China; [Chen, Gang] Chinese Acad Sci, Kunming Inst Bot, State Key Lab Phytochem &amp; Plant Resources West Ch, Beijing, Peoples R China; [Chen, Gang] Guangxi Normal Univ, Sate Key Lab Chem &amp; Mol Engn Med Resources, Guilin, Guangxi, Peoples R China</t>
  </si>
  <si>
    <t>Shenyang Pharmaceutical University; Yanbian University; Chinese Academy of Sciences; Kunming Institute of Botany, CAS; Guangxi Normal University</t>
  </si>
  <si>
    <t>Chen, G; Li, N (通讯作者)，Shenyang Pharmaceut Univ, Sch Tradit Chinese Mat Med, Wenhua Rd 103, Shenyang 110016, Peoples R China.;Chen, G (通讯作者)，Chinese Acad Sci, Kunming Inst Bot, State Key Lab Phytochem &amp; Plant Resources West Ch, Beijing, Peoples R China.;Chen, G (通讯作者)，Guangxi Normal Univ, Sate Key Lab Chem &amp; Mol Engn Med Resources, Guilin, Guangxi, Peoples R China.</t>
  </si>
  <si>
    <t>chengang1152001@163.com; liningsypharm@163.com</t>
  </si>
  <si>
    <t>This work was financially supported by National Natural Science Foundation of China (Grant No. U1903122, 81872768), Liaoning Revitalization Talents Program (XLYC1807118), Shenyang Young Scientific and Technological Innovators Program (RC200408), The Fund of State Key Laboratory of Phytochemistry and Plant Resources in West China (P2020-KF01), State Key Laboratory for Chemistry and Molecular Engineering of Medicinal Resources (Guangxi Normal University) (CMEMR2021-B01), Educational Committee Foundation of Liaoning Province (2020LJC09), Doctoral Scientific Research Foundation of Liaoning Province (2020-BS-129) and Special Fund of Research Institute of Drug Regulatory Science Research Shenyang Pharmaceutical University (2021jgkx010).</t>
  </si>
  <si>
    <t>10.1007/s11418-021-01561-7</t>
  </si>
  <si>
    <t>YC2AH</t>
  </si>
  <si>
    <t>WOS:000692437700001</t>
  </si>
  <si>
    <t>Wu, LX; Xu, HY; Jian, SG; Gong, X; Feng, XY</t>
  </si>
  <si>
    <t>Wu, Li-Xin; Xu, Hai-Yan; Jian, Shu-Guang; Gong, Xun; Feng, Xiu-Yan</t>
  </si>
  <si>
    <t>Geographic factors and climatic fluctuation drive the genetic structure and demographic history of Cycas taiwaniana (Cycadaceae), an endemic endangered species to Hainan Island in China</t>
  </si>
  <si>
    <t>ECOLOGY AND EVOLUTION</t>
  </si>
  <si>
    <t>conservation genetics; conservation strategies; Cycas taiwaniana; demographic history; genetic diversity and structure</t>
  </si>
  <si>
    <t>EFFECTIVE POPULATION-SIZE; EVOLUTIONARY PROCESSES; PROGRAM; DIVERSITY; SOFTWARE; ZAMIACEAE; TESTS</t>
  </si>
  <si>
    <t>Hainan Island had experienced several cold-warm and dry-humid fluctuations since the Late Pleistocene period, resulting in separating and connecting from the mainland several times with the cyclic rise and fall of sea level. The fluctuations can change the biota and ecological environment in the island. Cycas taiwaniana Carruthers is endemic to Hainan Island and is classified as endangered by the International Union for Conservation of Nature (IUCN). To comprehensively understand the genetic dynamics of C. taiwaniana, we sampled 12 wild populations in Hainan Island and one cultivated population in Fujian province, and analyzed the genetic diversity, genetic structure, and demographic history based on the molecular data. Results revealed that C. taiwaniana had relatively low genetic diversity and high genetic differentiation. Haplotypes of C. taiwaniana diversified during the Pleistocene based on the chloroplast DNA (cpDNA) and the concatenated nuclear DNA (nDNA) data. Genetic cluster analyses based on the microsatellite (SSR) data showed that the 12 wild populations were separated into three clusters which could be three evolutionary significant units (ESUs), indicating three basic units of protection were identified. Moreover, we also confirmed the cultivated population FJ derived from the DLS1-GSL clade. Demographic inference from different data was discordant, but overall, it uncovered that C. taiwaniana had experienced population contraction events twice during the Pleistocene and Holocene, and then expanded recently. Our study elucidated the population genetic characteristics of C. taiwaniana, and guided us to develop targeted conservation and management strategies for this endangered species.</t>
  </si>
  <si>
    <t>Wu, Li-Xin</t>
  </si>
  <si>
    <t>[Wu, Li-Xin; Xu, Hai-Yan] Chinese Acad Sci, Kunming Inst Bot, Key Lab Plant Divers &amp; Biogeog East Asia, Kunming, Yunnan, Peoples R China; [Wu, Li-Xin; Xu, Hai-Yan; Gong, Xun; Feng, Xiu-Yan] Chinese Acad Sci, Kunming Inst Bot, Key Lab Econ Plants &amp; Biotechnol, Kunming, Yunnan, Peoples R China; [Wu, Li-Xin; Xu, Hai-Yan] Univ Chinese Acad Sci, Beijing, Peoples R China; [Wu, Li-Xin] Yunnan Univ, Plant Sci Inst, Sch Life Sci, Kunming, Yunnan, Peoples R China; [Jian, Shu-Guang] Chinese Acad Sci, CAS Engn Lab Vegetat Ecosyst Restorat Isl &amp; Coasta, South China Bot Garden, Guangzhou, Peoples R China</t>
  </si>
  <si>
    <t>Chinese Academy of Sciences; Kunming Institute of Botany, CAS; Chinese Academy of Sciences; Kunming Institute of Botany, CAS; Chinese Academy of Sciences; University of Chinese Academy of Sciences, CAS; Yunnan University; Chinese Academy of Sciences; South China Botanical Garden, CAS</t>
  </si>
  <si>
    <t>Gong, X; Feng, XY (通讯作者)，Chinese Acad Sci, Kunming Inst Bot, Key Lab Econ Plants &amp; Biotechnol, Kunming, Yunnan, Peoples R China.</t>
  </si>
  <si>
    <t>gongxun@mail.kib.ac.cn; fengxiuyan@mail.kib.ac.cn</t>
  </si>
  <si>
    <t>Feng, Xiuyan/0000-0003-0064-0940</t>
  </si>
  <si>
    <t>Natural Science Foundation of Yunnan Province; National Natural Science Funds of China; CAS Light of West China Program;  [202101AU070070];  [31800191]</t>
  </si>
  <si>
    <t xml:space="preserve">Natural Science Foundation of Yunnan Province(Natural Science Foundation of Yunnan Province); National Natural Science Funds of China(National Natural Science Foundation of China (NSFC)); CAS Light of West China Program; ; </t>
  </si>
  <si>
    <t>ACKNOWLEDGMENTS This research was funded by the Natural Science Foundation of Yunnan Province (202101AU070070), the National Natural Science Funds of China (31800191) and CAS Light of West China Program to Xiu-Yan Feng.</t>
  </si>
  <si>
    <t>2045-7758</t>
  </si>
  <si>
    <t>ECOL EVOL</t>
  </si>
  <si>
    <t>Ecol. Evol.</t>
  </si>
  <si>
    <t>e9508</t>
  </si>
  <si>
    <t>10.1002/ece3.9508</t>
  </si>
  <si>
    <t>Ecology; Evolutionary Biology</t>
  </si>
  <si>
    <t>Environmental Sciences &amp; Ecology; Evolutionary Biology</t>
  </si>
  <si>
    <t>6K1FN</t>
  </si>
  <si>
    <t>WOS:000887257400001</t>
  </si>
  <si>
    <t>Ye, JW; Li, DZ</t>
  </si>
  <si>
    <t>Ye, Jun-Wei; Li, De-Zhu</t>
  </si>
  <si>
    <t>Diversification of East Asian subtropical evergreen broadleaved forests over the last 8 million years</t>
  </si>
  <si>
    <t>dominant species; fossil; late Miocene; Pleistocene; relict genera</t>
  </si>
  <si>
    <t>SOUTH CHINA SEA; MOLECULAR PHYLOGEOGRAPHY; EVOLUTIONARY HISTORY; ANGIOSPERM FLORA; TEMPERATE PLANTS; TIBETAN PLATEAU; SUMMER MONSOON; LATE MIOCENE; VEGETATION; DYNAMICS</t>
  </si>
  <si>
    <t>The evolution of subtropical evergreen broadleaved forests (EBLFs) in East Asia is interesting while complicated. Genus-level phylogenies indicate that the origins of EBLFs could trace back to the Oligocene-Miocene boundary or even the Eocene, while population-level phylogeographic evidence suggests that they diversified after the Miocene, particularly in the Pleistocene. Here, we review the origins of dominant plant species to better understand the evolution of EBLFs. We compiled published estimates of the timing of origin of dominant species and diversification of evergreen relict genera from East Asian EBLFs. We also traced and visualized the evolution of EBLFs in the region using dated phylogenies and geographic distributions of the reviewed taxa. Most (76.1%) of the dominant species originated after the late Miocene, ca. 8 million years ago. Of the 10 evergreen relict genera, eight diverged near the late Miocene-Pliocene boundary or during the late Pliocene, and the remaining two diverged during the Pleistocene. Over the past 8 million years, geo-climatic changes have triggered origins of most of the dominant EBLF species and provided refugia for evergreen relict genera. Three pulsed phases of evolution are suggested by genetic studies at the genus, species, and population levels. Fossil evidence and spatiotemporal investigations should be integrated to fully understand the evolution of EBLFs in East Asia.</t>
  </si>
  <si>
    <t>[Ye, Jun-Wei; Li, De-Zhu] Chinese Acad Sci, Kunming Inst Bot, Germplasm Bank Wild Species Southwest China, Kunming, Yunnan, Peoples R China; [Ye, Jun-Wei] Southwest Forestry Univ, Key Lab Forest Resources Conservat &amp; Utilizat Sou, Minist Educ, Kunming, Yunnan, Peoples R China</t>
  </si>
  <si>
    <t>Chinese Academy of Sciences; Kunming Institute of Botany, CAS; Southwest Forestry University - China</t>
  </si>
  <si>
    <t>Li, DZ (通讯作者)，Chinese Acad Sci, Kunming Inst Bot, Germplasm Bank Wild Species Southwest China, Kunming, Yunnan, Peoples R China.</t>
  </si>
  <si>
    <t>CAS Strategic Priority Research Program [XDB31000000]; National Natural Science Foundation of China [31600301]</t>
  </si>
  <si>
    <t>CAS Strategic Priority Research Program; National Natural Science Foundation of China(National Natural Science Foundation of China (NSFC))</t>
  </si>
  <si>
    <t>We are grateful to Gregory W. Stull, Arndt Hampe, and Hong-Fang Wang for their useful discussions and insightful comments. This work was supported by the CAS Strategic Priority Research Program (grant ref. XDB31000000) and National Natural Science Foundation of China (grant ref. 31600301).</t>
  </si>
  <si>
    <t>e9451</t>
  </si>
  <si>
    <t>10.1002/ece3.9451</t>
  </si>
  <si>
    <t>5T9EA</t>
  </si>
  <si>
    <t>WOS:000876158800001</t>
  </si>
  <si>
    <t>Yang, MX; Werth, S; Wang, LS; Scheidegger, C</t>
  </si>
  <si>
    <t>Yang, Mei-Xia; Werth, Silke; Wang, Li-Song; Scheidegger, Christoph</t>
  </si>
  <si>
    <t>Phylogeographic analyses of an epiphytic foliose lichen show multiple dispersal events westward from the Hengduan Mountains of Yunnan into the Himalayas</t>
  </si>
  <si>
    <t>ancestral area reconstruction; Hengduan Mountains; Himalayas; Lobaria pindarensis; phylogeography</t>
  </si>
  <si>
    <t>BAYESIAN PHYLOGENETIC INFERENCE; LOBARIA-PULMONARIA; GENETIC DIVERSITY; FORMING FUNGUS; POPULATION-GENETICS; ELEVATION GRADIENT; SPECIES RICHNESS; ASCOMYCOTA; FORESTS; DIFFERENTIATION</t>
  </si>
  <si>
    <t>Lobaria pindarensis is an endemic species of the Himalayas and the Hengduan Mountains. Little information is available on the phylogeography genetics and colonization history of this species or how its distribution patterns changed in response to the orographic history of the Himalayas and Hengduan Mountains. Based on samples covering a major part of the species' distribution range, we used 443 newly generated sequences of nine loci for molecular coalescent analyses in order to reconstruct the evolutionary history of L. pindarensis, and to reconstruct the species' ancestral phylogeographic distributions using Bayesian binary MCMC analyses. The results suggest that current populations originated from the Yunnan region of the Hengduan Mountains in the middle Pliocene, and that the Himalayas of Bhutan were colonized by a lineage that diverged from Yunnan ca. 2.72 Ma. The analysis additionally indicates that the Nepal and Xizang areas of the Himalayas were colonized from Yunnan as well, and that there was later a second dispersal event from Yunnan to Bhutan. We conclude that the change in climate and habitat related to the continuous uplift of the Himalayas and the Hengduan Mountains in the late Pliocene and middle Pleistocene influenced the geographic distribution pattern of L. pindarensis.</t>
  </si>
  <si>
    <t>Yang, Mei-Xia</t>
  </si>
  <si>
    <t>[Yang, Mei-Xia; Scheidegger, Christoph] Snow &amp; Landscape Res WSL, Swiss Fed Inst Forest, Biodivers &amp; Conservat Biol, Birmensdorf, Switzerland; [Yang, Mei-Xia] Univ Bern, Inst Plant Sci, Bern, Switzerland; [Yang, Mei-Xia] Hong Kong Univ Sci &amp; Technol, Div Life Sci &amp; Ctr Chinese Med, Hong Kong, Peoples R China; [Werth, Silke] Ludwig Maximilian Univ Munich, Systemat Biodivers &amp; Evolut Plants, Munich, Germany; [Wang, Li-Song] Chinese Acad Sci, Kunming Inst Bot, Key Lab Plant Divers &amp; Biogeog East Asia, Kunming, Yunnan, Peoples R China</t>
  </si>
  <si>
    <t>Swiss Federal Institutes of Technology Domain; Swiss Federal Institute for Forest, Snow &amp; Landscape Research; University of Bern; Hong Kong University of Science &amp; Technology; University of Munich; Chinese Academy of Sciences; Kunming Institute of Botany, CAS</t>
  </si>
  <si>
    <t>Yang, MX (通讯作者)，Snow &amp; Landscape Res WSL, Swiss Fed Inst Forest, Biodivers &amp; Conservat Biol, Birmensdorf, Switzerland.</t>
  </si>
  <si>
    <t>meixia124@gmail.com</t>
  </si>
  <si>
    <t>Scheidegger, Christoph/C-6547-2011</t>
  </si>
  <si>
    <t>Scheidegger, Christoph/0000-0003-3713-5331</t>
  </si>
  <si>
    <t>China Scholarship Council [201704910901]; National Natural Science Foundation of China [31670028, 31970022]; Schweizerischer Nationalfonds zur Forderung der Wissenschaftlichen Forschung [JRP IZ70Z0_131338/1]; Second Tibetan Plateau Scientific Expedition and Research Program [2019QZKK0503]</t>
  </si>
  <si>
    <t>China Scholarship Council(China Scholarship Council); National Natural Science Foundation of China(National Natural Science Foundation of China (NSFC)); Schweizerischer Nationalfonds zur Forderung der Wissenschaftlichen Forschung(Austrian Science Fund (FWF)); Second Tibetan Plateau Scientific Expedition and Research Program</t>
  </si>
  <si>
    <t>China Scholarship Council, Grant/Award Number: 201704910901; National Natural Science Foundation of China, Grant/Award Number: 31670028 and 31970022; Schweizerischer Nationalfonds zur Forderung der Wissenschaftlichen Forschung, Grant/Award Number: JRP IZ70Z0_131338/1; Second Tibetan Plateau Scientific Expedition and Research Program, Grant/Award Number: 2019QZKK0503</t>
  </si>
  <si>
    <t>e9308</t>
  </si>
  <si>
    <t>10.1002/ece3.9308</t>
  </si>
  <si>
    <t>4N0IT</t>
  </si>
  <si>
    <t>WOS:000853701800001</t>
  </si>
  <si>
    <t>Qian, H; Leprieur, F; Jin, Y; Wang, XL; Deng, T</t>
  </si>
  <si>
    <t>Qian, Hong; Leprieur, Fabien; Jin, Yi; Wang, Xianli; Deng, Tao</t>
  </si>
  <si>
    <t>Influence of phylogenetic scale on the relationships of taxonomic and phylogenetic turnovers with environment for angiosperms in China</t>
  </si>
  <si>
    <t>Chinese flora; environmental gradient; flowering plant; latitudinal gradient; phylogenetic beta diversity</t>
  </si>
  <si>
    <t>BETA-DIVERSITY; GLOBAL PATTERNS; COMMUNITY STRUCTURE; R PACKAGE; DIVERSIFICATION; BIOGEOGRAPHY; COMPONENTS; MOUNTAINS; EVOLUTION; FRAMEWORK</t>
  </si>
  <si>
    <t>We aim to assess the influence of phylogenetic scale on the relationships of taxonomic and phylogenetic turnovers with environment for angiosperms in China. Specifically, we quantify the effects of contemporary climate on beta-diversity at different phylogenetic scales representing different evolutionary depths of angiosperms. We sampled a latitudinal gradient and a longitudinal gradient of angiosperm assemblages across China (each &gt;= 3400 km). Species composition in each assemblage was documented. Three metrics of beta-diversity (beta(sim.tax) measuring taxonomic beta-diversity; beta(sim.phy) and D-pw measuring tip- and basal-weighted phylogenetic beta-diversity, respectively) were quantified among assemblages at sequential depths in the evolutionary history of angiosperms from the tips to deeper branches. This was done by slicing the angiosperm phylogenetic tree at six evolutionary depths (0, 15, 30, 45, 60, and 75 million years ago). beta-diversity at each evolutionary depth was related to geographic and climatic distances between assemblages. In general, the relationship between beta-diversity and climatic distance decreased from shallow to deep evolutionary time slice for all the three metrics. The slopes of the decreasing trends for beta(sim.tax) and beta(sim.phy) were much steeper for the latitudinal gradient than for the longitudinal gradient. The decreasing trend of the strength of the relationship was monotonic in all cases except for D-pw across the longitudinal gradient. Geographic distance between assemblages explained little variation in beta-diversity that was not explained by climatic distance. Our study shows that the strength of the relationship between beta-diversity and climatic distance decreases conspicuously from shallow to deep evolutionary depth for the latitudinal gradient, but this decreasing trend is less steep for the longitudinal gradient than for the latitudinal gradient, which likely reflects the influence of historical processes (e.g., the collision of the Indian plate with the Eurasian plate) on beta-diversity.</t>
  </si>
  <si>
    <t>[Qian, Hong] Illinois State Museum, Res &amp; Collect Ctr, 1011 East Ash St, Springfield, IL 62703 USA; [Leprieur, Fabien] Univ Montpellier, CNRS, MARBEC, IFREMER, Montpellier, France; [Leprieur, Fabien] Inst Univ France IUF, Paris, France; [Jin, Yi] Guizhou Normal Univ, Key Lab State Forestry Adm Biodivers Conservat Ka, Guiyang, Peoples R China; [Wang, Xianli] Nat Resources Canada, Northern Forestry Ctr, Canadian Forest Serv, Edmonton, AB, Canada; [Deng, Tao] Chinese Acad Sci, Kunming Inst Bot, CAS Key Lab Plant Div &amp; Biogeog East Asia, Kunming 650201, Yunnan, Peoples R China</t>
  </si>
  <si>
    <t>Centre National de la Recherche Scientifique (CNRS); Ifremer; Universite de Montpellier; Institut Universitaire de France; Guizhou Normal University; Natural Resources Canada; Canadian Forest Service; Chinese Academy of Sciences; Kunming Institute of Botany, CAS</t>
  </si>
  <si>
    <t>Qian, H (通讯作者)，Illinois State Museum, Res &amp; Collect Ctr, 1011 East Ash St, Springfield, IL 62703 USA.;Deng, T (通讯作者)，Chinese Acad Sci, Kunming Inst Bot, CAS Key Lab Plant Div &amp; Biogeog East Asia, Kunming 650201, Yunnan, Peoples R China.</t>
  </si>
  <si>
    <t>Key Projects of the Joint Fund of the National Natural Science Foundation of China [U1802232]; Doctoral Research Startup Project of Guizhou Normal University [11904-0519083]; Second Tibetan Plateau Scientific Expedition and Research (STEP) program [2019QZKK0502]; Youth Innovation Promotion Association of Chinese Academy of Sciences [2019382]; Chinese Academy of Sciences Light of West China Program, the Biodiversity Survey, Monitoring and Assessment [2019HB2096001006]; Young Academic and Technical Leader Raising Foundation of Yunnan Province [2019HB039]</t>
  </si>
  <si>
    <t>Key Projects of the Joint Fund of the National Natural Science Foundation of China(National Natural Science Foundation of China (NSFC)); Doctoral Research Startup Project of Guizhou Normal University; Second Tibetan Plateau Scientific Expedition and Research (STEP) program; Youth Innovation Promotion Association of Chinese Academy of Sciences; Chinese Academy of Sciences Light of West China Program, the Biodiversity Survey, Monitoring and Assessment; Young Academic and Technical Leader Raising Foundation of Yunnan Province</t>
  </si>
  <si>
    <t>Key Projects of the Joint Fund of the National Natural Science Foundation of China, Grant/Award Number: U1802232; Doctoral Research Startup Project of Guizhou Normal University, Grant/Award Number: 11904--0519083; Second Tibetan Plateau Scientific Expedition and Research (STEP) program, Grant/Award Number: 2019QZKK0502; Youth Innovation Promotion Association of Chinese Academy of Sciences, Grant/Award Number: 2019382; Chinese Academy of Sciences Light of West China Program, the Biodiversity Survey, Monitoring and Assessment, Grant/Award Number: 2019HB2096001006; Young Academic and Technical Leader Raising Foundation of Yunnan Province, Grant/Award Number: 2019HB039</t>
  </si>
  <si>
    <t>e8544</t>
  </si>
  <si>
    <t>10.1002/ece3.8544</t>
  </si>
  <si>
    <t>ZG6KW</t>
  </si>
  <si>
    <t>WOS:000760366500074</t>
  </si>
  <si>
    <t>Yang, QC; Chen, W; Qian, LS; Yang, D; Liu, XY; Wang, MQ</t>
  </si>
  <si>
    <t>Yang, Qicheng; Chen, Wei; Qian, Lishan; Yang, Ding; Liu, Xiaoyan; Wang, Manqun</t>
  </si>
  <si>
    <t>The Effect of Environmental Factors on the Diversity of Crane Flies (Tipulidae) in Mountainous and Non-Mountainous Regions of the Qinghai-Tibet Plateau and Surrounding Areas</t>
  </si>
  <si>
    <t>INSECTS</t>
  </si>
  <si>
    <t>Asia; climatic factors; endemism; prediction model; species richness; topographic heterogeneity</t>
  </si>
  <si>
    <t>GLOBAL DIVERSITY; SPECIES RICHNESS; PATTERNS; MONSOONS; HIMALAYA; DIPTERA; BIRDS</t>
  </si>
  <si>
    <t>Simple Summary Understanding the macro pattern and underlying mechanism of species diversity is critical for research on biodiversity and biological conservation. However, there have been few reports about the different effects of the same environmental factor on biodiversity between mountainous and non-mountainous regions. This study revealed the diversity patterns of Tipulidae in the Qinghai-Tibet Plateau and its surrounding areas, investigated the influence of environmental factors on its diversity in mountainous and non-mountainous regions, and deduced the richness model of Tipulidae in mountainous regions. Our results revealed three highly endemic regions and provided a species richness model of a group of decomposer insects. The warmest quarter precipitation and topographic heterogeneity have main effects on the diversity of Tipulidae in mountainous regions. These findings provide a reference for the diversity model of decomposers to aid in the protection of biodiversity in Asian mountains. Tipulidae, one of the most diverse families of Diptera, is widely distributed in the world. The adults have weak flight ability, making it an ideal model for studying the formation of insect diversity. This study aims to explore the species diversity and endemism of Tipulidae in the Qinghai-Tibet Plateau and the surrounding areas, as well as analyze the relationships between the diversity pattern and 25 environmental factors in mountainous and non-mountainous regions. To this end, we collected 2589 datasets for the distribution of 1219 Tipulidae species, and found three areas with high diversities of Tipulidae around the QTP, including the Sikkim-Yadong area, Kamen River Basin, and Gongga Mountain. Further R, generalized additive model (GAM), and stepwise multiple regression analysis indicated that the richness and endemism of Tipulidae is mainly influenced by the warmest quarter precipitation and topographic heterogeneity in mountainous regions, but in non-mountainous regions, the richness is mostly affected by the precipitation seasonality, while there is no regularity in the relationship between endemism and environmental factors. In addition, the richness model in mountainous regions was in conformity with the results of GAM.</t>
  </si>
  <si>
    <t>Yang, Qicheng</t>
  </si>
  <si>
    <t>[Yang, Qicheng; Chen, Wei; Liu, Xiaoyan; Wang, Manqun] Huazhong Agr Univ, Coll Plant Sci &amp; Technol, Hubei Insect Resources Utilizat &amp; Sustainable Pest, Wuhan 430070, Peoples R China; [Qian, Lishan] Chinese Acad Sci, Kunming Inst Bot, CAS Key Lab Plant Divers &amp; Biogeog East Asia, Kunming 650201, Peoples R China; [Yang, Ding] China Agr Univ, Coll Plant Protect, Dept Entomol, Beijing 100193, Peoples R China</t>
  </si>
  <si>
    <t>Huazhong Agricultural University; Chinese Academy of Sciences; Kunming Institute of Botany, CAS; China Agricultural University</t>
  </si>
  <si>
    <t>Liu, XY (通讯作者)，Huazhong Agr Univ, Coll Plant Sci &amp; Technol, Hubei Insect Resources Utilizat &amp; Sustainable Pest, Wuhan 430070, Peoples R China.</t>
  </si>
  <si>
    <t>liuxiaoyan@mail.hzau.edu.cn</t>
  </si>
  <si>
    <t>Wang, Man-Qun/0000-0002-1768-0722</t>
  </si>
  <si>
    <t>2075-4450</t>
  </si>
  <si>
    <t>Insects</t>
  </si>
  <si>
    <t>10.3390/insects13111054</t>
  </si>
  <si>
    <t>6V6QZ</t>
  </si>
  <si>
    <t>WOS:000895171100001</t>
  </si>
  <si>
    <t>Ai, M; Li, LJ; Worthy, FR; Yin, AC; Zhong, QY; Wang, SQ; Wang, LS; Wang, XY</t>
  </si>
  <si>
    <t>Ai, Min; Li, Li Juan; Worthy, Fiona Ruth; Yin, An Cheng; Zhong, Qiu Yi; Wang, Shi Qiong; Wang, Li Song; Wang, Xin Yu</t>
  </si>
  <si>
    <t>Taxonomy of Buellia epigaea-group (Caliciales, Caliciaceae), revealing a new species and two new records from China</t>
  </si>
  <si>
    <t>MYCOKEYS</t>
  </si>
  <si>
    <t>Lichenized fungi; nuITS-nuLSU-mtSSU; ? -tubulin; phylogenetic analysis; terricolous; Tibetan Plateau</t>
  </si>
  <si>
    <t>SUBUNIT RIBOSOMAL DNA; PHYSCIACEAE; REVISION; PHYLOGENIES; IMPROVEMENT; PRIMERS</t>
  </si>
  <si>
    <t>During the Second Tibetan Plateau Scientific Expedition and Research Program, we discovered that white terricolous lichenized fungal species of Buellia De Not. were widely distributed across the Tibetan Plateau. After examining their morphology, chemistry and phylogeny, we describe Buellia alpina Xin Y. Wang &amp; Li S. Wang, sp. nov. as new to science. It is present in alpine meadows, and is characterized by its effigurate thallus, distinct linear marginal lobes, cover of thick white pruina and four-spored asci. This is also the first report of Buellia elegans Poelt and Buellia epigaea (Pers.) Tuck from China. The Buellia epigaea-group has previously been characterized by white and often effigurate thalli that occur mainly on soil. However, our results show that species in this group actually belong to two distinct clades. This conclusion is based on analyses of the nuITS region and the combined regions dataset (nuITS-nuLSU-mtSSU-beta-tubulin). We discuss differences in morphology, anatomy, chemistry and ecology among the putative Buellia epigaeagroup. Detailed descriptions and figures for the three species from China and a key for species of Buellia epigaea-group are provided.</t>
  </si>
  <si>
    <t>Ai, Min</t>
  </si>
  <si>
    <t>[Ai, Min; Worthy, Fiona Ruth; Yin, An Cheng; Zhong, Qiu Yi; Wang, Li Song; Wang, Xin Yu] Chinese Acad Sci, Kunming Inst Bot, Key Lab Plant Divers &amp; Biogeog East Asia, Kunming 650201, Yunnan, Peoples R China; [Ai, Min; Worthy, Fiona Ruth; Yin, An Cheng; Zhong, Qiu Yi; Wang, Li Song; Wang, Xin Yu] Chinese Acad Sci, Kunming Inst Bot, Yunnan Key Lab Fungal Divers &amp; Green Dev, Kunming 650201, Yunnan, Peoples R China; [Li, Li Juan] Senckenberg Res Inst, Dept Bot &amp; Mol Evolut, D-60325 Frankfurt, Germany; [Wang, Shi Qiong] Chinese Acad Sci, Kunming Inst Bot, Kunming Bot Garden, Kunming 650201, Yunnan, Peoples R China</t>
  </si>
  <si>
    <t>Chinese Academy of Sciences; Kunming Institute of Botany, CAS; Chinese Academy of Sciences; Kunming Institute of Botany, CAS; Senckenberg Gesellschaft fur Naturforschung (SGN); Chinese Academy of Sciences; Kunming Institute of Botany, CAS</t>
  </si>
  <si>
    <t>Wang, XY (通讯作者)，Chinese Acad Sci, Kunming Inst Bot, Key Lab Plant Divers &amp; Biogeog East Asia, Kunming 650201, Yunnan, Peoples R China.;Wang, XY (通讯作者)，Chinese Acad Sci, Kunming Inst Bot, Yunnan Key Lab Fungal Divers &amp; Green Dev, Kunming 650201, Yunnan, Peoples R China.</t>
  </si>
  <si>
    <t>wangxinyu@mail.kib.ac.cn</t>
  </si>
  <si>
    <t>Flora Lichenum Sinicorum [31750001]; Second Tibetan Plateau Scientific Expedition and Research Program (STEP) [2019QZKK0503]; Youth Innovation Promotion Association CAS [2020388]; Yunnan Young &amp; Elite Talents Project, National Natural Science Foundation of China [31970022]; State Key Laboratory of Phytochemistry and Plant Resources in West China [P2020-KF08]</t>
  </si>
  <si>
    <t>Flora Lichenum Sinicorum; Second Tibetan Plateau Scientific Expedition and Research Program (STEP); Youth Innovation Promotion Association CAS; Yunnan Young &amp; Elite Talents Project, National Natural Science Foundation of China(National Natural Science Foundation of China (NSFC)); State Key Laboratory of Phytochemistry and Plant Resources in West China</t>
  </si>
  <si>
    <t>We express our sincere thanks to the M herbarium for providing type specimens and digital images. This study was supported by grants from the Flora Lichenum Sini- corum (31750001) , the Second Tibetan Plateau Scientific Expedition and Research Program (STEP) (2019QZKK0503) , Youth Innovation Promotion Association CAS (2020388) , Yunnan Young &amp; Elite Talents Project, National Natural Science Founda- tion of China (31970022) and State Key Laboratory of Phytochemistry and Plant Resources in West China (P2020-KF08) .</t>
  </si>
  <si>
    <t>PENSOFT PUBLISHERS</t>
  </si>
  <si>
    <t>SOFIA</t>
  </si>
  <si>
    <t>12 PROF GEORGI ZLATARSKI ST, SOFIA, 1700, BULGARIA</t>
  </si>
  <si>
    <t>1314-4057</t>
  </si>
  <si>
    <t>1314-4049</t>
  </si>
  <si>
    <t>MycoKeys</t>
  </si>
  <si>
    <t>10.3897/mycokeys.92.83939</t>
  </si>
  <si>
    <t>4D8CY</t>
  </si>
  <si>
    <t>WOS:000847367900001</t>
  </si>
  <si>
    <t>Dissanayake, LS; Marasinghe, DS; Samarakoon, MC; Maharachchikumbura, SSN; Mortimer, PE; Hyde, KD; Kuo, CH; Kang, JC</t>
  </si>
  <si>
    <t>Dissanayake, Lakmali S.; Marasinghe, Diana S.; Samarakoon, Milan C.; Maharachchikumbura, Sajeewa S. N.; Mortimer, Peter E.; Hyde, Kevin D.; Kuo, Chang-Hsin; Kang, Ji-Chuan</t>
  </si>
  <si>
    <t>Three new species of Iodosphaeria (Xylariomycetidae): I. chiayiensis, I. jinghongensis and I. thailandica</t>
  </si>
  <si>
    <t>Ceratosporium-like asexual morph; Sordariomycetes&amp;nbsp; taxonomy; three new taxa</t>
  </si>
  <si>
    <t>MULTIPLE SEQUENCE ALIGNMENT; PHYLOGENETIC PLACEMENT; SP-NOV; AMPHISPHAERIACEAE; REVEALS; VIALAEA; CHOICE; FUNGI</t>
  </si>
  <si>
    <t>Three fungal specimens (two sexual and one asexual) were collected during fieldwork conducted in China, Taiwan and Thailand. Both sexual morphs share superficial, black ascomata surrounded by flexuous setae; 8-spored, unitunicate, cylindrical asci, with J+, apical ring, and ellipsoidal to allantoid, aseptate, guttulate ascospores. The asexual morph has ceratosporium-like conidia arising from aerial hyphae with a single arm and are usually attached or with 2-3 arms, brown, often with a subglobose to conical cell at the point of attachment. Morphological examinations and phylogenetic analyses of a combined LSU-ITS dataset via maximum likelihood and Bayesian analyses indicated that these three collections were new species. Iodosphaeria chiayiensis (sexual morph), I. thailandica (sexual morph) and I. jinghongensis (asexual morph) are therefore introduced as new species in this study. Iodosphaeria chiayiensis has small, hyaline and ellipsoidal to allantoid ascospores, while I. thailandica has large ascomata, cylindrical to allantoid asci and hyaline to pale brown ascospores.</t>
  </si>
  <si>
    <t>Dissanayake, Lakmali S.</t>
  </si>
  <si>
    <t>[Dissanayake, Lakmali S.; Kang, Ji-Chuan] Guizhou Univ, Engn &amp; Res Ctr Southwest Biopharmaceut Resources, Minist China, Guiyang 550025, Peoples R China; [Marasinghe, Diana S.; Samarakoon, Milan C.; Hyde, Kevin D.] Mae Fah Luang Univ, Ctr Excellence Fungal Res, Chiang Rai 57100, Thailand; [Maharachchikumbura, Sajeewa S. N.] Univ Elect Sci &amp; Technol China, Sch Life Sci &amp; Technol, Chengdu 611731, Peoples R China; [Mortimer, Peter E.] Ctr Mt Futures CMF, Kunming Inst Bot, Honghe County 654400, Yunnan, Peoples R China; [Hyde, Kevin D.] Zhongkai Univ Agr &amp; Engn, Innovat Inst Plant Hlth, Guangzhou 510225, Peoples R China; [Marasinghe, Diana S.; Kuo, Chang-Hsin] Natl Chiayi Univ, Dept Plant Med, 300 Syuelit Rd, Chiayi 60004, Taiwan</t>
  </si>
  <si>
    <t>Guizhou University; Mae Fah Luang University; University of Electronic Science &amp; Technology of China; Chinese Academy of Sciences; Kunming Institute of Botany, CAS; Zhongkai University of Agriculture &amp; Engineering; National Chiayi University</t>
  </si>
  <si>
    <t>Kang, JC (通讯作者)，Guizhou Univ, Engn &amp; Res Ctr Southwest Biopharmaceut Resources, Minist China, Guiyang 550025, Peoples R China.</t>
  </si>
  <si>
    <t>jckang@gzu.edu.cn</t>
  </si>
  <si>
    <t>Hyde, Kevin D/F-7890-2010; Maharachchikumbura, Sajeewa/C-9403-2013</t>
  </si>
  <si>
    <t>Maharachchikumbura, Sajeewa/0000-0001-9127-0783; Samarakoon, Milan C./0000-0002-4815-125X</t>
  </si>
  <si>
    <t>National Natural Science Foundation of China (NSFC) [31670027, 31460011]; Open Fund Program of Engineering Research Center of Southwest Bio-Pharmaceutical Resources, Ministry of Education, Guizhou University [GZUKEY 20160705]; National Science Foundation of China [41761144055]; High-End Foreign Expertsin the High-Level Talent Recruitment Plan of Yunnan Province (2021)</t>
  </si>
  <si>
    <t>National Natural Science Foundation of China (NSFC)(National Natural Science Foundation of China (NSFC)); Open Fund Program of Engineering Research Center of Southwest Bio-Pharmaceutical Resources, Ministry of Education, Guizhou University; National Science Foundation of China(National Natural Science Foundation of China (NSFC)); High-End Foreign Expertsin the High-Level Talent Recruitment Plan of Yunnan Province (2021)</t>
  </si>
  <si>
    <t>Ji-Chuan Kang thanks the National Natural Science Foundation of China (NSFC Grants Nos. 31670027 &amp; 31460011) and the Open Fund Program of Engineering Research Center of Southwest Bio-Pharmaceutical Resources, Ministry of Education, Guizhou University (No. GZUKEY 20160705). Shaun Pennycook is thanked for the nomenclatural advice. Dhanushka Wanasinghe is thanked for the specimen collections and for providing sequence data. Peter Mortimer thanks the National Science Foundation of China (grant no. 41761144055) and High-End Foreign Expertsin the High-Level Talent Recruitment Plan of Yunnan Province (2021). Austin G. Smith at World Agroforestry (ICRAF), Kunming Institute of Botany, China, is thanked for English editing.</t>
  </si>
  <si>
    <t>JAN 7</t>
  </si>
  <si>
    <t>10.3897/mycokeys.86.75801</t>
  </si>
  <si>
    <t>YG8VK</t>
  </si>
  <si>
    <t>WOS:000742758600001</t>
  </si>
  <si>
    <t>Zhou, HM; Zhao, Q; Wang, Q; Wu, F; Dai, YC</t>
  </si>
  <si>
    <t>Zhou, Hong-Min; Zhao, Qi; Wang, Qi; Wu, Fang; Dai, Yu-Cheng</t>
  </si>
  <si>
    <t>Two new species of Boletopsis (Bankeraceae, Thelephorales) from Southwest China</t>
  </si>
  <si>
    <t>Ectomycorrhizal fungi; phylogeny; taxonomy</t>
  </si>
  <si>
    <t>Two new species of Boletopsis, B. macrocarpa and B. tibetana, are described and illustrated from Southwest (SW) China based on morphology, ecology and phylogenetic analyses by the internal transcribed spacer regions (ITS) and the large subunit of nuclear ribosomal RNA gene (nLSU). Boletopsis macrocarpa is characterized by big basidiocarps (up to 18 cm in diam), guttulate basidiospores, and the presence of gloeoplerous hyphae in context and growing in pure forest of Pinus yunnanensis. Boletopsis tibetana is characterized by smaller pores (3???4 per mm), the presence of gloeoplerous hyphae in pileipellis, and the growth in forests of Picea. Phylogenetically, the two new species are grouped in two independent lineages nested in Boletopsis. In addition, one sample from Northeast China is temporarily treated as Boletopsis sp. 1 because of the single sample; another Chinese sample from SW China is sister to B. grisea in phylogeny, and it is treated as B. cf. grisea because the morphological difference between B. cf. grisea and B. grisea is indistinct. Furthermore, the main characteristics of Boletopsis species are listed, and a key to accepted species of Boletopsis is provided.</t>
  </si>
  <si>
    <t>Zhou, Hong-Min</t>
  </si>
  <si>
    <t>[Zhou, Hong-Min; Wu, Fang; Dai, Yu-Cheng] Beijing Forestry Univ, Inst Microbiol, Sch Ecol &amp; Nat Conservat, Beijing 100083, Peoples R China; [Wang, Qi] Chinese Acad Sci, Kunming Inst Bot, Key Lab Plant Div &amp; Biogeog East Asia, Kunming 650201, Yunnan, Peoples R China; [Wang, Qi] Anqing Rd 7 Bldg 4-201, Fushun 113004, Peoples R China</t>
  </si>
  <si>
    <t>Beijing Forestry University; Chinese Academy of Sciences; Kunming Institute of Botany, CAS</t>
  </si>
  <si>
    <t>Wu, F; Dai, YC (通讯作者)，Beijing Forestry Univ, Inst Microbiol, Sch Ecol &amp; Nat Conservat, Beijing 100083, Peoples R China.</t>
  </si>
  <si>
    <t>fangwubjfu2014@bjfu.edu.cn; yuchengdai@bjfu.edu.cn</t>
  </si>
  <si>
    <t>Zhou, Hongmin/0000-0002-0724-5815</t>
  </si>
  <si>
    <t>Second Tibetan Plateau Scientific Expedition and Research Program (STEP) [2019QZKK0503]; National Natural Science Foundation of China [U1802231, 31870007]</t>
  </si>
  <si>
    <t>The research is supported by the Second Tibetan Plateau Scientific Expedition and Research Program (STEP Grant No. 2019QZKK0503) and the National Natural Science Foundation of China (Project Nos. U1802231, 31870007).</t>
  </si>
  <si>
    <t>APR 29</t>
  </si>
  <si>
    <t>10.3897/mycokeys.89.83197</t>
  </si>
  <si>
    <t>1H9DG</t>
  </si>
  <si>
    <t>WOS:000796838900001</t>
  </si>
  <si>
    <t>Xie, CM; Wang, LS; Zhao, ZT; Zhang, YY; Wang, XY; Zhang, LL</t>
  </si>
  <si>
    <t>Xie, Cong-Miao; Wang, Li-Song; Zhao, Zun-Tian; Zhang, Yan-Yun; Wang, Xin-Yu; Zhang, Lu-Lu</t>
  </si>
  <si>
    <t>Revision of Immersaria and a new lecanorine genus in Lecideaceae (lichenised Ascomycota, Lecanoromycetes)</t>
  </si>
  <si>
    <t>China&amp;nbsp; generic classification&amp;nbsp; lecanorine apothecia&amp;nbsp; lichen&amp;nbsp; phylogeny&amp;nbsp; taxonomy</t>
  </si>
  <si>
    <t>SUBUNIT RIBOSOMAL DNA; INFERENCE; ADDITIONS</t>
  </si>
  <si>
    <t>The species Immersaria cupreoatra has been included in Bellemerea. This caused us to reconsider the relationships between Bellemerea and the lecanorine species of Immersaria and to question the monophyly of Immersaria. Amongst 25 genera of the family Lecideaceae, most have lecideine apothecia, the exceptions being Bellemerea and Koerberiella, which have lecanorine apothecia. According to previous classifications, Immersaria included species with both lecanorine and lecideine apothecia. A five-loci phylogenetic tree (nrITS, nrLSU, RPB1, RPB2, and mtSSU) for Lecideaceae showed that Immersaria was split into two clades: firstly, all the lecideine apotheciate species and secondly, all the lecanorine apotheciate species. The latter clade was closely related to the remaining lecanorine apotheciate genera: Bellemerea and Koerberiella. Therefore, the genus concept of Immersaria is revised accordingly and a new lecanorine genus Lecaimmeria is proposed. Furthermore, four new species for Immersaria and seven new species and three new combinations for the new genus Lecaimmeria are proposed. Keys to Immersaria and the new genus Lecaimmeria are provided.</t>
  </si>
  <si>
    <t>Xie, Cong-Miao</t>
  </si>
  <si>
    <t>[Xie, Cong-Miao; Zhao, Zun-Tian] Shandong Normal Univ, Coll Life Sci, Key Lab Plant Stress Res, Jinan 250014, Shandong, Peoples R China; [Wang, Li-Song; Zhang, Yan-Yun; Wang, Xin-Yu] Kunming Inst Bot, CAS Key Lab Plant Divers &amp; Biogeog East Asia, Kunming 650204, Yunnan, Peoples R China; [Zhang, Lu-Lu] Shandong Normal Univ, Inst Environm &amp; Ecol, Jinan 250014, Shandong, Peoples R China</t>
  </si>
  <si>
    <t>Shandong Normal University; Chinese Academy of Sciences; Kunming Institute of Botany, CAS; Shandong Normal University</t>
  </si>
  <si>
    <t>Wang, XY (通讯作者)，Kunming Inst Bot, CAS Key Lab Plant Divers &amp; Biogeog East Asia, Kunming 650204, Yunnan, Peoples R China.;Zhang, LL (通讯作者)，Shandong Normal Univ, Inst Environm &amp; Ecol, Jinan 250014, Shandong, Peoples R China.</t>
  </si>
  <si>
    <t>wangxinyu@mail.kib.ac.cn; 612038@sdnu.edu.cn</t>
  </si>
  <si>
    <t>WANG, Xin Yu/0000-0003-2166-6111; Xie, Congmiao/0000-0001-9973-3594</t>
  </si>
  <si>
    <t>National Natural Science Foundation of China [31750001, 31970022, 32170002]; Second Tibetan Plateau Scientific Expedition and Research Program (STEP) [2019QZKK0503]; Youth Innovation Promotion Association CAS [2020388]; State Key Laboratory of Phytochemistry and Plant Resources in West China [P2020-KF08]</t>
  </si>
  <si>
    <t>National Natural Science Foundation of China(National Natural Science Foundation of China (NSFC)); Second Tibetan Plateau Scientific Expedition and Research Program (STEP); Youth Innovation Promotion Association CAS; State Key Laboratory of Phytochemistry and Plant Resources in West China</t>
  </si>
  <si>
    <t>We are very grateful to Dr. Saara Velmala and Dr. Leena Myllys from the University of Helsinki (H) and Dr. Water Till from the Universitat Wien (WU) for the loan of type materials, to Dr. Fiona Ruth Worthy, a post-doctoral researcher from Kunming Institute of Botany, Centre for Mountain Ecosystem Studies, for carefully correcting our English and to Dr. Einar Timdal (Natural History Museum, Norway) and Dr. Alan Fryday (Michigan State University) for the very careful review and the useful comments on the manuscript. This study was supported by the National Natural Science Foundation of China (31750001, 31970022, 32170002) , the Second Tibetan Plateau Scientific Expedition and Research Program (STEP) (2019QZKK0503) , the Youth Innovation Promotion Association CAS (2020388) and the State Key Laboratory of Phytochemistry and Plant Resources in West China (P2020-KF08) .</t>
  </si>
  <si>
    <t>10.3897/mycokeys.87.72614</t>
  </si>
  <si>
    <t>YZ9JB</t>
  </si>
  <si>
    <t>gold, Green Published, Green Submitted</t>
  </si>
  <si>
    <t>WOS:000755784900001</t>
  </si>
  <si>
    <t>Ren, GC; Wanasinghe, DN; Jeewon, R; Monkai, J; Mortimer, PE; Hyde, KD; Xu, JC; Gui, H</t>
  </si>
  <si>
    <t>Ren, Guang-Cong; Wanasinghe, Dhanushka N.; Jeewon, Rajesh; Monkai, Jutamart; Mortimer, Peter E.; Hyde, Kevin D.; Xu, Jian-Chu; Gui, Heng</t>
  </si>
  <si>
    <t>Taxonomy and phylogeny of the novel rhytidhysteron-like collections in the Greater Mekong Subregion</t>
  </si>
  <si>
    <t>Ascomycota; one new taxon; phylogeny; saprobic; taxonomy; Yunnan</t>
  </si>
  <si>
    <t>MULTIPLE SEQUENCE ALIGNMENT; FUNGI; ASCOMYCOTA; HYSTERIACEAE; PLEOSPOROMYCETIDAE; MYTILINIDIACEAE; PROBABILITY; EVOLUTION; INFERENCE; PROVINCE</t>
  </si>
  <si>
    <t>During our survey into the diversity of woody litter fungi across the Greater Mekong Subregion, three rhytidhysteron-like taxa were collected from dead woody twigs in China and Thailand. These were further investigated based on morphological observations and multi-gene phylogenetic analyses of a combined DNA data matrix containing SSU, LSU, ITS, and tef1-alpha sequence data. A new species of Rhytidhysteron, R. xiaokongense sp. nov. is introduced with its asexual morph, and it is characterized by semi-immersed, subglobose to ampulliform conidiomata, dark brown, oblong to ellipsoidal, 1-septate, conidia, which are granular in appearance when mature. In addition to the new species, two new records from Thailand are reported viz. Rhytidhysteron tectonae on woody litter of Betula sp. (Betulaceae) and Fabaceae sp. and Rhytidhysteron neorufulum on woody litter of Tectona grandis (Lamiaceae). Morphological descriptions, illustrations, taxonomic notes and phylogenetic analyses are provided for all entries.</t>
  </si>
  <si>
    <t>Ren, Guang-Cong</t>
  </si>
  <si>
    <t>[Ren, Guang-Cong; Monkai, Jutamart; Hyde, Kevin D.] Mae Fah Luang Univ, Ctr Excellence Fungal Res, Chiang Rai 57100, Thailand; [Ren, Guang-Cong; Hyde, Kevin D.] Mae Fah Luang Univ, Sch Sci, Chiang Rai 57100, Thailand; [Ren, Guang-Cong] Guiyang Nursing Vocat Coll, Guiyang 550081, Guizhou, Peoples R China; [Mortimer, Peter E.; Xu, Jian-Chu; Gui, Heng] Chinese Acad Sci, Kunming Inst Bot, Yunnan Key Lab Wild Plant Resources, Dept Econ Plants &amp; Biotechnol, Kunming 650201, Yunnan, Peoples R China; [Wanasinghe, Dhanushka N.; Mortimer, Peter E.; Xu, Jian-Chu; Gui, Heng] Chinese Acad Sci, Ctr Mt Futures, Kunming Inst Bot, Honghe Cty 654400, Yunnan, Peoples R China; [Wanasinghe, Dhanushka N.] World Agroforestry Ctr, East &amp; Cent Asia, Kunming 650201, Yunnan, Peoples R China; [Jeewon, Rajesh] Univ Mauritius, Fac Med &amp; Hlth Sci, Dept Hlth Sci, Reduit, Mauritius</t>
  </si>
  <si>
    <t>Mae Fah Luang University; Mae Fah Luang University; Chinese Academy of Sciences; Kunming Institute of Botany, CAS; Chinese Academy of Sciences; Kunming Institute of Botany, CAS; University of Mauritius</t>
  </si>
  <si>
    <t>Gui, H (通讯作者)，Chinese Acad Sci, Kunming Inst Bot, Yunnan Key Lab Wild Plant Resources, Dept Econ Plants &amp; Biotechnol, Kunming 650201, Yunnan, Peoples R China.;Wanasinghe, DN; Gui, H (通讯作者)，Chinese Acad Sci, Ctr Mt Futures, Kunming Inst Bot, Honghe Cty 654400, Yunnan, Peoples R China.;Wanasinghe, DN (通讯作者)，World Agroforestry Ctr, East &amp; Cent Asia, Kunming 650201, Yunnan, Peoples R China.</t>
  </si>
  <si>
    <t>dnadeeshan@gmail.com; guiheng@mail.kib.ac.cn</t>
  </si>
  <si>
    <t>Wanasinghe, Dhanushka Nadeeshan/P-1693-2017; Hyde, Kevin D/F-7890-2010</t>
  </si>
  <si>
    <t xml:space="preserve">Wanasinghe, Dhanushka Nadeeshan/0000-0003-1759-3933; </t>
  </si>
  <si>
    <t>Strategic Priority Research Program of Chinese Academy of Sciences [XDA2602020]; National Natural Science Foundation of China [NSFC32001296]; Thailand Research Fund for the grant entitled Impact of climate change on fungal diversity and biogeography in the Greater Mekong Subregion [RDG6130001]; CAS President's International Fellowship Initiative (PIFI) [2021FYB0005]; Postdoctoral Fund from Human Resources and Social Security Bureau of Yunnan Province; National Science Foundation of China; High-End Foreign Experts in the High-Level Talent Recruitment Plan of Yunnan Province (2021); Chinese Academy of Sciences [41761144055]</t>
  </si>
  <si>
    <t>Strategic Priority Research Program of Chinese Academy of Sciences(Chinese Academy of Sciences); National Natural Science Foundation of China(National Natural Science Foundation of China (NSFC)); Thailand Research Fund for the grant entitled Impact of climate change on fungal diversity and biogeography in the Greater Mekong Subregion; CAS President's International Fellowship Initiative (PIFI); Postdoctoral Fund from Human Resources and Social Security Bureau of Yunnan Province; National Science Foundation of China(National Natural Science Foundation of China (NSFC)); High-End Foreign Experts in the High-Level Talent Recruitment Plan of Yunnan Province (2021); Chinese Academy of Sciences(Chinese Academy of Sciences)</t>
  </si>
  <si>
    <t>This work was supported by the Strategic Priority Research Program of Chinese Academy of Sciences (Grant No. XDA2602020) . We thank the support from the National Natural Science Foundation of China (NSFC32001296) . We also would like to thank the Thailand Research Fund for the grant entitled Impact of climate change on fungal diversity and biogeography in the Greater Mekong Subregion (No. RDG6130001) . Dhanushka Wanasinghe thanks the CAS President's International Fellowship Initiative (PIFI) for funding his postdoctoral research (number 2021FYB0005) , the Postdoctoral Fund from Human Resources and Social Security Bureau of Yunnan Province and the National Science Foundation of China, High-End Foreign Experts in the High-Level Talent Recruitment Plan of Yunnan Province (2021) and Chinese Academy of Sciences (grant no. 41761144055) for financial support. Austin G. Smith at World Agroforestry (ICRAF) , Kunming Institute of Botany, China, is thanked for English editing.</t>
  </si>
  <si>
    <t>JAN 12</t>
  </si>
  <si>
    <t>10.3897/mycokeys.86.70668</t>
  </si>
  <si>
    <t>YR8IR</t>
  </si>
  <si>
    <t>WOS:000750234900002</t>
  </si>
  <si>
    <t>Xu, HY; Wang, LS; Feng, XY; Gong, X</t>
  </si>
  <si>
    <t>Xu, Haiyan; Wang, Lisong; Feng, Xiuyan; Gong, Xun</t>
  </si>
  <si>
    <t>Core taxa and photobiont-microbial interaction within the lichen Heterodermia obscurata (Physcsiaceae, Heterodermia)</t>
  </si>
  <si>
    <t>SYMBIOSIS</t>
  </si>
  <si>
    <t>Amplicon sequencing; Composition diversity; Endophytes; Lichen; Core microbiome; Photobiont-microbial interaction</t>
  </si>
  <si>
    <t>PULMONARIA L. HOFFM.; LOBARIA-PULMONARIA; BLACK FUNGI; BACTERIAL COMMUNITIES; ENDOLICHENIC FUNGI; GREEN ALGAL; DIVERSITY; SELECTIVITY; TREBOUXIA; REVEALS</t>
  </si>
  <si>
    <t>The dual nature of fungal-algal lichen symbioses is extended by other microbial associations. Increasing evidence has confirmed that lichens are successful holobionts composed of complex and multiple species. Specific interactions between these microbes contributed to the lichens' health, growth and fitness. Previous studies suggested that the composition of microorganisms in lichens was potentially influenced by the genetic background of the host-symbiont, large-scale geography or different photobiont-types (cyanobiont and chlorobiont). However, our knowledge of the interactions between the main symbiotic partners under a certain ecological condition and how horizontal acquisition of these microorganisms contributes to endolichenic microbiome diversity remains limited. In the present study, using amplicon sequencing, we investigated the complex diversity and community composition of fungi, bacteria, and microalgae within Heterodermia obscurata from a similar niche. We found that endophytic bacteria displayed greater diversity than fungi and microalgae. Although preferences for core taxa varied among the different definitions, all analyses support that lichen-forming genus Heterodermia and green alga Trebouxia sp. OTU A15 were the main symbionts, and the bacterium Beijerinckiaceae was the core microbiome in H. obscurata. Significantly, we found that different alga species (Trebouxia) from H. obscurata are accompanying with a shift in composition and function of endolichenic bacteria and fungi. This finding suggested that besides host- or habitat specificity as well as photobiont-types, the shifts of dominant alga may also contribute to the taxonomical and functional differences of microbiomes within lichens.</t>
  </si>
  <si>
    <t>Xu, Haiyan</t>
  </si>
  <si>
    <t>[Xu, Haiyan; Wang, Lisong] Chinese Acad Sci, Kunming Inst Bot, CAS Key Lab Plant Divers &amp; Biogeog East Asia, Kunming 650201, Yunnan, Peoples R China; [Xu, Haiyan; Feng, Xiuyan; Gong, Xun] Chinese Acad Sci, Kunming Inst Bot, Key Lab Econ Plants &amp; Biotechnol, Kunming 650201, Yunnan, Peoples R China; [Xu, Haiyan; Gong, Xun] Univ Chinese Acad Sci, Beijing 100049, Peoples R China</t>
  </si>
  <si>
    <t>Gong, X (通讯作者)，Chinese Acad Sci, Kunming Inst Bot, Key Lab Econ Plants &amp; Biotechnol, Kunming 650201, Yunnan, Peoples R China.;Gong, X (通讯作者)，Univ Chinese Acad Sci, Beijing 100049, Peoples R China.</t>
  </si>
  <si>
    <t>National Key R&amp;D Program of China [2017YF0505200]; Strategic Biological Resources Service Network Programme of Chinese Academy of Sciences [ZSSD-006]</t>
  </si>
  <si>
    <t>National Key R&amp;D Program of China; Strategic Biological Resources Service Network Programme of Chinese Academy of Sciences</t>
  </si>
  <si>
    <t>This work was supported by the National Key R&amp;D Program of China [2017YF0505200 to H.S.] and the Strategic Biological Resources Service Network Programme of Chinese Academy of Sciences [ZSSD-006 to X.G.].</t>
  </si>
  <si>
    <t>0334-5114</t>
  </si>
  <si>
    <t>1878-7665</t>
  </si>
  <si>
    <t>Symbiosis</t>
  </si>
  <si>
    <t>10.1007/s13199-022-00832-5</t>
  </si>
  <si>
    <t>0S7ST</t>
  </si>
  <si>
    <t>WOS:000767693900001</t>
  </si>
  <si>
    <t>Zhang, T; Meng, J; Yang, FM; Li, X; Yin, XP; Zhang, J; He, SL</t>
  </si>
  <si>
    <t>Zhang, Tao; Meng, Jing; Yang, Fengmao; Li, Xue; Yin, Xuanpeng; Zhang, Jing; He, Shuilian</t>
  </si>
  <si>
    <t>Genome-wide assessment of population genetic and demographic history in Magnolia odoratissima based on SLAF-seq</t>
  </si>
  <si>
    <t>CONSERVATION GENETICS</t>
  </si>
  <si>
    <t>Magnolia odoratissima; SNP; SLAF-seq; Population structure; Genetic diversity; Demographic history</t>
  </si>
  <si>
    <t>CONSERVATION; DIVERSITY; FRAGMENTATION; PACKAGE; PSESP</t>
  </si>
  <si>
    <t>Magnolia odoratissima is a highly threatened species, with small distribution and scattered populations due to habitat fragmentation and human activity. In this study, the genetic diversity and population structure of the five remaining natural populations and two cultivated populations of M. odoratissima were analyzed using single nucleotide polymorphisms (SNPs) derived from specific-locus amplified fragment sequencing. A total of 180,650 SNPs were identified in seventy M. odoratissima individuals. The Nei's and Shannon-Wiener diversity index across all M. odoratissima population were 0.35 and 0.51, respectively, while the observed heterozygosity (Ho) and expected heterozygosity (He) were 0.27 and 0.34, respectively. Our results suggest that M. odoratissima has relatively high genetic diversity at the genomic level. The F-ST and AMOVA indicated that high genetic differentiation exists among populations, and a phylogenetic neighbor-joining tree, Bayesian model-based clustering and discriminant function analysis of principal component all divided the M. odoratissima individuals into three distinct clusters. The Treemix analysis showed that there was low gene flow among the natural populations. Demographic history inferences indicated show that three clusters of M. odoratissima experienced at least three bottlenecks and resulted in a decrease of effective population size. Our results suggest that three distinct evolutionary significant units should be set up to conserve this critically endangered species.</t>
  </si>
  <si>
    <t>Zhang, Tao</t>
  </si>
  <si>
    <t>[Zhang, Tao; Meng, Jing; Li, Xue; Yin, Xuanpeng; Zhang, Jing; He, Shuilian] Yunnan Agr Univ, Coll Hort &amp; Landscape, Kunming 650201, Peoples R China; [Meng, Jing; Yang, Fengmao; He, Shuilian] Chinese Acad Sci, Kunming Inst Bot, Yunnan Key Lab Integrat Conservat Plant Species Ex, Kunming 650201, Peoples R China</t>
  </si>
  <si>
    <t>He, SL (通讯作者)，Yunnan Agr Univ, Coll Hort &amp; Landscape, Kunming 650201, Peoples R China.;He, SL (通讯作者)，Chinese Acad Sci, Kunming Inst Bot, Yunnan Key Lab Integrat Conservat Plant Species Ex, Kunming 650201, Peoples R China.</t>
  </si>
  <si>
    <t>heshuilian2006@163.com</t>
  </si>
  <si>
    <t>Fund of Yunnan Key Laboratory for Integrative Conservation of Plant Species with Extremely Small Populations [PSESP2021F02]; National Natural Science Foundation of China [32060083, 31500459]</t>
  </si>
  <si>
    <t>Fund of Yunnan Key Laboratory for Integrative Conservation of Plant Species with Extremely Small Populations; National Natural Science Foundation of China(National Natural Science Foundation of China (NSFC))</t>
  </si>
  <si>
    <t>The project was supported by the Fund of Yunnan Key Laboratory for Integrative Conservation of Plant Species with Extremely Small Populations (PSESP2021F02), and the National Natural Science Foundation of China (32060083 &amp; 31500459).</t>
  </si>
  <si>
    <t>1566-0621</t>
  </si>
  <si>
    <t>1572-9737</t>
  </si>
  <si>
    <t>CONSERV GENET</t>
  </si>
  <si>
    <t>Conserv. Genet.</t>
  </si>
  <si>
    <t>10.1007/s10592-022-01500-3</t>
  </si>
  <si>
    <t>Biodiversity Conservation; Genetics &amp; Heredity</t>
  </si>
  <si>
    <t>Biodiversity &amp; Conservation; Genetics &amp; Heredity</t>
  </si>
  <si>
    <t>7L7AR</t>
  </si>
  <si>
    <t>WOS:000906114200001</t>
  </si>
  <si>
    <t>Ling, TC; Inta, A; Armstrong, KE; Little, DP; Tiansawat, P; Yang, YP; Phokasem, P; Tuang, ZK; Sinpoo, C; Disayathanoowat, T</t>
  </si>
  <si>
    <t>Ling, Tial C.; Inta, Angkhana; Armstrong, Kate E.; Little, Damon P.; Tiansawat, Pimonrat; Yang, Yong-Ping; Phokasem, Patcharin; Tuang, Za Khai; Sinpoo, Chainarong; Disayathanoowat, Terd</t>
  </si>
  <si>
    <t>Traditional Knowledge of Textile Dyeing Plants: A Case Study in the Chin Ethnic Group of Western Myanmar</t>
  </si>
  <si>
    <t>DIVERSITY-BASEL</t>
  </si>
  <si>
    <t>Chin ethnicity; color; ethnobotany; Lutuv-Chin; natural dyes; textile plants</t>
  </si>
  <si>
    <t>YIELDING PLANTS; INDIGENOUS KNOWLEDGE; NATURAL DYES; ETHNOBOTANY</t>
  </si>
  <si>
    <t>Traditional knowledge of the plants used for textile dyeing is disappearing due to the utilization of synthetic dyes. Recently, natural products made from plants have gained global interest. Thus, preserving traditional knowledge of textile dyeing plants is crucial. Here, we documented this knowledge by interviewing 2070 informants from 14 communities of the Chin ethnic group of Myanmar. The Chin communities we interviewed used a total of 32 plant species for textile dyeing from 29 genera in 24 families. Chromolaena odorata, Lithocarpus fenestratus, and L. pachyphyllus were the most important dye species. The most common responses described dyes that were red in color, produced from leaves, derived from tree species, collected from the wild, and used as firewood ash as a mordant to fix the dye to the fabrics. According to the IUCN Red List of threatened species, one species was registered as Data Deficient, 20 species still needed to be categorized, and 11 species were categorized as Least Concern. This study will help re-establish the use of natural dyes, encourage the cultural integrity of the indigenous people, and serve as an example for other communities to preserve their traditional knowledge of plant textile dyes.</t>
  </si>
  <si>
    <t>[Ling, Tial C.; Phokasem, Patcharin; Sinpoo, Chainarong; Disayathanoowat, Terd] Chiang Mai Univ, Fac Sci, Dept Biol, Bee Protect Lab, Chiang Mai 50200, Thailand; [Inta, Angkhana] Chiang Mai Univ, Fac Sci, Dept Biol, Chiang Mai 50200, Thailand; [Armstrong, Kate E.] New York Bot Garden, Inst Systemat Bot, Bronx, NY 10458 USA; [Armstrong, Kate E.; Little, Damon P.] CUNY, Grad Ctr, New York, NY 10016 USA; [Little, Damon P.] New York Bot Garden, Cullman Program Mol Systemat, New York, NY 10458 USA; [Tiansawat, Pimonrat] Chiang Mai Univ, Fac Sci, Dept Biol, Forest Restorat Res Unit, Chiang Mai 50200, Thailand; [Tiansawat, Pimonrat] Chiang Mai Univ, Fac Sci, Environm Sci Res Ctr, Chiang Mai 50200, Thailand; [Yang, Yong-Ping] Chinese Acad Sci, Inst Tibetan Plateau Res Kunming, Kunming Inst Bot, Key Lab Plant Divers &amp; Biogeog East Asia, Kunming 650201, Yunnan, Peoples R China; [Tuang, Za Khai] Hebrew Univ Jerusalem, Robert H Smith Fac Agr Food &amp; Environm, Dept Plant Pathol &amp; Microbiol, IL-76100 Rehovot, Israel; [Tuang, Za Khai] Univ Kalay, Dept Bot, Kalay 03044, Myanmar</t>
  </si>
  <si>
    <t>Chiang Mai University; Chiang Mai University; New York Botanical Garden; City University of New York (CUNY) System; New York Botanical Garden; Chiang Mai University; Chiang Mai University; Chinese Academy of Sciences; Kunming Institute of Botany, CAS; Hebrew University of Jerusalem</t>
  </si>
  <si>
    <t>Disayathanoowat, T (通讯作者)，Chiang Mai Univ, Fac Sci, Dept Biol, Bee Protect Lab, Chiang Mai 50200, Thailand.</t>
  </si>
  <si>
    <t>terd.dis@gmail.com</t>
  </si>
  <si>
    <t>Mekong-Lancang Cooperation Special Fund 2022</t>
  </si>
  <si>
    <t>This work was supported by the Mekong-Lancang Cooperation Special Fund 2022.</t>
  </si>
  <si>
    <t>1424-2818</t>
  </si>
  <si>
    <t>Diversity-Basel</t>
  </si>
  <si>
    <t>10.3390/d14121065</t>
  </si>
  <si>
    <t>7G5PY</t>
  </si>
  <si>
    <t>WOS:000902577200001</t>
  </si>
  <si>
    <t>Monkai, J; Phookamsak, R; Tennakoon, DS; Bhat, DJ; Xu, S; Li, QX; Xu, JC; Mortimer, PE; Kumla, J; Lumyong, S</t>
  </si>
  <si>
    <t>Monkai, Jutamart; Phookamsak, Rungtiwa; Tennakoon, Danushka S.; Bhat, Darbhe Jayarama; Xu, Sheng; Li, Qinxian; Xu, Jianchu; Mortimer, Peter E.; Kumla, Jaturong; Lumyong, Saisamorn</t>
  </si>
  <si>
    <t>Insight into the Taxonomic Resolution of Apiospora: Introducing Novel Species and Records from Bamboo in China and Thailand</t>
  </si>
  <si>
    <t>Apiosporaceae; fungal diversity; fungus-host distribution; phylogeny; taxonomy</t>
  </si>
  <si>
    <t>1ST REPORT; ARTHRINIUM APIOSPORACEAE; XYLARIALES; DIVERSITY; INFERENCE; MRBAYES; CHOICE; YUNNAN; NAMES</t>
  </si>
  <si>
    <t>Taxonomic studies of bambusicolous fungi in China and Thailand have resulted in the collection of three fascinating saprobic coelomycetes strains. Morphology coupled with combined gene analysis of ITS, LSU, TUB2, and TEF1-alpha DNA sequence data showed that they belong to the genus Apiospora, family Apiosporaceae. A new species from Thailand, Apiospora mukdahanensis, and new records of A. locuta-pollinis from China are herein described. In addition, based on both morphological data coupled with phylogenetics and nomenclatural analyses, A. mori is proposed as a new combination. Maximum likelihood, maximum parsimony and Bayesian analyses were performed to clarify the phylogenetic affinities of the species obtained in this study. Newly obtained strains are compared with morphologically- and phylogenetically-related taxa. The comprehensive descriptions, illustrations, and updated phylogeny are provided and discussed for intra-and intergeneric relationships within Apiospora species.</t>
  </si>
  <si>
    <t>[Monkai, Jutamart; Phookamsak, Rungtiwa; Tennakoon, Danushka S.; Xu, Sheng; Kumla, Jaturong; Lumyong, Saisamorn] Chiang Mai Univ, Fac Sci, Res Ctr Microbial Divers &amp; Sustainable Utilizat, Chiang Mai 50200, Thailand; [Monkai, Jutamart; Tennakoon, Danushka S.; Xu, Sheng; Kumla, Jaturong; Lumyong, Saisamorn] Chiang Mai Univ, Fac Sci, Dept Biol, Chiang Mai 50200, Thailand; [Phookamsak, Rungtiwa; Xu, Sheng; Li, Qinxian; Xu, Jianchu] Chinese Acad Sci, Ctr Mt Futures CMF, Kunming Inst Bot, Kunming 650201, Yunnan, Peoples R China; [Phookamsak, Rungtiwa; Xu, Sheng; Li, Qinxian; Xu, Jianchu; Mortimer, Peter E.] Chinese Acad Sci, Honghe Ctr Mt Futures, Kunming Inst Bot, Honghe 654400, Peoples R China; [Phookamsak, Rungtiwa; Xu, Sheng; Li, Qinxian; Xu, Jianchu] Chinese Acad Sci, Kunming Inst Bot, Dept Econ Plants &amp; Biotechnol, Yunnan Key Lab Wild Plant Resources, Kunming 650201, Yunnan, Peoples R China; [Bhat, Darbhe Jayarama] 128-1-J,Azad Housing Soc,Curca PO, Goa Velha 403108, India; [Xu, Sheng] Chiang Mai Univ, Fac Sci, Master Sci Program Appl Microbiol, Int Program, Chiang Mai 50200, Thailand; [Xu, Jianchu] World Agroforestry ICRAF, CIFOR ICRAF China Program, Kunming 650201, Yunnan, Peoples R China; [Lumyong, Saisamorn] Royal Soc Thailand, Acad Sci, Bangkok 10300, Thailand</t>
  </si>
  <si>
    <t>Chiang Mai University; Chiang Mai University; Chinese Academy of Sciences; Kunming Institute of Botany, CAS; Chinese Academy of Sciences; Kunming Institute of Botany, CAS; Chinese Academy of Sciences; Kunming Institute of Botany, CAS; Chiang Mai University</t>
  </si>
  <si>
    <t>Lumyong, S (通讯作者)，Chiang Mai Univ, Fac Sci, Res Ctr Microbial Divers &amp; Sustainable Utilizat, Chiang Mai 50200, Thailand.;Lumyong, S (通讯作者)，Chiang Mai Univ, Fac Sci, Dept Biol, Chiang Mai 50200, Thailand.;Lumyong, S (通讯作者)，Royal Soc Thailand, Acad Sci, Bangkok 10300, Thailand.</t>
  </si>
  <si>
    <t>scboi009@gmail.com</t>
  </si>
  <si>
    <t>Tennakoon, Danushka Sandaruwan/AAY-9702-2021</t>
  </si>
  <si>
    <t>Tennakoon, Danushka Sandaruwan/0000-0003-2306-1255; Monkai, Jutamart/0000-0001-6043-0625</t>
  </si>
  <si>
    <t>Chiang Mai University, Thailand [R000031743, R000030592]</t>
  </si>
  <si>
    <t>Chiang Mai University, Thailand</t>
  </si>
  <si>
    <t>J.M. would like to thank the Post-Doctoral Fellowship 2022 from Chiang Mai University, Thailand (Grant No. R000030592). R.P. would like to thank the Post-Doctoral Fellowship 2022 from Chiang Mai University, Thailand (Grant No. R000031743). J.M. is grateful to Erandi Yasanthika and Areerat Manowong for their assistance during this research. Shaun Pennycook from Landcare Research, Auckland, New Zealand, is thanked for advising on the taxon name. We also acknowledge the Biology Experimental Center, Germplasm Bank of Wild Species, Kunming Institute of Botany, Chinese Academy of Sciences for providing the molecular laboratory facilities.</t>
  </si>
  <si>
    <t>10.3390/d14110918</t>
  </si>
  <si>
    <t>6A8NY</t>
  </si>
  <si>
    <t>WOS:000880906500001</t>
  </si>
  <si>
    <t>Wang, R; Wan, SP; Yang, J; Yu, FQ</t>
  </si>
  <si>
    <t>Wang, Ran; Wan, Shanping; Yang, Juan; Yu, Fuqiang</t>
  </si>
  <si>
    <t>Choiromyces sichuanensis sp. nov., a New Species from Southwest China, and Its Mycorrhizal Synthesis with Three Native Conifers</t>
  </si>
  <si>
    <t>ectomycorrhizae; pig truffle; hypogeous fungi; morphology; phylogeny</t>
  </si>
  <si>
    <t>SOIL-TEMPERATURE; TUBERACEAE; SEEDLINGS; GROWTH; FUNGI; PINE</t>
  </si>
  <si>
    <t>A new Choiromyces species was discovered at local wild mushroom markets in Songpan County, Sichuan, southwest China where it has been considered as a Chinese white truffle. Based on both morphological and phylogenetic analyses, the collection was described as Choiromyces sichuanensis sp. nov. This study confirms the occurrence of members of Choiromyces in China. In addition, the mycorrhizal synthesis via spore inoculation between C. sichuanensis and Pinus armandii or two Picea species of Pi. likiangensis and Pi. crassifolia was attempted in a greenhouse. Both morphoanatomical and molecular analyses evidenced well-developed mycorrhization between C. sichuanensis and P. armandii, but not in Picea seedlings. Our current study provides data about the species diversity and mycorrhizal research of this genus for further studies. In addition, a successful mycorrhization between C. sichuanensis and selected tree species, irrespective of Pinus genus or other plant species, would broaden the set of species for a successful mycorrhization in greenhouse conditions and potential outplanting for cultivation purposes.</t>
  </si>
  <si>
    <t>[Wang, Ran; Yang, Juan; Yu, Fuqiang] Chinese Acad Sci, Kunming Inst Bot, Germplasm Bank Wild Species, 132 Lanhei Rd, Kunming 650201, Yunnan, Peoples R China; [Wang, Ran; Yu, Fuqiang] Chinese Acad Sci, Kunming Inst Bot, Yunnan Key Lab Fungal Divers &amp; Green Dev, 132 Lanhei Rd, Kunming 650201, Yunnan, Peoples R China; [Wang, Ran] Univ Lleida, Dept Crop &amp; Forest Sci, Av Alcalde Rovira Roure 191, Lleida 25198, Spain; [Wan, Shanping] Yunnan Agr Univ, Coll Resource &amp; Environm, Kunming 650201, Yunnan, Peoples R China</t>
  </si>
  <si>
    <t>Chinese Academy of Sciences; Kunming Institute of Botany, CAS; Chinese Academy of Sciences; Kunming Institute of Botany, CAS; Universitat de Lleida; Yunnan Agricultural University</t>
  </si>
  <si>
    <t>Yu, FQ (通讯作者)，Chinese Acad Sci, Kunming Inst Bot, Germplasm Bank Wild Species, 132 Lanhei Rd, Kunming 650201, Yunnan, Peoples R China.;Yu, FQ (通讯作者)，Chinese Acad Sci, Kunming Inst Bot, Yunnan Key Lab Fungal Divers &amp; Green Dev, 132 Lanhei Rd, Kunming 650201, Yunnan, Peoples R China.;Wan, SP (通讯作者)，Yunnan Agr Univ, Coll Resource &amp; Environm, Kunming 650201, Yunnan, Peoples R China.</t>
  </si>
  <si>
    <t>wsp871117@163.com; fqyu@mail.kib.ac.cn</t>
  </si>
  <si>
    <t>National Natural Science Foundation of China [32060008]; Basic Research Program of Yunnan [202201AT070268]</t>
  </si>
  <si>
    <t>National Natural Science Foundation of China(National Natural Science Foundation of China (NSFC)); Basic Research Program of Yunnan</t>
  </si>
  <si>
    <t>This work is supported by The National Natural Science Foundation of China (for Shanping Wan; grant number: 32060008) and Basic Research Program of Yunnan (for Shanping Wan; grant number: 202201AT070268).</t>
  </si>
  <si>
    <t>10.3390/d14100837</t>
  </si>
  <si>
    <t>5O5RD</t>
  </si>
  <si>
    <t>WOS:000872529400001</t>
  </si>
  <si>
    <t>Phutthacharoen, K; Chethana, KWT; Lestari, AS; Stadler, M; Hyde, KVD</t>
  </si>
  <si>
    <t>Phutthacharoen, Kunthida; Chethana, K. W. Thilini; Lestari, Anis S.; Stadler, Marc; Hyde, Kevin D.</t>
  </si>
  <si>
    <t>Three New Species of Dicephalospora (Helotiaceae, Helotiales) from Thailand</t>
  </si>
  <si>
    <t>three new species; Helotiales; taxonomy; Thai microfungi</t>
  </si>
  <si>
    <t>FUNGI; HYALOSCYPHACEAE; PHYLOGENY</t>
  </si>
  <si>
    <t>Dicephalospora is a genus of Helotiaceae (Helotiales) that presently comprises 14 species, all of which were collected from Asia. The current study describes three additional species and a collection from Chiang Rai and Chiang Mai Provinces, Thailand. The new fungi were identified based on morphological characteristics coupled with phylogenetic analyses of combined LSU and ITS nrDNA loci. Dicephalospora chiangraiensis is characterized by small asci (90-110 x 5-10 mu m) and ascospores of 20-25 x 2-4 mu m, featuring a non-mucilaginous cap. Dicephalospora irregularis is characterized by sessile apothecia, non-amyloid asci, branched, filiform paraphyses, and fusoid-clavate to ellipsoid ascospores with a mucilaginous cap, while D. inthanonensis is characterized by unbranched and aseptate paraphyses, a partly globose blue reaction with Melzers reagent at ascal apices, and fusoid ascospores in the range of 24-32 x 3-5 mu m with a non-mucilaginous cap. With the present study, the number of species of Dicephalospora known from Thailand has now increased to three. A dichotomous key to the species of the genus is also provided.</t>
  </si>
  <si>
    <t>Phutthacharoen, Kunthida</t>
  </si>
  <si>
    <t>[Phutthacharoen, Kunthida; Chethana, K. W. Thilini; Lestari, Anis S.; Hyde, Kevin D.] Mae Fah Luang Univ, Ctr Excellence Fungal Res, Chiang Rai 57100, Thailand; [Phutthacharoen, Kunthida; Chethana, K. W. Thilini; Lestari, Anis S.] Mae Fah Luang Univ, Sch Sci, Chiang Rai 57100, Thailand; [Lestari, Anis S.] Res Org Life Sciences, Natl Res &amp; Innovat Agcy BRIN, Cibinong 16911, Indonesia; [Stadler, Marc] Helmholtz Zent Infektionsforschung GmbH, Dept Microbial Drugs, D-38124 Braunschweig, Germany; [Hyde, Kevin D.] Chinese Acad Sciences, Kunming Inst Bot, Key Lab Plant Divers &amp; Biogeog E Asia, Kunming 650201, Peoples R China; [Hyde, Kevin D.] Zhongkai Univ Agr &amp; Engn, Innovat Inst Plant Hlth, Guangzhou 510225, Peoples R China</t>
  </si>
  <si>
    <t>Mae Fah Luang University; Mae Fah Luang University; Chinese Academy of Sciences; Kunming Institute of Botany, CAS; Zhongkai University of Agriculture &amp; Engineering</t>
  </si>
  <si>
    <t>Hyde, KD (通讯作者)，Mae Fah Luang Univ, Ctr Excellence Fungal Res, Chiang Rai 57100, Thailand.;Stadler, M (通讯作者)，Helmholtz Zent Infektionsforschung GmbH, Dept Microbial Drugs, D-38124 Braunschweig, Germany.;Hyde, KD (通讯作者)，Chinese Acad Sciences, Kunming Inst Bot, Key Lab Plant Divers &amp; Biogeog E Asia, Kunming 650201, Peoples R China.;Hyde, KD (通讯作者)，Zhongkai Univ Agr &amp; Engn, Innovat Inst Plant Hlth, Guangzhou 510225, Peoples R China.</t>
  </si>
  <si>
    <t>marc.stadler@helmholtz-hzi.de; kdhyde3@gmail.com</t>
  </si>
  <si>
    <t>Hyde, Kevin D/F-7890-2010; Kandawatte, Thilini Chethana/AAE-8036-2019; Stadler, Marc/P-8882-2014</t>
  </si>
  <si>
    <t>Kandawatte, Thilini Chethana/0000-0002-5816-9269; Stadler, Marc/0000-0002-7284-8671</t>
  </si>
  <si>
    <t>Royal Golden Jubilee PhD Program under the Thailand Research Fund (RGJ) [PHD/0002/2560, RDG6130001]; Mae Fah Luang University [641A01002]</t>
  </si>
  <si>
    <t>Royal Golden Jubilee PhD Program under the Thailand Research Fund (RGJ); Mae Fah Luang University</t>
  </si>
  <si>
    <t>This research was funded by the Royal Golden Jubilee PhD Program under the Thailand Research Fund (RGJ), no. PHD/0002/2560, entitled Impact of climate change on fungal diversity and biogeography in the Greater Mekong Sub region (grant number RDG6130001) and Mae Fah Luang University entitled Assessing the taxonomy of Discomycetes and plant pathogenic fungi in Doi Inthanon National Park, Thailand (grant no. 641A01002).</t>
  </si>
  <si>
    <t>10.3390/d14080645</t>
  </si>
  <si>
    <t>4B7XU</t>
  </si>
  <si>
    <t>WOS:000845985900001</t>
  </si>
  <si>
    <t>Hu, L; Le, XG; Zhou, SS; Zhang, CY; Tan, YH; Ren, Q; Meng, HH; Cun, YP; Li, J</t>
  </si>
  <si>
    <t>Hu, Ling; Le, Xin-Gui; Zhou, Shi-Shun; Zhang, Can-Yu; Tan, Yun-Hong; Ren, Qiang; Meng, Hong-Hu; Cun, Yupeng; Li, Jie</t>
  </si>
  <si>
    <t>Conservation Significance of the Rare and Endangered Tree Species, Trigonobalanus doichangensis (Fagaceae)</t>
  </si>
  <si>
    <t>biodiversity; conservation; T; doichangensis; genetic structure; gene flow; conservation priority</t>
  </si>
  <si>
    <t>GENETIC DIVERSITY; POPULATION-STRUCTURE; TOOL SET; PLANT; DIFFERENTIATION; BIODIVERSITY; GRADIENT; SEQUENCE; MARKERS; RANGE</t>
  </si>
  <si>
    <t>Trigonobalanus doichangensis is a rare and endangered species with important evolutionary value and extremely small populations. We investigated the genetic diversity of T. doichangensis to provide information on its effective preservation. We used genotyping-by-sequencing (GBS) technology to assess the genetic diversity, genetic structure and gene flow of the six populations of T. doichangensis. Analysis of SNPs indicated that there was high genetic diversity in the ML and XSBN populations of T. doichangensis. F-ST values showed moderate genetic differentiation among the populations of T. doichangensis. Meanwhile, admixture, principal components and gene flow analyses indicated that the populations of T. doichangensis are not genetically separated in accordance with their geographical distributions. Habitat destruction and excessive exploitation may have led to a low gene flow, which has in turn resulted in the differences in seed and seedling morphological traits among populations. Based on these findings, we recommend that T. doichangensis be conserved through in situ approaches and artificial seedlings, including preservation of each extant population. Particularly, the ML and XSBN populations have high diversity and more ancestral information, so these two populations should be considered as conservation priorities, and seeds should be collected to obtain germplasm and increase the genetic diversity.</t>
  </si>
  <si>
    <t>Hu, Ling</t>
  </si>
  <si>
    <t>[Hu, Ling; Ren, Qiang; Meng, Hong-Hu; Li, Jie] Chinese Acad Sci, Ctr Integrat Conservat, Xishuangbanna Trop Bot Garden, Plant Phylogenet &amp; Conservat Grp, Kunming 650223, Yunnan, Peoples R China; [Hu, Ling] Univ Chinese Acad Sci, Beijing 100049, Peoples R China; [Le, Xin-Gui] Yangjifeng Natl Nat Reserve Jiangxi Prov, Guixi 335400, Peoples R China; [Zhou, Shi-Shun; Tan, Yun-Hong; Meng, Hong-Hu] Chinese Acad Sci, Southeast Asia Biodivers Res Inst, Naypyidaw 05282, Myanmar; [Zhang, Can-Yu] Yunnan Normal Univ, Kunming 650500, Yunnan, Peoples R China; [Cun, Yupeng] Chongqing Med Univ, Chongqing Key Lab Translat Med Res Cognit Dev &amp; L, Natl Clin Res Ctr Child Hlth &amp; Disorders,China In, Pediat Res Inst,Minist Educ,Key Lab Child Dev &amp; D, Chongqing 400014, Peoples R China; [Cun, Yupeng] Chinese Acad Sci, Kunming Inst Bot, Germplasm Bank Wild Species, Kunming 650201, Yunnan, Peoples R China; [Li, Jie] Chinese Acad Sci, Ctr Conservat Biol, Core Bot Gardens, Mengla 666303, Peoples R China</t>
  </si>
  <si>
    <t>Chinese Academy of Sciences; Xishuangbanna Tropical Botanical Garden, CAS; Chinese Academy of Sciences; University of Chinese Academy of Sciences, CAS; Yunnan Normal University; Chongqing Medical University; Chinese Academy of Sciences; Kunming Institute of Botany, CAS; Chinese Academy of Sciences</t>
  </si>
  <si>
    <t>Meng, HH; Li, J (通讯作者)，Chinese Acad Sci, Ctr Integrat Conservat, Xishuangbanna Trop Bot Garden, Plant Phylogenet &amp; Conservat Grp, Kunming 650223, Yunnan, Peoples R China.;Meng, HH (通讯作者)，Chinese Acad Sci, Southeast Asia Biodivers Res Inst, Naypyidaw 05282, Myanmar.;Cun, YP (通讯作者)，Chongqing Med Univ, Chongqing Key Lab Translat Med Res Cognit Dev &amp; L, Natl Clin Res Ctr Child Hlth &amp; Disorders,China In, Pediat Res Inst,Minist Educ,Key Lab Child Dev &amp; D, Chongqing 400014, Peoples R China.;Cun, YP (通讯作者)，Chinese Acad Sci, Kunming Inst Bot, Germplasm Bank Wild Species, Kunming 650201, Yunnan, Peoples R China.;Li, J (通讯作者)，Chinese Acad Sci, Ctr Conservat Biol, Core Bot Gardens, Mengla 666303, Peoples R China.</t>
  </si>
  <si>
    <t>menghonghu@xtbg.ac.cn; cunyp@cqmu.edu.cn; jieli@xtbg.ac.cn</t>
  </si>
  <si>
    <t>; Meng, Hong-Hu/B-6775-2016; Cun, Yupeng/B-5864-2011</t>
  </si>
  <si>
    <t>liLi, jieJie/0000-0001-8067-749X; Meng, Hong-Hu/0000-0002-4504-0001; Cun, Yupeng/0000-0002-4241-8099</t>
  </si>
  <si>
    <t>Southeast Asia Biodiversity Research Institute, Chinese Academy of Sciences [Y4ZK111B01]; CAS Pioneer Hundred Talents Program; Youth Innovation Promotion Association, Chinese Academy of Sciences [2018432]; CAS Light of West China Program</t>
  </si>
  <si>
    <t>Southeast Asia Biodiversity Research Institute, Chinese Academy of Sciences; CAS Pioneer Hundred Talents Program; Youth Innovation Promotion Association, Chinese Academy of Sciences; CAS Light of West China Program</t>
  </si>
  <si>
    <t>This research was supported by funding from the Southeast Asia Biodiversity Research Institute, Chinese Academy of Sciences (No. Y4ZK111B01), to H.-H.M.; from the CAS Pioneer Hundred Talents Program awarded to Y.C.; from the Youth Innovation Promotion Association, Chinese Academy of Sciences (No. 2018432), to H.-H.M.; and from the CAS Light ofWest China Program to H.-H.M.</t>
  </si>
  <si>
    <t>10.3390/d14080666</t>
  </si>
  <si>
    <t>4D4OV</t>
  </si>
  <si>
    <t>WOS:000847122400001</t>
  </si>
  <si>
    <t>Su, T; Spicer, RA; Zhou, ZK</t>
  </si>
  <si>
    <t>Su, Tao; Spicer, Robert A.; Zhou, Zhe-Kun</t>
  </si>
  <si>
    <t>Tracing the Evolution of Plant Diversity in Southwestern China</t>
  </si>
  <si>
    <t>U-PB DATES; BIODIVERSITY; MIOCENE; YUNNAN; BASIN; INTENSIFICATION; DISAPPEARANCE; CUPRESSACEAE</t>
  </si>
  <si>
    <t>Su, Tao</t>
  </si>
  <si>
    <t>[Su, Tao; Spicer, Robert A.; Zhou, Zhe-Kun] Chinese Acad Sci, CAS Key Lab Trop Forest Ecol, Xishuangbanna Trop Bot Garden, Mengla 666303, Peoples R China; [Su, Tao] Univ Chinese Acad Sci, Beijing 100049, Peoples R China; [Spicer, Robert A.] Open Univ, Sch Environm Earth &amp; Ecosyst Sci, Milton Keynes MK7 6AA, Bucks, England; [Zhou, Zhe-Kun] Chinese Acad Sci, Kunming Inst Bot, Key Lab Biodivers &amp; Biogeog, Kunming 650204, Yunnan, Peoples R China</t>
  </si>
  <si>
    <t>Chinese Academy of Sciences; Xishuangbanna Tropical Botanical Garden, CAS; Chinese Academy of Sciences; University of Chinese Academy of Sciences, CAS; Open University - UK; Chinese Academy of Sciences; Kunming Institute of Botany, CAS</t>
  </si>
  <si>
    <t>Su, T (通讯作者)，Chinese Acad Sci, CAS Key Lab Trop Forest Ecol, Xishuangbanna Trop Bot Garden, Mengla 666303, Peoples R China.;Su, T (通讯作者)，Univ Chinese Acad Sci, Beijing 100049, Peoples R China.</t>
  </si>
  <si>
    <t>sutao@xtbg.org.cn; r.a.spicer@open.ac.uk; zhouzk@xtbg.ac.cn</t>
  </si>
  <si>
    <t>Zhou, Zhekun/0000-0002-0710-2128; Su, Tao/0000-0002-9148-6127</t>
  </si>
  <si>
    <t>National Natural Science Foundation of China [42072024, 41922010]</t>
  </si>
  <si>
    <t>This work is supported by National Natural Science Foundation of China (nos. 42072024, 41922010).</t>
  </si>
  <si>
    <t>10.3390/d14060434</t>
  </si>
  <si>
    <t>2M2WD</t>
  </si>
  <si>
    <t>WOS:000817565400001</t>
  </si>
  <si>
    <t>Su, T; Geng, YF; Xiang, CL; Zhao, F; Wang, M; Gu, L; Hu, GX</t>
  </si>
  <si>
    <t>Su, Ting; Geng, Yan-Fei; Xiang, Chun-Lei; Zhao, Fei; Wang, Mei; Gu, Li; Hu, Guo-Xiong</t>
  </si>
  <si>
    <t>Chloroplast Genome of Salvia Sect. Drymosphace: Comparative and Phylogenetic Analysis</t>
  </si>
  <si>
    <t>Salvia miltiorrhiza; subg; Glutinaria; plastid genome; phylogenomics</t>
  </si>
  <si>
    <t>STAMINAL EVOLUTION; PLASTID GENOME; LAMIACEAE; SEQUENCE; DNA; SOFTWARE; ORGANIZATION; INSIGHTS; PLATFORM; REVEALS</t>
  </si>
  <si>
    <t>Sect. Drymosphace is one of eight sections of Salvia subg. Glutinaria and includes 13 species and one dubious species that hold great economic value. Although the section is well supported, interspecific relationships remain unresolved. Moreover, most of this section's plastome information remains unknown. In this study, we sequenced and assembled eight sect. Drymosphace plastomes and conducted comparative analyses within this section. The length of plastid genome sequences ranged from 151,330 bp to 151,614 bp, with 80 protein-coding, 30 tRNA, and four rRNA genes being annotated. The plastomes were found to be as conservative as other Lamiaceae species, showing high consistency and similarity in terms of gene content, order, and structure. Within the sect. Drymosphace, single-copy regions were more variable than IR regions, and the intergenic regions were more variable than the coding regions; nine hypervariable regions were detected, and some of them may be useful for the phylogenetic analysis of Salvia. The topologies inferred from all of the data sets indicated that sect. Drymosphace was monophyletic and that S. honania was sister to S. meiliensis. Compared to previous studies involving more sect. Drymosphace species, phylogenomic analyses can improve the phylogenetic resolution considerably.</t>
  </si>
  <si>
    <t>Su, Ting</t>
  </si>
  <si>
    <t>[Su, Ting; Wang, Mei; Gu, Li; Hu, Guo-Xiong] Guizhou Univ, Coll Life Sci, Guiyang 550025, Peoples R China; [Su, Ting; Wang, Mei; Gu, Li; Hu, Guo-Xiong] Guizhou Univ, Key Lab Plant Resources Conservat &amp; Germplasm Inn, Minist Educ, Guiyang 550025, Peoples R China; [Geng, Yan-Fei] Guizhou Univ, Coll Tea Sci, Guiyang 550025, Peoples R China; [Xiang, Chun-Lei; Zhao, Fei] Chinese Acad Sci, Kunming Inst Bot, CAS Key Lab Plant Divers &amp; Biogeog East Asia, Kunming 650201, Yunnan, Peoples R China</t>
  </si>
  <si>
    <t>Guizhou University; Guizhou University; Guizhou University; Chinese Academy of Sciences; Kunming Institute of Botany, CAS</t>
  </si>
  <si>
    <t>Hu, GX (通讯作者)，Guizhou Univ, Coll Life Sci, Guiyang 550025, Peoples R China.;Hu, GX (通讯作者)，Guizhou Univ, Key Lab Plant Resources Conservat &amp; Germplasm Inn, Minist Educ, Guiyang 550025, Peoples R China.</t>
  </si>
  <si>
    <t>sutingyo@163.com; yfgeng@gzu.edu.cn; xiangchunlei@mail.kib.ac.cn; zhaofei@mail.kib.ac.cn; wmgzu20@163.com; guligz@163.com; gxhu@gzu.edu.cn</t>
  </si>
  <si>
    <t>Xiang, Chunlei/0000-0001-8775-6967</t>
  </si>
  <si>
    <t>National Natural Science Foundation of China [32060048, 31900275]; Construction Program of Biology First-Class Discipline in Guizhou [GNYL [2017] 009]</t>
  </si>
  <si>
    <t>National Natural Science Foundation of China(National Natural Science Foundation of China (NSFC)); Construction Program of Biology First-Class Discipline in Guizhou</t>
  </si>
  <si>
    <t>We thank Jia-Xin Yang, Xuanze He, and Bo Pan for their help with the field work. This research was funded by the National Natural Science Foundation of China (32060048 and 31900275) and the Construction Program of Biology First-Class Discipline in Guizhou (GNYL [2017] 009).</t>
  </si>
  <si>
    <t>10.3390/d14050324</t>
  </si>
  <si>
    <t>1S8IV</t>
  </si>
  <si>
    <t>WOS:000804289200001</t>
  </si>
  <si>
    <t>Ma, YR; Liu, TZ; Yu, XD; Wei, TZ; Ge, ZW</t>
  </si>
  <si>
    <t>Ma, Yunrui; Liu, Tiezhi; Yu, Xiaodan; Wei, Tiezheng; Ge, Zai-Wei</t>
  </si>
  <si>
    <t>Six New Species of Leucoagaricus (Agaricaceae) from Northeastern China</t>
  </si>
  <si>
    <t>Agaricaceae; phylogeny; six new taxa; taxonomy</t>
  </si>
  <si>
    <t>LEPIOTACEOUS FUNGI; FAMILY AGARICACEAE; BASIDIOMYCOTA; GENERA</t>
  </si>
  <si>
    <t>Six new species, Leucoagaricus albosquamosus, Leucoagaricus atroviridis, Leucoagaricus aurantioruber, Leucoagaricus candidus, Leucoagaricus centricastaneus and Leucoagaricus virens, collected from northeastern China are described based on morphological characters and molecular evidence. Illustrations of fresh basidiomata and line drawings of key anatomical characters are provided. A phylogenetic tree inferred from internal transcribed spacer (ITS) region and large subunit ribosomal RNA gene (LSU) sequences shows that three of the new taxa are nested within the section Leucoagaricus and two of the new taxa are in the subgenus Sericeomyces, whereas the other new taxus is clustered with Leucoagaricus viriditinctus and Leucoagaricus irinellus, forming a clade that does not fit in any known section.</t>
  </si>
  <si>
    <t>Ma, Yunrui</t>
  </si>
  <si>
    <t>[Ma, Yunrui; Ge, Zai-Wei] Chinese Acad Sci, Kunming Inst Bot, CAS Key Lab Plant Divers &amp; Biogeog East Asia, Lanhei Rd 132, Kunming 650201, Yunnan, Peoples R China; [Ma, Yunrui; Ge, Zai-Wei] Chinese Acad Sci, Kunming Inst Bot, Yunnan Key Lab Fungal Divers &amp; Green Dev, Kunming 650201, Yunnan, Peoples R China; [Ma, Yunrui; Ge, Zai-Wei] Univ Chinese Acad Sci, Beijing 100049, Peoples R China; [Liu, Tiezhi] Chifeng Univ, Coll Chem &amp; Life Sci, Chifeng 024000, Peoples R China; [Yu, Xiaodan] Shenyang Agr Univ, Coll Biol Sci &amp; Technol, Shenyang 110866, Peoples R China; [Wei, Tiezheng] Chinese Acad Sci, Inst Microbiol, State Key Lab Mycol, Beijing 100101, Peoples R China</t>
  </si>
  <si>
    <t>Chinese Academy of Sciences; Kunming Institute of Botany, CAS; Chinese Academy of Sciences; Kunming Institute of Botany, CAS; Chinese Academy of Sciences; University of Chinese Academy of Sciences, CAS; Chifeng University; Shenyang Agricultural University; Chinese Academy of Sciences; Institute of Microbiology, CAS</t>
  </si>
  <si>
    <t>Ge, ZW (通讯作者)，Chinese Acad Sci, Kunming Inst Bot, CAS Key Lab Plant Divers &amp; Biogeog East Asia, Lanhei Rd 132, Kunming 650201, Yunnan, Peoples R China.;Ge, ZW (通讯作者)，Chinese Acad Sci, Kunming Inst Bot, Yunnan Key Lab Fungal Divers &amp; Green Dev, Kunming 650201, Yunnan, Peoples R China.;Ge, ZW (通讯作者)，Univ Chinese Acad Sci, Beijing 100049, Peoples R China.</t>
  </si>
  <si>
    <t>mayunrui@mail.kib.ac.cn; tiezhiliu@aliyun.com; yuxd126@126.com; weitiezheng@163.com; zwge@mail.kib.ac.cn</t>
  </si>
  <si>
    <t>National Natural Science Foundation of China [31670024, 31770014, 31760004]; Digitalization, Development and Application of Biotic Resources [202002AA100007]; Biodiversity Survey and Assessment Project of the Ministry of Ecology and Environment, China [2019HJ209001006]; Talent Project of Yunnan [202005AC160037]</t>
  </si>
  <si>
    <t>National Natural Science Foundation of China(National Natural Science Foundation of China (NSFC)); Digitalization, Development and Application of Biotic Resources; Biodiversity Survey and Assessment Project of the Ministry of Ecology and Environment, China; Talent Project of Yunnan</t>
  </si>
  <si>
    <t>This study was supported by the National Natural Science Foundation of China (nos. 31670024, 31770014 and 31760004), the Digitalization, Development and Application of Biotic Resources (202002AA100007), the Biodiversity Survey and Assessment Project of the Ministry of Ecology and Environment, China (No. 2019HJ209001006) and the Talent Project of Yunnan (No. 202005AC160037).</t>
  </si>
  <si>
    <t>10.3390/d14050314</t>
  </si>
  <si>
    <t>1Q1ZM</t>
  </si>
  <si>
    <t>WOS:000802494600001</t>
  </si>
  <si>
    <t>Hu, YW; Karunarathna, SC; Li, HL; Galappaththi, MCA; Zhao, CL; Kakumyan, P; Mortimer, PE</t>
  </si>
  <si>
    <t>Hu, Yuwei; Karunarathna, Samantha C.; Li, Huili; Galappaththi, Mahesh C. A.; Zhao, Chang-Lin; Kakumyan, Pattana; Mortimer, Peter E.</t>
  </si>
  <si>
    <t>The Impact of Drying Temperature on Basidiospore Size</t>
  </si>
  <si>
    <t>dehydration; identification; mushroom; SEM; taxonomy</t>
  </si>
  <si>
    <t>AGARICUS-BISPORUS; PLEUROTUS; BASIDIOMYCOTA; DNA</t>
  </si>
  <si>
    <t>Fungal taxonomy research, and specifically the study of macro and micro morphological characteristics, requires precise temperature control. This is because variation in temperature can affect macrofungal microstructures. Understanding the appropriate temperature range for drying macrofungal fruitbodies is crucial to ensure consistent reports between studies. In this study, three macrofungal species, viz. Agaricus bisporus, Lentinula edodes, and Pleurotus ostreatus, were selected to compare basidiospore sizes in dried and fresh macrofungal fruitbodies. All three were dehydrated within 24 h of harvesting at five different temperatures: 30 degrees C, 35 degrees C, 40 degrees C, 45 degrees C, and 50 degrees C, with dehydration lasting 48 h. We measured a total of 1000 basidiospores at each temperature for each species. A linear regression model was used to monitor the relationship between drying temperature and the length, width, and Q value of the basidiospores. We found that drying temperature was negatively related, while Q value was positively related to basidiospore length and width. Analysis of variance shows significant changes in basidiospore size among different drying temperatures. Our data indicate that the optimal method for drying macrofungal fruitbodies is to use a temperature of 30 degrees C for 48 h and subsequently preserve the specimens with silica gel. Standardizing drying temperature is crucial for the study of macrofungi as basidiospore size is used as a discriminative taxonomic characteristic in macrofungal identification.</t>
  </si>
  <si>
    <t>[Hu, Yuwei; Kakumyan, Pattana] Mae Fah Luang Univ, Sch Sci, Chiang Rai 57100, Thailand; [Hu, Yuwei; Mortimer, Peter E.] Chinese Acad Sci, Kunming Inst Bot, Dept Econ Plants &amp; Biotechnol, Yunnan Key Lab Wild Plant Resources, Kunming 650201, Yunnan, Peoples R China; [Hu, Yuwei] Mae Fah Luang Univ, Ctr Excellence Fungal Res, Chiang Rai 57100, Thailand; [Hu, Yuwei; Li, Huili; Mortimer, Peter E.] Chinese Acad Sci, Ctr Mt Futures, Kunming Inst Bot, Kunming 650201, Yunnan, Peoples R China; [Karunarathna, Samantha C.] Qujing Normal Univ, Coll Biol Resource &amp; Food Engn, Ctr Yunnan Plateau Biol Resources Protect &amp; Utili, Qujing 655011, Peoples R China; [Galappaththi, Mahesh C. A.] Univ Peradeniya, Postgrad Inst Sci, Peradeniya 20400, Sri Lanka; [Zhao, Chang-Lin] Southwest Forestry Univ, Coll Biodivers Conservat, Kunming 650201, Yunnan, Peoples R China</t>
  </si>
  <si>
    <t>Mae Fah Luang University; Chinese Academy of Sciences; Kunming Institute of Botany, CAS; Mae Fah Luang University; Chinese Academy of Sciences; Kunming Institute of Botany, CAS; University of Peradeniya; Southwest Forestry University - China</t>
  </si>
  <si>
    <t>Kakumyan, P (通讯作者)，Mae Fah Luang Univ, Sch Sci, Chiang Rai 57100, Thailand.;Mortimer, PE (通讯作者)，Chinese Acad Sci, Kunming Inst Bot, Dept Econ Plants &amp; Biotechnol, Yunnan Key Lab Wild Plant Resources, Kunming 650201, Yunnan, Peoples R China.;Mortimer, PE (通讯作者)，Chinese Acad Sci, Ctr Mt Futures, Kunming Inst Bot, Kunming 650201, Yunnan, Peoples R China.</t>
  </si>
  <si>
    <t>huyuwei@mail.kib.ac.cn; samanthakarunarathna@gmail.com; skylhl@126.com; mcagalappaththi@gmail.com; fungichanglinz@gmail.com; pattana.kak@mfu.ac.th; peter@mail.kib.ac.cn</t>
  </si>
  <si>
    <t>Abraham Galappaththi, Mahesh Chathuranga/GLN-8153-2022</t>
  </si>
  <si>
    <t>Hu, Yuwei/0000-0001-7517-7722; Kakumyan, Pattana/0000-0001-8281-1082; Karunarathna, Samantha Chandranath/0000-0001-7080-0781</t>
  </si>
  <si>
    <t>Key Research Project, Agroforestry System for Restoration and Bio-industry Technology Development [2017YFC0505101]; Ministry of Sciences and Technology of China [2017YFC0505100]; Yunnan Provincial Science and Technology Department [202003AD150004]; 'High-End Foreign Experts' in the High-Level Talent Recruitment Plan of Yunnan Province; CAS President's International Fellowship Initiative (PIFI) [2018PC0006]; National Science Foundation of China (NSFC) [31750110478]; National Sciences Foundation, China (NSFC) [41771063]; Thailand Science Research and Innovation grant Macrofungi diversity research from the Lancang-Mekong Watershed and surrounding areas [DBG6280009]</t>
  </si>
  <si>
    <t>Key Research Project, Agroforestry System for Restoration and Bio-industry Technology Development; Ministry of Sciences and Technology of China(Ministry of Science and Technology, China); Yunnan Provincial Science and Technology Department; 'High-End Foreign Experts' in the High-Level Talent Recruitment Plan of Yunnan Province; CAS President's International Fellowship Initiative (PIFI); National Science Foundation of China (NSFC)(National Natural Science Foundation of China (NSFC)); National Sciences Foundation, China (NSFC); Thailand Science Research and Innovation grant Macrofungi diversity research from the Lancang-Mekong Watershed and surrounding areas</t>
  </si>
  <si>
    <t>This work was funded by the Key Research Project, Agroforestry System for Restoration and Bio-industry Technology Development (grant number 2017YFC0505101), Ministry of Sciences and Technology of China (grant number 2017YFC0505100); Yunnan Provincial Science and Technology Department (grant number 202003AD150004); 'High-End Foreign Experts' in the High-Level Talent Recruitment Plan of Yunnan Province, 2021; CAS President's International Fellowship Initiative (PIFI) (number 2018PC0006); National Science Foundation of China (NSFC) (grant number 31750110478); National Sciences Foundation, China (NSFC) (grant number 41771063); and Thailand Science Research and Innovation grant Macrofungi diversity research from the Lancang-Mekong Watershed and surrounding areas (grant number DBG6280009).</t>
  </si>
  <si>
    <t>10.3390/d14040239</t>
  </si>
  <si>
    <t>0T3QP</t>
  </si>
  <si>
    <t>WOS:000786884800001</t>
  </si>
  <si>
    <t>Tibpromma, S; Karunarathna, SC; Bhat, JD; Suwannarach, N; Stephenson, SL; Elgorban, AM; Al-Rejaie, S; Xu, JC; Mortimer, PE</t>
  </si>
  <si>
    <t>Tibpromma, Saowaluck; Karunarathna, Samantha C.; Bhat, Jayarama D.; Suwannarach, Nakarin; Stephenson, Steven L.; Elgorban, Abdallah M.; Al-Rejaie, Salim; Xu, Jianchu; Mortimer, Peter E.</t>
  </si>
  <si>
    <t>Using Culture-Dependent and Molecular Techniques to Identify Endophytic Fungi Associated with Tea Leaves (Camellia spp.) in Yunnan Province, China</t>
  </si>
  <si>
    <t>Ascomycota; Clonostachys; Colletotrichum; healthy tissues; ITS</t>
  </si>
  <si>
    <t>SEQUENCE DATA; IDENTIFICATION; GLOEOSPORIOIDES; XISHUANGBANNA; MORPHOLOGY; DIVERSITY; INFECTION; BIOLOGY; GROWTH; ROOTS</t>
  </si>
  <si>
    <t>The association of endophytic fungi with the host plant is called a symbiotic relationship. Studies of the endophytic fungi from tea have been reported in numerous documents, but researchers still largely focus on tea endophytic fungi as they have ability to produce bioactive compounds which have numerous applications. The present work characterizes the fungal endophytic communities associated with healthy tea leaves in Yunnan Province, China. A total of 287 fungal strains were isolated from healthy leaf tissues of tea plants using a culture-dependent approach. Based on nuclear ribosomal DNA internal transcribed spacer (ITS) sequence analyses taken from the fungal cultures, strains were classified into 28 fungal genera with high similarity matches to known sequences in GenBank. The majority of genera (98.25%) belong to the phylum Ascomycota and most of the dominating fungal endophytes are from the genera Colletotrichum and Clonostachys.</t>
  </si>
  <si>
    <t>Tibpromma, Saowaluck</t>
  </si>
  <si>
    <t>[Tibpromma, Saowaluck; Karunarathna, Samantha C.; Xu, Jianchu; Mortimer, Peter E.] Kunming Inst Bot, Ctr Mt Futures, Kunming 650201, Yunnan, Peoples R China; [Tibpromma, Saowaluck; Karunarathna, Samantha C.; Xu, Jianchu] World Agroforestry ICRAF, CIFOR ICRAF China Program, Kunming 650201, Yunnan, Peoples R China; [Tibpromma, Saowaluck; Karunarathna, Samantha C.] Qujing Normal Univ, Coll Biol Resource &amp; Food Engn, Ctr Yunnan Plateau Biol Resources Protect &amp; Utili, Qujing 655011, Peoples R China; [Bhat, Jayarama D.] 128-1-J Azad Housing Soc, Curca 403108, Goa Velha, India; [Suwannarach, Nakarin] Chiang Mai Univ, Res Ctr Microbial Divers &amp; Sustainable Utilizat, Chiang Mai 50200, Thailand; [Stephenson, Steven L.] Univ Arkansas, Dept Biol Sci, Fayetteville, AR 72701 USA; [Elgorban, Abdallah M.] King Saud Univ, Coll Sci, Dept Bot &amp; Microbiol, Riyadh 1451, Saudi Arabia; [Al-Rejaie, Salim] King Saud Univ, Coll Pharm, Dept Pharmacol &amp; Toxicol, Riyadh 1451, Saudi Arabia</t>
  </si>
  <si>
    <t>Chinese Academy of Sciences; Kunming Institute of Botany, CAS; Chiang Mai University; University of Arkansas System; University of Arkansas Fayetteville; King Saud University; King Saud University</t>
  </si>
  <si>
    <t>Xu, JC; Mortimer, PE (通讯作者)，Kunming Inst Bot, Ctr Mt Futures, Kunming 650201, Yunnan, Peoples R China.;Xu, JC (通讯作者)，World Agroforestry ICRAF, CIFOR ICRAF China Program, Kunming 650201, Yunnan, Peoples R China.</t>
  </si>
  <si>
    <t>saowaluckfai@gmail.com; samanthakarunarathna@gmail.com; bhatdj@gmail.com; suwan.462@gmail.com; slsteph@uark.edu; aelgorban@ksu.edu.sa; rajaie@ksu.edu.sa; jxu@mail.kib.ac.cn; peter@mail.kib.ac.cn</t>
  </si>
  <si>
    <t>Suwannarach, Nakarin/P-6078-2019; Elgorban, Dr. Abdallah/C-6000-2013</t>
  </si>
  <si>
    <t>Suwannarach, Nakarin/0000-0002-2653-1913; Karunarathna, Samantha Chandranath/0000-0001-7080-0781; Tibpromma, Saowaluck/0000-0002-4706-6547; Elgorban, Dr. Abdallah/0000-0003-3664-7853</t>
  </si>
  <si>
    <t>International Postdoctoral Exchange Fellowship Program [Y9180822S1]; CAS President's International Fellowship Initiative (PIFI) [2020FYC0002, 2020PC0009]; China Postdoctoral Science Foundation; Yunnan Human Resources, and Social Security Department Foundation; National Science Foundation of China (NSFC) [31851110759, 41761144055, 41771063]; King Saud University, Riyadh, Saudi Arabia [RSP-2021/120]; Department of Sciences and Technology of Yunnan Provincial Government, China [202101AS070045]; Yunnan Provincial Science and Technology Department [202003AD150004]; Chiang Mai University</t>
  </si>
  <si>
    <t>International Postdoctoral Exchange Fellowship Program; CAS President's International Fellowship Initiative (PIFI); China Postdoctoral Science Foundation(China Postdoctoral Science Foundation); Yunnan Human Resources, and Social Security Department Foundation; National Science Foundation of China (NSFC)(National Natural Science Foundation of China (NSFC)); King Saud University, Riyadh, Saudi Arabia(King Saud University); Department of Sciences and Technology of Yunnan Provincial Government, China; Yunnan Provincial Science and Technology Department; Chiang Mai University</t>
  </si>
  <si>
    <t>Saowaluck Tibpromma thanks the International Postdoctoral Exchange Fellowship Program (number Y9180822S1), CAS President's International Fellowship Initiative (PIFI) (number 2020PC0009), China Postdoctoral Science Foundation and the Yunnan Human Resources, and Social Security Department Foundation for funding her postdoctoral research. Samantha C. Karunarathna thanks the CAS President's International Fellowship Initiative (PIFI) young staff under the grant number: 2020FYC0002, and the National Science Foundation of China (NSFC) under the project code 31851110759. Peter E. Mortimer thanks the National Science Foundation of China (NSFC), project codes 41761144055 and 41771063 for financial support. The authors extend their appreciation to the researchers supporting project number (RSP-2021/120) King Saud University, Riyadh, Saudi Arabia, Department of Sciences and Technology of Yunnan Provincial Government, China (grant number 202101AS070045) and Yunnan Provincial Science and Technology Department (grant number 202003AD150004). This research work was partially supported by Chiang Mai University.</t>
  </si>
  <si>
    <t>10.3390/d14040287</t>
  </si>
  <si>
    <t>0S1OY</t>
  </si>
  <si>
    <t>WOS:000786052400001</t>
  </si>
  <si>
    <t>Benucci, GMN; Wang, XX; Zhang, L; Bonito, G; Yu, FQ</t>
  </si>
  <si>
    <t>Benucci, Gian Maria Niccolo; Wang, Xinxin; Zhang, Li; Bonito, Gregory; Yu, Fuqiang</t>
  </si>
  <si>
    <t>Yeast and Lactic Acid Bacteria Dominate the Core Microbiome of Fermented 'Hairy' Tofu (Mao Tofu)</t>
  </si>
  <si>
    <t>soybean; UPARSE; high-throughput metagenomics; lactic acid bacteria; Tremellomycetes; Geotrichum</t>
  </si>
  <si>
    <t>TORULASPORA-DELBRUECKII; FUNGAL DIVERSITY; STINKY TOFU; SEQUENCES; IDENTIFICATION; DYNAMICS; INSIGHT</t>
  </si>
  <si>
    <t>The process of fermenting tofu extends back thousands of years and is an indispensable part of Chinese culture. Despite a cultural resurgence in fermented foods and interest in microbiomes, there is little knowledge on the microbial diversity represented in fermented 'hairy' tofu, known locally in China as Mao tofu. High-throughput metagenomic sequencing of the ITS, LSU and 16S rDNA was used to determine Mao tofu's fungal and bacterial community diversity across four wet markets in Yunnan, China. The results show that hairy tofu in this region consists of around 170 fungal and 365 bacterial taxa, and that microbial taxa differ between markets. Diversity also differed based on the specific niche of the tofu block, comparing the outside rind-like niche to that of the inside of the tofu block. Machine learning random forest models were able to accurately classify both the market and niche of sample origin. An over-abundance of yeast and Geotrichum was found, and Mucor (Mucoromycota) was abundant in the outside rind-like niche, which consists of the visible 'hairy' mycelium. The majority of the bacterial OTUs belonged to Proteobacteria, Firmicutes, and Bacteroidetes, with Acinetobacter, Lactobacillus, Sphingobacterium and Flavobacterium the most abundant genera. Putative fungal pathogens of plants (Cercospora, Diaporthe, Fusarium) and animals (Metarhizium, Entomomortierella, Pyxidiophora, Candida, Clavispora) were also detected, as were putative bacterial pathogens identified as Legionella. Non-fungal eukaryotic taxa detected by LSU amplicon sequencing included soybean (Glycine max), Protozoa, Metazoa (e.g., Nematoda and Platyhelminthes), Rhizaria and Chromista, indicating that additional biodiversity exists in the hairy tofu microbiome.</t>
  </si>
  <si>
    <t>Benucci, Gian Maria Niccolo</t>
  </si>
  <si>
    <t>[Benucci, Gian Maria Niccolo; Wang, Xinxin; Bonito, Gregory] Michigan State Univ, Plant Soil &amp; Microbial Sci, 1066 Bogue St, E Lansing, MI 48824 USA; [Wang, Xinxin] Shenyang Agr Univ, Dept Plant Protect, Shenyang 110866, Peoples R China; [Zhang, Li; Yu, Fuqiang] Chinese Acad Sci, Kunming Inst Bot, Yunnan Key Lab Fungal Divers &amp; Green Dev, Germplasm Bank Wild Species, Kunming 650201, Yunnan, Peoples R China</t>
  </si>
  <si>
    <t>Michigan State University; Shenyang Agricultural University; Chinese Academy of Sciences; Kunming Institute of Botany, CAS</t>
  </si>
  <si>
    <t>Bonito, G (通讯作者)，Michigan State Univ, Plant Soil &amp; Microbial Sci, 1066 Bogue St, E Lansing, MI 48824 USA.;Yu, FQ (通讯作者)，Chinese Acad Sci, Kunming Inst Bot, Yunnan Key Lab Fungal Divers &amp; Green Dev, Germplasm Bank Wild Species, Kunming 650201, Yunnan, Peoples R China.</t>
  </si>
  <si>
    <t>benucci@msu.edu; wangx220@msu.edu; zhangli@mail.kib.ac.cn; bonito@msu.edu; fqyu@mail.kib.ac.cn</t>
  </si>
  <si>
    <t>yu, fuqiang/0000-0001-7931-080X</t>
  </si>
  <si>
    <t>United States National Science Foundation [DEB 1737898]; United States Department of Agriculture [MICL02416]; Chinese Academy of Sciences science and technology [KFJ-FP-20190]; China Scholarship Council</t>
  </si>
  <si>
    <t>United States National Science Foundation(National Science Foundation (NSF)); United States Department of Agriculture(United States Department of Agriculture (USDA)); Chinese Academy of Sciences science and technology; China Scholarship Council(China Scholarship Council)</t>
  </si>
  <si>
    <t>This research was funded by United States National Science Foundation DEB 1737898 and United States Department of Agriculture MICL02416 to GB, and Chinese Academy of Sciences science and technology supported poverty alleviation project KFJ-FP-20190 awarded to Yu Fuqiang. XinxinWang was supported by the China Scholarship Council.</t>
  </si>
  <si>
    <t>10.3390/d14030207</t>
  </si>
  <si>
    <t>0C6IY</t>
  </si>
  <si>
    <t>WOS:000775415700001</t>
  </si>
  <si>
    <t>Jia, LB; Hu, JJ; Zhang, ST; Su, T; Spicer, RA; Liu, J; Yang, JC; Zou, P; Huang, YJ; Zhou, ZK</t>
  </si>
  <si>
    <t>Jia, Lin-Bo; Hu, Jin-Jin; Zhang, Shi-Tao; Su, Tao; Spicer, Robert A.; Liu, Jia; Yang, Jiu-Cheng; Zou, Pu; Huang, Yong-Jiang; Zhou, Zhe-Kun</t>
  </si>
  <si>
    <t>Bauhinia (Leguminosae) Fossils from the Paleogene of Southwestern China and Its Species Accumulation in Asia</t>
  </si>
  <si>
    <t>Asia; Biogeography; Bauhinia; Fabaceae; late Eocene</t>
  </si>
  <si>
    <t>PLANT FOSSILS; CERCIDEAE</t>
  </si>
  <si>
    <t>Extant Bauhinia (Leguminosae) is a genus of 300 species of trees, shrubs, and lianas, widely distributed in pantropical areas, but its diversification history in southeastern Asia, one of its centers of highest diversity, remains unclear. We report new fossils of three Bauhinia species with cuticular preservation from the Paleogene of Puyang Basin, southwestern China. Our finding likely extends the emergence of Bauhinia in Asia to the late Eocene. Together with previously reported fossil records, we show that the diversification of Bauhina in Asia and the phenomenon of a small region harboring multiple Bauhinia species in southwestern China could be traced back to the Paleogene.</t>
  </si>
  <si>
    <t>Jia, Lin-Bo</t>
  </si>
  <si>
    <t>[Jia, Lin-Bo; Hu, Jin-Jin; Huang, Yong-Jiang] Chinese Acad Sci, Kunming Inst Bot, CAS Key Lab Plant Divers &amp; Biogeog East Asia, Kunming 650201, Yunnan, Peoples R China; [Zhang, Shi-Tao; Yang, Jiu-Cheng] Kunming Univ Sci &amp; Technol, Fac Land Resource Engn, Kunming 650093, Yunnan, Peoples R China; [Su, Tao; Spicer, Robert A.; Liu, Jia; Zhou, Zhe-Kun] Chinese Acad Sci, CAS Key Lab Trop Forest Ecol, Xishuangbanna Trop Bot Garden, Mengla 666303, Peoples R China; [Spicer, Robert A.] Open Univ, Sch Environm Earth &amp; Ecosyst Sci, Milton Keynes MK7 6AA, Bucks, England; [Zou, Pu] Chinese Acad Sci, South China Bot Garden, Guangzhou 510650, Peoples R China</t>
  </si>
  <si>
    <t>Chinese Academy of Sciences; Kunming Institute of Botany, CAS; Kunming University of Science &amp; Technology; Chinese Academy of Sciences; Xishuangbanna Tropical Botanical Garden, CAS; Open University - UK; Chinese Academy of Sciences; South China Botanical Garden, CAS</t>
  </si>
  <si>
    <t>Jia, LB (通讯作者)，Chinese Acad Sci, Kunming Inst Bot, CAS Key Lab Plant Divers &amp; Biogeog East Asia, Kunming 650201, Yunnan, Peoples R China.;Zou, P (通讯作者)，Chinese Acad Sci, South China Bot Garden, Guangzhou 510650, Peoples R China.</t>
  </si>
  <si>
    <t>jialinbo@mail.kib.ac.cn; hujinjin@mail.kib.ac.cn; taogezhang@hotmail.com; sutao@xtbg.org.cn; ras6@open.ac.uk; liujia@xtbg.ac.cn; 18395636983@163.com; zoupu@scbg.ac.cn; huangyongliang@mail.kib.ac.cn; zhouzk@xtbg.ac.cn</t>
  </si>
  <si>
    <t>Zhou, Zhekun/0000-0002-0710-2128; Su, Tao/0000-0002-9148-6127; Hu, Jin-Jin/0000-0002-2012-6394; Jia, Linbo/0000-0003-0848-7960</t>
  </si>
  <si>
    <t>National Natural Science Foundation of China [31900194]; Science and technology Project of Yunnan Science and Technology Department [202101AT070163, 202001AU070058]; Chinese Academy of Sciences Light of West China Program and Yunnan Basic Research Projects [2019FB026]</t>
  </si>
  <si>
    <t>National Natural Science Foundation of China(National Natural Science Foundation of China (NSFC)); Science and technology Project of Yunnan Science and Technology Department; Chinese Academy of Sciences Light of West China Program and Yunnan Basic Research Projects</t>
  </si>
  <si>
    <t>This work was supported by the National Natural Science Foundation of China (No. 31900194), the Science and technology Project of Yunnan Science and Technology Department (No. 202101AT070163, 202001AU070058), and the Chinese Academy of Sciences Light of West China Program and Yunnan Basic Research Projects (No.2019FB026).</t>
  </si>
  <si>
    <t>10.3390/d14030173</t>
  </si>
  <si>
    <t>0C6FS</t>
  </si>
  <si>
    <t>gold, Green Accepted</t>
  </si>
  <si>
    <t>WOS:000775407300001</t>
  </si>
  <si>
    <t>He, X; Zhao, CL</t>
  </si>
  <si>
    <t>He, Xiao; Zhao, Chang-Lin</t>
  </si>
  <si>
    <t>Diversity of Wood-Decaying Fungi in Wuliangshan Area, Yunnan Province, PR China</t>
  </si>
  <si>
    <t>Basidiomycota; biological resources; diversity; mycota; Wuliangshan area</t>
  </si>
  <si>
    <t>SP.-NOV. POLYPORALES; MORPHOLOGICAL CHARACTERS; MOLECULAR-IDENTIFICATION; SPECIES COMPLEX; BASIDIOMYCOTA; PHYLOGENY; CLASSIFICATION; TAXONOMY; AURICULARIALES; PENIOPHORELLA</t>
  </si>
  <si>
    <t>Five surveys were carried out in the Wuliangshan area, Yunnan Province, P.R. China, based on a combination of morphological features and molecular evidence. Around 2454 specimens of wood-decaying fungi were collected. The paper summarizes the obtained results on the wood-decaying fungi of this area, consisting in 95 species distributed in 59 genera, 23 families and 9 orders. Their hosts and substrates were also identified. A checklist of wood-decaying fungi is given. Sequences of the ITS nrRNA gene region of the studied specimens were generated and phylogenetic analysis was performed with maximum likelihood, maximum parsimony and Bayesian inference methods. The present list of wood-decaying fungi enriches the knowledge of fungal diversity worldwide and supplies the basic data for future applications.</t>
  </si>
  <si>
    <t>He, Xiao</t>
  </si>
  <si>
    <t>[He, Xiao; Zhao, Chang-Lin] Southwest Forestry Univ, Minist Educ, Key Lab Forest Resources Conservat &amp; Utilizat Sou, Kunming 650224, Yunnan, Peoples R China; [He, Xiao; Zhao, Chang-Lin] Southwest Forestry Univ, Coll Biodivers Conservat, Kunming 650224, Yunnan, Peoples R China; [Zhao, Chang-Lin] Chinese Acad Sci, Kunming Inst Bot, Yunnan Key Lab Fungal Div &amp; Green Dev, Kunming 650201, Yunnan, Peoples R China; [Zhao, Chang-Lin] Tsinghua Univ, Sch Life Sci, Beijing 100084, Peoples R China</t>
  </si>
  <si>
    <t>Southwest Forestry University - China; Southwest Forestry University - China; Chinese Academy of Sciences; Kunming Institute of Botany, CAS; Tsinghua University</t>
  </si>
  <si>
    <t>Zhao, CL (通讯作者)，Southwest Forestry Univ, Minist Educ, Key Lab Forest Resources Conservat &amp; Utilizat Sou, Kunming 650224, Yunnan, Peoples R China.;Zhao, CL (通讯作者)，Southwest Forestry Univ, Coll Biodivers Conservat, Kunming 650224, Yunnan, Peoples R China.;Zhao, CL (通讯作者)，Chinese Acad Sci, Kunming Inst Bot, Yunnan Key Lab Fungal Div &amp; Green Dev, Kunming 650201, Yunnan, Peoples R China.;Zhao, CL (通讯作者)，Tsinghua Univ, Sch Life Sci, Beijing 100084, Peoples R China.</t>
  </si>
  <si>
    <t>fungixiaohe@163.com; fungi@swfu.edu.cn</t>
  </si>
  <si>
    <t>he, xiao/HKW-2127-2023</t>
  </si>
  <si>
    <t>zhao, changlin/0000-0002-1395-591X</t>
  </si>
  <si>
    <t>FundingThe research was supported by the National Natural Science Foundation of China (Project No. 32170004, U2102220), Yunnan Fundamental Research Project (Grant No. 202001AS070043) and High-level Talents Program of Yunnan Province (YNQR-QNRC-2018-111).</t>
  </si>
  <si>
    <t>10.3390/d14020131</t>
  </si>
  <si>
    <t>ZK5JG</t>
  </si>
  <si>
    <t>WOS:000763023300001</t>
  </si>
  <si>
    <t>Liu, ZP; Zhang, SN; Cheewangkoon, R; Zhao, Q; Liu, JK</t>
  </si>
  <si>
    <t>Liu, Zuo-Peng; Zhang, Sheng-Nan; Cheewangkoon, Ratchadawan; Zhao, Qi; Liu, Jian-Kui</t>
  </si>
  <si>
    <t>Crassoascoma gen. nov. (Lentitheciaceae, Pleosporales): Unrevealing Microfungi from the Qinghai-Tibet Plateau in China</t>
  </si>
  <si>
    <t>two new taxa; Dothideomycetes; high-elevation; phylogeny; taxonomy</t>
  </si>
  <si>
    <t>SP. NOV.; PHYLOGENETIC ASSESSMENT; REFINED FAMILIES; FUNGI; HALOBYSSOTHECIUM; BAMBUSICOLA; BAMBOO</t>
  </si>
  <si>
    <t>Microfungi associated with woody plants on the Qinghai-Tibet Plateau (QTP) were investigated, and four collections associated with Potentilla fruticosa were obtained from Gansu and Qinghai provinces in China. Morphologically, they line well with Lentitheciaceae in having subglobose to globose ascomata with brown setae on the papilla but can be distinguished from other genera by its superficial, globose, black, thick-walled ascomata, and fusiform, hyaline (rarely pale brown), one-septate ascospores, surrounded by an entire mucilaginous sheath. The phylogenetic analyses based on a combined SSU, ITS, LSU and TEF1-alpha sequence data showed that four isolates formed a monophyletic clade among the genera of Lentitheciaceae, and present as a distinct lineage (sister clade to Darksidea). Therefore, we introduce a new genus Crassoascoma, with C. potentillae as the type to accommodate these taxa. Detailed description and illustration are provided, and the establishment of new taxa is justified with morphology and phylogenetic evidence.</t>
  </si>
  <si>
    <t>Liu, Zuo-Peng</t>
  </si>
  <si>
    <t>[Liu, Zuo-Peng; Zhang, Sheng-Nan; Liu, Jian-Kui] Univ Elect Sci &amp; Technol China, Ctr Informat Biol, Sch Life Sci &amp; Technol, Chengdu 611731, Peoples R China; [Zhang, Sheng-Nan; Cheewangkoon, Ratchadawan; Liu, Jian-Kui] Chiang Mai Univ, Fac Agr, Dept Entomol &amp; Plant Pathol, Chiang Mai 50200, Thailand; [Zhao, Qi] Chinese Acad Sci, Kunming Inst Bot, Key Lab Plant Divers &amp; Biogeog East Asia, Kunming 650201, Peoples R China</t>
  </si>
  <si>
    <t>University of Electronic Science &amp; Technology of China; Chiang Mai University; Chinese Academy of Sciences; Kunming Institute of Botany, CAS</t>
  </si>
  <si>
    <t>Liu, JK (通讯作者)，Univ Elect Sci &amp; Technol China, Ctr Informat Biol, Sch Life Sci &amp; Technol, Chengdu 611731, Peoples R China.;Liu, JK (通讯作者)，Chiang Mai Univ, Fac Agr, Dept Entomol &amp; Plant Pathol, Chiang Mai 50200, Thailand.</t>
  </si>
  <si>
    <t>perr_bio@163.com; zshengnanbio@gmail.com; ratchadawan.c@cmu.ac.th; zhaoqi@mail.kib.ac.cn; Liujiankui@uestc.edu.cn</t>
  </si>
  <si>
    <t>CHEEWANGKOON, RATCHADAWAN/AGX-9436-2022; Zhang, Sheng-Nan/AAE-2546-2022; Liu, Jian-Kui (Jack)/F-7907-2010</t>
  </si>
  <si>
    <t>CHEEWANGKOON, RATCHADAWAN/0000-0001-8576-3696; Zhang, Sheng-Nan/0000-0001-8602-5193; Liu, Jian-Kui (Jack)/0000-0002-9232-228X</t>
  </si>
  <si>
    <t>10.3390/d14010015</t>
  </si>
  <si>
    <t>ZC3GI</t>
  </si>
  <si>
    <t>WOS:000757412200001</t>
  </si>
  <si>
    <t>Li, JJ; Zhao, CL; Liu, CM</t>
  </si>
  <si>
    <t>Li, Jia-Jin; Zhao, Chang-Lin; Liu, Chao-Mao</t>
  </si>
  <si>
    <t>The Morphological Characteristics and Phylogenetic Analyses Revealed an Additional Taxon in Heteroradulum (Auriculariales)</t>
  </si>
  <si>
    <t>corticioid fungi; phylogeny; wood-inhabiting fungi; taxonomy; Yunnan Province</t>
  </si>
  <si>
    <t>BASIDIOMYCOTA; POLYPORALES; THAILAND; NOV.</t>
  </si>
  <si>
    <t>Auriculariales is diverse, embracing a number of corticioid, poroid, and hydnoid genera. The present study covers a new wood-inhabiting fungal species of Heteroradulum niveum sp. nov that is proposed on the basis of a combination of morphological features and molecular evidence. The species is characterized by the resupinate basidiomata, a monomitic hyphal system with generative hyphae with clamp connections; tubular cystidia; two- to four-celled basidia; and allantoid, colorless, thin-walled, smooth, IKI-, CB-, basidiospores (6.5-13.5 x 2.7-5.5 mu m). Sequences of ITS and nLSU rRNA gene regions of the specimens were generated, and phylogenetic analyses were carried out with methods of maximum parsimony, maximum likelihood, and Bayesian inference. These phylogenetic analyses inferred from ITS+nLSU indicated that H. niveum is nested in Heteroradulum within Auriculariales. Further study within Heteroradulum on the basis of ITS+nLSU dataset revealed that it formed a monophyletic lineage with a strong support (100% BS, 100% BP, 1.00 BPP) and then grouped with H. yunnanensis.</t>
  </si>
  <si>
    <t>Li, Jia-Jin</t>
  </si>
  <si>
    <t>[Li, Jia-Jin; Zhao, Chang-Lin] Southwest Forestry Univ, Lab Forest Resources Conservat &amp; Utilizat Southwe, Minist Educ, Kunming 650224, Yunnan, Peoples R China; [Li, Jia-Jin; Zhao, Chang-Lin; Liu, Chao-Mao] Southwest Forestry Univ, Coll Biodivers Conservat, Kunming 650224, Yunnan, Peoples R China; [Li, Jia-Jin] Southwest Forestry Univ, Yunnan Acad Biodivers, Kunming 650224, Yunnan, Peoples R China; [Zhao, Chang-Lin] Chinese Acad Sci, Kunming Inst Bot, Yunnan Key Lab Fungal Div &amp; Green Dev, Kunming 650201, Yunnan, Peoples R China; [Zhao, Chang-Lin] Tsinghua Univ, Sch Life Sci, Beijing 100084, Peoples R China</t>
  </si>
  <si>
    <t>Zhao, CL (通讯作者)，Southwest Forestry Univ, Lab Forest Resources Conservat &amp; Utilizat Southwe, Minist Educ, Kunming 650224, Yunnan, Peoples R China.;Zhao, CL; Liu, CM (通讯作者)，Southwest Forestry Univ, Coll Biodivers Conservat, Kunming 650224, Yunnan, Peoples R China.;Zhao, CL (通讯作者)，Chinese Acad Sci, Kunming Inst Bot, Yunnan Key Lab Fungal Div &amp; Green Dev, Kunming 650201, Yunnan, Peoples R China.;Zhao, CL (通讯作者)，Tsinghua Univ, Sch Life Sci, Beijing 100084, Peoples R China.</t>
  </si>
  <si>
    <t>fungijiajinli@163.com; fungi@swfu.edu.cn; lcm1987swkx@163.com</t>
  </si>
  <si>
    <t>li, jiajin/0000-0002-9914-464X</t>
  </si>
  <si>
    <t>National Natural Science Foundation of China [32170004, U2102220]; Chang-Lin Zhao and Yunnan Fundamental Research Project [202001AS070043]; Yunnan Academy of Biodiversity, Southwest Forestry University</t>
  </si>
  <si>
    <t>National Natural Science Foundation of China(National Natural Science Foundation of China (NSFC)); Chang-Lin Zhao and Yunnan Fundamental Research Project; Yunnan Academy of Biodiversity, Southwest Forestry University</t>
  </si>
  <si>
    <t>The research was supported by the National Natural Science Foundation of China (Project No. 32170004, U2102220) for Chang-Lin Zhao and Yunnan Fundamental Research Project (grant no. 202001AS070043) for Chang-Lin Zhao, and received support from the Yunnan Academy of Biodiversity, Southwest Forestry University.</t>
  </si>
  <si>
    <t>10.3390/d14010040</t>
  </si>
  <si>
    <t>YO1NG</t>
  </si>
  <si>
    <t>WOS:000747712900001</t>
  </si>
  <si>
    <t>Zhou, YL; Zhang, JL; Zhao, CH; Long, GQ; Zhou, CL; Sun, XD; Yang, YQ; Zhang, CJ; Yang, YP</t>
  </si>
  <si>
    <t>Zhou, Yanli; Zhang, Jingling; Zhao, Changhong; Long, Guangqiang; Zhou, Chengli; Sun, Xudong; Yang, Yunqiang; Zhang, Chengjun; Yang, Yongping</t>
  </si>
  <si>
    <t>Cold Tolerance of ScCBL6 Is Associated with Tonoplast Transporters and Photosynthesis in Arabidopsis</t>
  </si>
  <si>
    <t>CURRENT ISSUES IN MOLECULAR BIOLOGY</t>
  </si>
  <si>
    <t>calcineurin B-like protein; cold tolerance; Stipa capillacea; transcriptome; tonoplast</t>
  </si>
  <si>
    <t>CALCIUM SENSOR; GENE-EXPRESSION; MONOSACCHARIDE TRANSPORTER; STRESS TOLERANCE; ABIOTIC STRESS; DROUGHT; ACCLIMATION; PROTEINS; PHOSPHORYLATION; OVEREXPRESSION</t>
  </si>
  <si>
    <t>Plants that are adapted to harsh environments offer enormous opportunity to understand stress responses in ecological systems. Stipa capillacea is widely distributed in the frigid and arid region of the Tibetan Plateau, but its signal transduction system under cold stress has not been characterized. In this study, we isolated a cDNA encoding the signal transduction protein, ScCBL6, from S. capillacea, and evaluated its role in cold tolerance by ectopically expressing it in Arabidopsis. Full-length ScCBL6 encode 227 amino acids, and are clustered with CBL6 in Stipa purpurea and Oryza sativa in a phylogenetic analysis. Compared with tolerance in wild-type (WT) plants, ScCBL6-overexpressing plants (ScCBL6-OXP) were more tolerant to cold stress but not to drought stress, as confirmed by their high photosynthetic capacity (Fv/Fm) and survival rate under cold stress. We further compared their cold-responsive transcriptome profiles by RNA sequencing. In total, 3931 genes were differentially expressed by the introduction of ScCBL6. These gene products were involved in multiple processes such as the immune system, lipid catabolism, and secondary metabolism. A KEGG pathway analysis revealed that they were mainly enriched in plant hormone signal transduction and biomacromolecule metabolism. Proteins encoded by differentially expressed genes were predicted to be localized in chloroplasts, mitochondria, and vacuoles, suggesting that ScCBL6 exerts a wide range of functions. Based on its tonoplast subcellular location combined with integrated transcriptome and physiological analyses of ScCBL6-OXP, we inferred that ScCBL6 improves plant cold stress tolerance in Arabidopsis via the regulation of photosynthesis, redox status, and tonoplast metabolite transporters.</t>
  </si>
  <si>
    <t>[Zhou, Yanli; Sun, Xudong; Yang, Yunqiang; Zhang, Chengjun; Yang, Yongping] Chinese Acad Sci, Kunming Inst Bot, Germplasm Bank Wild Species, Kunming 650201, Peoples R China; [Zhang, Jingling; Zhao, Changhong; Long, Guangqiang] Yunnan Agr Univ, Coll Resource &amp; Environm, Kunming 650201, Peoples R China; [Zhou, Chengli] Yunnan Univ, Sch Informat Sci &amp; Engn, Kunming 650091, Peoples R China</t>
  </si>
  <si>
    <t>Yang, YP (通讯作者)，Chinese Acad Sci, Kunming Inst Bot, Germplasm Bank Wild Species, Kunming 650201, Peoples R China.</t>
  </si>
  <si>
    <t>yangyp@mail.kib.ac.cn</t>
  </si>
  <si>
    <t>Sun, Xudong/0000-0002-2434-8031; yang, yong ping/0000-0002-0327-2664</t>
  </si>
  <si>
    <t>National Natural Science Foundation of China [41771123, 32000180]; Youth Innovation Promotion Association CAS [2021394]; CAS scholarship; Yunnan Fundamental Research Projects [202001AU070075]</t>
  </si>
  <si>
    <t>National Natural Science Foundation of China(National Natural Science Foundation of China (NSFC)); Youth Innovation Promotion Association CAS; CAS scholarship; Yunnan Fundamental Research Projects</t>
  </si>
  <si>
    <t>This research was funded by the National Natural Science Foundation of China (41771123 and 32000180), Youth Innovation Promotion Association CAS (2021394), CAS scholarship, and Yunnan Fundamental Research Projects (202001AU070075).</t>
  </si>
  <si>
    <t>1467-3037</t>
  </si>
  <si>
    <t>1467-3045</t>
  </si>
  <si>
    <t>CURR ISSUES MOL BIOL</t>
  </si>
  <si>
    <t>Curr. Issues Mol. Biol.</t>
  </si>
  <si>
    <t>10.3390/cimb44110378</t>
  </si>
  <si>
    <t>Biochemistry &amp; Molecular Biology</t>
  </si>
  <si>
    <t>6E5PU</t>
  </si>
  <si>
    <t>WOS:000883432600001</t>
  </si>
  <si>
    <t>Corrales, A; Koch, RA; Vasco-Palacios, AM; Smith, ME; Ge, ZW; Henkel, TW</t>
  </si>
  <si>
    <t>Corrales, Adriana; Koch, Rachel A.; Vasco-Palacios, Aida M.; Smith, Matthew E.; Ge, Zai-Wei; Henkel, Terry W.</t>
  </si>
  <si>
    <t>Diversity and distribution of tropical ectomycorrhizal fungi</t>
  </si>
  <si>
    <t>MYCOLOGIA</t>
  </si>
  <si>
    <t>Basidiomycota; conservation; ecology; ectomycorrhizas; macrofungi; Russulaceae; Thelephoraceae</t>
  </si>
  <si>
    <t>RAIN-FOREST; MYCORRHIZAL ASSOCIATIONS; HISTORICAL BIOGEOGRAPHY; PHYLOGENY; HOST; BASIDIOMYCOTA; COMMUNITIES; MYRTACEAE; FAMILY; TREES</t>
  </si>
  <si>
    <t>The tropics were long considered to have few ectomycorrhizal fungi, presumably due to a paucity of ectomycorrhizal host plants relative to higher-latitude ecosystems. However, an increase in research in tropical regions over the past 30 years has greatly expanded knowledge about the occurrence of tropical ectomycorrhizal fungi. To assess their broad biogeographic and diversity patterns, we conducted a comprehensive review and quantitative data analysis of 49 studies with 80 individual data sets along with additional data from GlobalFungi to elucidate tropical diversity patterns and biogeography of ectomycorrhizal fungi across the four main tropical regions: the Afrotropics, the Neotropics, Southeast Asia, and Oceania. Generalized linear models were used to explore biotic and abiotic influences on the relative abundance of the 10 most frequently occurring lineages. We also reviewed the available literature and synthesized current knowledge about responses of fungi to anthropogenic disturbances, and their conservation status and threats. We found that /russula-lactarius and /tomentella-thelephora were the most abundant lineages in the Afrotropics, the Neotropics, and Southeast Asia, whereas /cortinarius was the most abundant lineage in Oceania, and that /russula-lactarius, /inocybe, and /tomentella-thelephora were the most species-rich lineages across all of the tropical regions. Based on these analyses, we highlight knowledge gaps for each tropical region. Increased sampling of tropical regions, collaborative efforts, and use of molecular methodologies are needed for a more comprehensive view of the ecology and diversity of tropical ectomycorrhizal fungi.</t>
  </si>
  <si>
    <t>Corrales, Adriana</t>
  </si>
  <si>
    <t>[Corrales, Adriana] Univ Rosario, Fac Ciencias Nat, Ctr Invest Microbiol &amp; Biotecnol UR CIMBIUR, Carrera 26 63B-48, Bogota 111221, Colombia; [Koch, Rachel A.] Univ Connecticut, Dept Plant Sci &amp; Landscape Architecture, 1376 Storrs Rd, Storrs, CT 06269 USA; [Vasco-Palacios, Aida M.] Univ Antioquia UdeA, Escuela Microbiol, Grp BioMicro &amp; Microbiol Ambiental, Calle 70 52-2, Medellin, Colombia; [Vasco-Palacios, Aida M.] ASCOLMIC, Asociac Colombiana Micol, Bogota, Colombia; [Smith, Matthew E.] Univ Florida, Dept Plant Pathol, 2550 Hull Rd, Gainesville, FL 32611 USA; [Ge, Zai-Wei] Chinese Acad Sci, Kunming Inst Bot, Yunnan Key Lab Fungal Divers &amp; Green Dev, Lanhei Rd 132, Kunming 650201, Yunnan, Peoples R China; [Henkel, Terry W.] Calif State Polytech Univ Humboldt, Dept Biol Sci, 1 Harpst St, Arcata, CA 95521 USA</t>
  </si>
  <si>
    <t>Universidad del Rosario; University of Connecticut; Universidad de Antioquia; State University System of Florida; University of Florida; Chinese Academy of Sciences; Kunming Institute of Botany, CAS</t>
  </si>
  <si>
    <t>Corrales, A (通讯作者)，Univ Rosario, Fac Ciencias Nat, Ctr Invest Microbiol &amp; Biotecnol UR CIMBIUR, Carrera 26 63B-48, Bogota 111221, Colombia.</t>
  </si>
  <si>
    <t>adricorrales33@gmail.com</t>
  </si>
  <si>
    <t>Vasco, Aida/HJI-8776-2023; Smith, Matthew E./A-8115-2012</t>
  </si>
  <si>
    <t>Henkel, Terry/0000-0001-9760-8837; Ge, Zai-Wei/0000-0003-3184-4604; Smith, Matthew E./0000-0002-0878-0932; Vasco-Palacios, Aida/0000-0003-0539-9711</t>
  </si>
  <si>
    <t>National Natural Science Foundation of China [31872619]; Biodiversity Survey and Assessment Project of the Ministry of Ecology and Environment, China [2019HJ2096001006]; Talent Project of Yunnan [202005AC160037]; US National Science Foundation (NSF) [DEB-1556338]; National Institute of Food and Agriculture [FLA-PLP-005289]; NSF [DEB-1354802, DEB-2106130]</t>
  </si>
  <si>
    <t>National Natural Science Foundation of China(National Natural Science Foundation of China (NSFC)); Biodiversity Survey and Assessment Project of the Ministry of Ecology and Environment, China; Talent Project of Yunnan; US National Science Foundation (NSF)(National Science Foundation (NSF)); National Institute of Food and Agriculture(United States Department of Agriculture (USDA)National Institute of Food and Agriculture); NSF(National Science Foundation (NSF))</t>
  </si>
  <si>
    <t>Zai-Wei Ge was partially supported by the National Natural Science Foundation of China (no. 31872619); the Biodiversity Survey and Assessment Project of the Ministry of Ecology and Environment, China (no. 2019HJ2096001006); and the Talent Project of Yunnan (no. 202005AC160037). Terry Henkel was supported by the US National Science Foundation (NSF) (grant DEB-1556338). Matthew E. Smith was partially supported by the National Institute of Food and Agriculture (grant FLA-PLP-005289) and the NSF (grants DEB-1354802 and DEB-2106130).</t>
  </si>
  <si>
    <t>0027-5514</t>
  </si>
  <si>
    <t>1557-2536</t>
  </si>
  <si>
    <t>Mycologia</t>
  </si>
  <si>
    <t>10.1080/00275514.2022.2115284</t>
  </si>
  <si>
    <t>6G2DV</t>
  </si>
  <si>
    <t>WOS:000863858800001</t>
  </si>
  <si>
    <t>Xu, YY; Jian, SP; Mao, N; Yang, ZL; Fan, L</t>
  </si>
  <si>
    <t>Xu, Yu-Yan; Jian, Si-Peng; Mao, Ning; Yang, Zhu-Liang; Fan, Li</t>
  </si>
  <si>
    <t>Gomphocantharellus, a new genus of Gomphales</t>
  </si>
  <si>
    <t>Agaricomycetes; Basidiomycota; cantharelloid fungi; multigene phylogeny; Phallomycetidae; taxonomy; 2 new taxa</t>
  </si>
  <si>
    <t>PHYLOGENETIC-RELATIONSHIPS; MOLECULAR PHYLOGENETICS; BASIDIOMYCOTA; MITOCHONDRIAL; PERFORMANCE; SOFTWARE</t>
  </si>
  <si>
    <t>The genus Gomphocantharellus and species Gomphocantharellus cylindrosporus are proposed as new based on morphological assessments and molecular phylogenetic evidence inferred from nucleotide sequences of mitochondrial (mt) adenosine triphosphate (ATPase) subunit 6 (atp6) and mt small subunit rDNA (mtSSU). Basidiomes of G. cylindrosporus are characterized by the peach to pinkish orange color, cantharelloid habit with a gill-like hymenophore with obtuse edges, smooth and cylindrical to allantoid basidiospores, and cylindrical to narrowly clavate flexuous pleurocystidia. The species resembles a species of Cantharellus but differs from the latter by the cylindrical basidiospores. Phylogenetic analyses confirm the placement of Gomphocantharellus as an independent lineage within the order Gomphales.</t>
  </si>
  <si>
    <t>Xu, Yu-Yan</t>
  </si>
  <si>
    <t>[Xu, Yu-Yan; Mao, Ning; Fan, Li] Capital Normal Univ, Coll Life Sci, Beijing 100048, Peoples R China; [Jian, Si-Peng; Yang, Zhu-Liang] Chinese Acad Sci, CAS Key Lab Plant Divers &amp; Biogeog East Asia, Kunming Inst Bot, Kunming 650201, Yunnan, Peoples R China</t>
  </si>
  <si>
    <t>Capital Normal University; Chinese Academy of Sciences; Kunming Institute of Botany, CAS</t>
  </si>
  <si>
    <t>Fan, L (通讯作者)，Capital Normal Univ, Coll Life Sci, Beijing 100048, Peoples R China.</t>
  </si>
  <si>
    <t>fanli@mail.cnu.edu.cn</t>
  </si>
  <si>
    <t>Xu, Yu-Yan/0000-0003-2501-5607; Mao, Ning/0000-0003-1564-9446; Fan, Li/0000-0001-9887-7086</t>
  </si>
  <si>
    <t>National Natural Science Foundation of China [31750001]; Beijing Natural Science Foundation [5172003]</t>
  </si>
  <si>
    <t>National Natural Science Foundation of China(National Natural Science Foundation of China (NSFC)); Beijing Natural Science Foundation(Beijing Natural Science Foundation)</t>
  </si>
  <si>
    <t>The study was supported by the National Natural Science Foundation of China (no. 31750001) and the Beijing Natural Science Foundation (no. 5172003).</t>
  </si>
  <si>
    <t>10.1080/00275514.2022.2065781</t>
  </si>
  <si>
    <t>2T2ER</t>
  </si>
  <si>
    <t>WOS:000807058900001</t>
  </si>
  <si>
    <t>Herrera, M; Wang, R; Zhang, P; Yu, FQ</t>
  </si>
  <si>
    <t>Herrera, Mariana; Wang, Ran; Zhang, Peng; Yu, Fu-Qiang</t>
  </si>
  <si>
    <t>The ectomycorrhizal association of Tricholoma matsutake and two allied species, T. bakamatsutake and T. fulvocastaneum, with native hosts in subtropical China</t>
  </si>
  <si>
    <t>Ectomycorrhizal symbiosis; matsutake mushrooms; morphology; shiros; southwestern China</t>
  </si>
  <si>
    <t>PINUS-DENSIFLORA; IN-VITRO; FUNGI; CULTIVATION; PHYLOGENY; EVOLUTION; MUSHROOMS; FOREST</t>
  </si>
  <si>
    <t>Accurate identification of edible ectomycorrhizal (ECM) mushrooms and their host trees in nature is key to commercial production for consumption. For the first time we describe the ectomycorrhizal association of the three most common species of edible matsutake mushrooms with their native host trees in Yunnan Province in China. We collected ECM samples from three different localities in subtropical forests known to be highly productive areas of Tricholoma. Additionally, we collected basidiomata of Tricholoma from the field and markets in Yunnan. ECM samples were analyzed using morphological and molecular methods. We conducted phylogenetic analyses of nuc rDNA internal transcribed spacer region ITS1-5.8S-ITS2 (ITS) and analyzed the intergenic spacer of cpDNA psbA-trnH to identify basidiomata and plant hosts, respectively. Three species of Tricholoma were identified: T. bakamatsutake, T. fulvocastaneum, and T. matsutake. Four ECM associations in the study area were detected: Tricholoma bakamatsutake + Castanopsis tibetana, T. fulvocastaneum + C. tibetana, T. fulvocastaneum + Pinus yunnanensis, and T. matsutake + P. yunnanensis. Detailed descriptions and illustrations of the ECM associations are presented.</t>
  </si>
  <si>
    <t>Herrera, Mariana</t>
  </si>
  <si>
    <t>[Herrera, Mariana; Wang, Ran; Zhang, Peng; Yu, Fu-Qiang] Chinese Acad Sci, Kunming Inst Bot, Yunnan Key Lab Fungal Div &amp; Green Dev, Germplasm Bank Wild Species, 132 Lanhei Rd, Kunming 650201, Yunnan, Peoples R China; [Herrera, Mariana] Negaunee Inst Plant Conservat Sci &amp; Act, Chicago Bot Garden, 1000 Lake Cook Rd, Chicago, IL 60022 USA</t>
  </si>
  <si>
    <t>Yu, FQ (通讯作者)，Chinese Acad Sci, Kunming Inst Bot, Yunnan Key Lab Fungal Div &amp; Green Dev, Germplasm Bank Wild Species, 132 Lanhei Rd, Kunming 650201, Yunnan, Peoples R China.</t>
  </si>
  <si>
    <t>International (Regional) Cooperation and Exchange Projects of the National Natural Science Foundation of China [31961143010]; China-Latin America Young Scientists Exchange Program of the Ministry of Science and Technology of China</t>
  </si>
  <si>
    <t>International (Regional) Cooperation and Exchange Projects of the National Natural Science Foundation of China(National Natural Science Foundation of China (NSFC)); China-Latin America Young Scientists Exchange Program of the Ministry of Science and Technology of China</t>
  </si>
  <si>
    <t>This work was supported by the International (Regional) Cooperation and Exchange Projects of the National Natural Science Foundation of China (no. 31961143010) China-Latin America Young Scientists Exchange Program (2017) of the Ministry of Science and Technology of China.</t>
  </si>
  <si>
    <t>10.1080/00275514.2022.2025563</t>
  </si>
  <si>
    <t>0Y9XE</t>
  </si>
  <si>
    <t>WOS:000776564700001</t>
  </si>
  <si>
    <t>Wu, G; Li, MX; Horak, E; Yang, ZL</t>
  </si>
  <si>
    <t>Wu, Gang; Li, Mei-Xiang; Horak, Egon; Yang, Zhu L.</t>
  </si>
  <si>
    <t>Phylogenetic analysis reveals the new genus Amoenoboletus from Asia and New Zealand</t>
  </si>
  <si>
    <t>Boletaceae; Fagaceae; Nothofagaceae; systematics; taxonomy; 5 new taxa</t>
  </si>
  <si>
    <t>ALIGNMENTS; DIVERSITY; TOOL</t>
  </si>
  <si>
    <t>The Asia-Pacific region is renowned to harbor nearly half of the global hot spots of biodiversity. Accordingly, many endemic species of boletes have already been recorded from this geographic region. However, the majority of the specific descriptions of reported boletoid species follow classical concepts of taxonomy, and by comparison only a few taxa have been corroborated by modern molecular techniques. In this study, we focused on specimens in a new clade uncovered by our previous studies. By careful reexamination of macroscopic and microscopic characters of Boletus granulopunctatus, originally described from Japan, and Xerocomus mcrobbii, originally described from New Zealand, we discovered a new genus and species Amoenoboletus miraculosus from Sabah, Malaysia. In addition, three new combinations in Amoenoboletus are proposed, and a dichotomous key to species in the genus is provided. The phylogenetically close relationship among Amoenoboletus species suggests a tight geographic correlation in the Asia-Pacific region.</t>
  </si>
  <si>
    <t>[Wu, Gang; Li, Mei-Xiang; Yang, Zhu L.] Chinese Acad Sci, Kunming Inst Bot, CAS Key Lab Plant Divers &amp; Biogeog East Asia, Kunming 650201, Yunnan, Peoples R China; [Wu, Gang; Li, Mei-Xiang; Yang, Zhu L.] Yunnan Key Lab Fungal Divers &amp; Green Dev, Kunming 650201, Yunnan, Peoples R China; [Li, Mei-Xiang] Univ Chinese Acad Sci, 19A Yuquan Rd, Beijing 100049, Peoples R China; [Horak, Egon] Schlossfeld 17, A-6020 Innsbruck, Austria</t>
  </si>
  <si>
    <t>Yang, ZL (通讯作者)，Chinese Acad Sci, Kunming Inst Bot, CAS Key Lab Plant Divers &amp; Biogeog East Asia, Kunming 650201, Yunnan, Peoples R China.;Yang, ZL (通讯作者)，Yunnan Key Lab Fungal Divers &amp; Green Dev, Kunming 650201, Yunnan, Peoples R China.;Horak, E (通讯作者)，Schlossfeld 17, A-6020 Innsbruck, Austria.</t>
  </si>
  <si>
    <t>sporax@gmx.net; fungi@mail.kib.ac.cn</t>
  </si>
  <si>
    <t>National Natural Science Foundation of China [31970015]; International Partnership Program of the Chinese Academy of Sciences (CAS) [151853KYSB20170026]; Yunnan Ten Thousand Talents Plan Young &amp; Elite Talents Project; Youth Innovation Promotion Association of the Chinese Academy of Sciences [2017436]; Emergency Management Project of the National Natural Science Foundation of China [31750001]; Key Research Program of Frontier Sciences, CAS [QYZDY-SSW-SMC029]</t>
  </si>
  <si>
    <t>National Natural Science Foundation of China(National Natural Science Foundation of China (NSFC)); International Partnership Program of the Chinese Academy of Sciences (CAS); Yunnan Ten Thousand Talents Plan Young &amp; Elite Talents Project; Youth Innovation Promotion Association of the Chinese Academy of Sciences; Emergency Management Project of the National Natural Science Foundation of China(National Natural Science Foundation of China (NSFC)); Key Research Program of Frontier Sciences, CAS</t>
  </si>
  <si>
    <t>This work was supported by the National Natural Science Foundation of China under grant number 31970015, the International Partnership Program of the Chinese Academy of Sciences (CAS) under grant number 151853KYSB20170026, Yunnan Ten Thousand Talents Plan Young &amp; Elite Talents Project, the Youth Innovation Promotion Association of the Chinese Academy of Sciences under grant number 2017436, the Emergency Management Project of the National Natural Science Foundation of China under grant number 31750001, and Key Research Program of Frontier Sciences, CAS, under grant number QYZDY-SSW-SMC029.</t>
  </si>
  <si>
    <t>JAN 2</t>
  </si>
  <si>
    <t>10.1080/00275514.2021.1971450</t>
  </si>
  <si>
    <t>ZU7QK</t>
  </si>
  <si>
    <t>WOS:000724737500001</t>
  </si>
  <si>
    <t>Liu, DT; Luo, GF; Sun, WB</t>
  </si>
  <si>
    <t>Liu, Detuan; Luo, Guifen; Sun, Weibang</t>
  </si>
  <si>
    <t>In vitro conservation of Paphiopedilum wenshanense at Kunming Botanical Garden, China</t>
  </si>
  <si>
    <t>ORYX</t>
  </si>
  <si>
    <t>News Item</t>
  </si>
  <si>
    <t>[Liu, Detuan; Luo, Guifen; Sun, Weibang] Chinese Acad Sci, Kunming Inst Bot, Yunnan Key Lab Integrat Conservat Plant Species E, Kunming, Yunnan, Peoples R China; [Liu, Detuan] Univ Chinese Acad Sci, Beijing, Peoples R China; [Luo, Guifen; Sun, Weibang] Chinese Acad Sci, Kunming Bot Garden, Kunming Inst Bot, Kunming, Yunnan, Peoples R China</t>
  </si>
  <si>
    <t>Liu, DT (通讯作者)，Chinese Acad Sci, Kunming Inst Bot, Yunnan Key Lab Integrat Conservat Plant Species E, Kunming, Yunnan, Peoples R China.;Liu, DT (通讯作者)，Univ Chinese Acad Sci, Beijing, Peoples R China.</t>
  </si>
  <si>
    <t>CAMBRIDGE UNIV PRESS</t>
  </si>
  <si>
    <t>32 AVENUE OF THE AMERICAS, NEW YORK, NY 10013-2473 USA</t>
  </si>
  <si>
    <t>0030-6053</t>
  </si>
  <si>
    <t>1365-3008</t>
  </si>
  <si>
    <t>Oryx</t>
  </si>
  <si>
    <t>6F8DL</t>
  </si>
  <si>
    <t>WOS:000884288100009</t>
  </si>
  <si>
    <t>Shu, H; Ma, YP; Liu, DT; Sun, WB; Wang, Z</t>
  </si>
  <si>
    <t>Shu, Heng; Ma, Yongpeng; Liu, Detuan; Sun, Weibang; Wang, Zi</t>
  </si>
  <si>
    <t>Rediscovery of the Critically Endangered Rhododendron auritum in Tibet</t>
  </si>
  <si>
    <t>Shu, Heng</t>
  </si>
  <si>
    <t>[Shu, Heng] Univ Chinese Acad Sci, Beijing, Peoples R China; [Ma, Yongpeng; Liu, Detuan; Sun, Weibang] Chinese Acad Sci, Yunnan Key Lab Integrat Conservat Plant Species E, Kunming Bot Garden, Kunming Inst Bot, Kunming, Yunnan, Peoples R China; [Wang, Zi] Chinese Acad Sci, Beijing Bot Garden, Beijing Inst Bot, Beijing, Peoples R China</t>
  </si>
  <si>
    <t>Chinese Academy of Sciences; University of Chinese Academy of Sciences, CAS; Chinese Academy of Sciences; Kunming Institute of Botany, CAS; Chinese Academy of Sciences</t>
  </si>
  <si>
    <t>Ma, YP (通讯作者)，Chinese Acad Sci, Yunnan Key Lab Integrat Conservat Plant Species E, Kunming Bot Garden, Kunming Inst Bot, Kunming, Yunnan, Peoples R China.</t>
  </si>
  <si>
    <t>10.1017/S0030605322001053</t>
  </si>
  <si>
    <t>WOS:000884288100008</t>
  </si>
  <si>
    <t>Lin, LW; Sun, WB</t>
  </si>
  <si>
    <t>Lin, Liewen; Sun, Weibang</t>
  </si>
  <si>
    <t>Conserving Cypripedium forrestii, an orchid species endemic to China</t>
  </si>
  <si>
    <t>Lin, Liewen</t>
  </si>
  <si>
    <t>[Lin, Liewen; Sun, Weibang] Chinese Acad Sci, Kunming Inst Bot, Yunnan Key Lab Integrat Conservat Plant Species E, Kunming, Yunnan, Peoples R China; [Lin, Liewen] Univ Chinese Acad Sci, Beijing, Peoples R China; [Sun, Weibang] Chinese Acad Sci, Kunming Bot Garden, Kunming Inst Bot, Kunming, Yunnan, Peoples R China</t>
  </si>
  <si>
    <t>Sun, WB (通讯作者)，Chinese Acad Sci, Kunming Inst Bot, Yunnan Key Lab Integrat Conservat Plant Species E, Kunming, Yunnan, Peoples R China.;Sun, WB (通讯作者)，Chinese Acad Sci, Kunming Bot Garden, Kunming Inst Bot, Kunming, Yunnan, Peoples R China.</t>
  </si>
  <si>
    <t>10.1017/S0030605322001089</t>
  </si>
  <si>
    <t>WOS:000884288100010</t>
  </si>
  <si>
    <t>Xiong, F; Zhou, LY; Chen, L; Cao, F; Zhang, SQ; Zuo, ZL</t>
  </si>
  <si>
    <t>Xiong, Feng; Zhou, Ling-yun; Chen, Liang; Cao, Feng; Zhang, Shuqun; Zuo, Zhili</t>
  </si>
  <si>
    <t>Discovery of novel potential CRBN modulators through structure-based virtual screening and bioassay</t>
  </si>
  <si>
    <t>JOURNAL OF MOLECULAR GRAPHICS &amp; MODELLING</t>
  </si>
  <si>
    <t>CRBN modulators; Pharmacophore models; Molecular docking; Antitumor evaluation; MD simulations; Binding free energy calculations</t>
  </si>
  <si>
    <t>E3 UBIQUITIN LIGASE; SELECTIVE DEGRADATION; LENALIDOMIDE; THALIDOMIDE; DRUG; SYSTEM; PROMOTES; GROMACS; COMPLEX; IKAROS</t>
  </si>
  <si>
    <t>CRBN protein is an E3 ubiquitin ligase which plays an important role in the ubiquitin-proteasome system of eukaryotic cells. Small molecules can modulate CRBN and induce multiple target proteins to bind with CRBN, which contributes to ubiquitination and degradation of target proteins. Modulating the CRBN protein through small molecules provides a novel idea for treatment of tumors and immune system disease. Due to most of CRBN modulators containing glutarimide skeleton, we aimed to discover novel potent CRBN modulators. In this study, Lipinski's rule and Veber rule, pharmacophore based virtual screening, docking based virtual screening and ADMET screening methods were performed to discover potential CRBN modulators. The antitumor activity of 11 candidates were evaluated by MTS assay. AN7535 showed potent antitumor activity with IC50 = 0.72 mu M against HL-60 and IC50 = 1.438 mu M against SMMC-7721. AO6355 showed potent antitumor activity with IC50 = 7.469 mu M against SMMC-7721. MD simulations and binding free energy calculations suggested that AN7535 and AO6355 could stabilize the CRBN protein and have favorable binding affinity with CRBN protein. Luciferase complementation assay suggested AN7535 could bind to CRBN with IC50 = 215.9 mu M.</t>
  </si>
  <si>
    <t>[Xiong, Feng; Chen, Liang; Cao, Feng; Zhang, Shuqun; Zuo, Zhili] Chinese Acad Sci, Kunming Inst Bot, State Key Lab Phytochem &amp; Plant Resources West Chi, Kunming 650201, Peoples R China; [Xiong, Feng; Zuo, Zhili] Univ Chinese Acad Sci, Beijing 100049, Peoples R China; [Zhou, Ling-yun] Wannan Med Coll, Sch Pharm, Wuhu 241002, Peoples R China</t>
  </si>
  <si>
    <t>Chinese Academy of Sciences; Kunming Institute of Botany, CAS; Chinese Academy of Sciences; University of Chinese Academy of Sciences, CAS; Wannan Medical College</t>
  </si>
  <si>
    <t>Zuo, ZL (通讯作者)，Chinese Acad Sci, Kunming Inst Bot, State Key Lab Phytochem &amp; Plant Resources West Chi, Kunming 650201, Peoples R China.</t>
  </si>
  <si>
    <t>General Program of Applied Basic Research of Yunnan Province [2020FB28]; State Key Laboratory of Phytochemistry and Plant Resources in West China [P2017-KF07, P2018-KF14]; Anhui University Scientific Research Project [KJ2020A0608]</t>
  </si>
  <si>
    <t>General Program of Applied Basic Research of Yunnan Province; State Key Laboratory of Phytochemistry and Plant Resources in West China; Anhui University Scientific Research Project</t>
  </si>
  <si>
    <t>This project was financially supported by the General Program of Applied Basic Research of Yunnan Province (Grant No: 2020FB28) , the State Key Laboratory of Phytochemistry and Plant Resources in West China (Grant No: P2017-KF07, P2018-KF14) , and Anhui University Scientific Research Project (KJ2020A0608) . We appreciate for help of research group of Yi Liu (Sichuan University of Science &amp; Engineering) and Yan Li (Yunnan University) .</t>
  </si>
  <si>
    <t>ELSEVIER SCIENCE INC</t>
  </si>
  <si>
    <t>STE 800, 230 PARK AVE, NEW YORK, NY 10169 USA</t>
  </si>
  <si>
    <t>1093-3263</t>
  </si>
  <si>
    <t>1873-4243</t>
  </si>
  <si>
    <t>J MOL GRAPH MODEL</t>
  </si>
  <si>
    <t>J. Mol. Graph.</t>
  </si>
  <si>
    <t>10.1016/j.jmgm.2022.108325</t>
  </si>
  <si>
    <t>Biochemical Research Methods; Biochemistry &amp; Molecular Biology; Computer Science, Interdisciplinary Applications; Crystallography; Mathematical &amp; Computational Biology</t>
  </si>
  <si>
    <t>Biochemistry &amp; Molecular Biology; Computer Science; Crystallography; Mathematical &amp; Computational Biology</t>
  </si>
  <si>
    <t>5S1PQ</t>
  </si>
  <si>
    <t>WOS:000874971400001</t>
  </si>
  <si>
    <t>Wen, J; Liu, YY; Yang, SD; Yang, YP; Wang, CT</t>
  </si>
  <si>
    <t>Wen, Jing; Liu, Yuanyuan; Yang, Shuda; Yang, Yongping; Wang, Chuntao</t>
  </si>
  <si>
    <t>Genome-Wide Characterization of Laccase Gene Family from Turnip and Chinese Cabbage and the Role in Xylem Lignification in Hypocotyls</t>
  </si>
  <si>
    <t>HORTICULTURAE</t>
  </si>
  <si>
    <t>taproot; laccase; xylem; lignification; turnip</t>
  </si>
  <si>
    <t>CELL-WALL; LIGNIN POLYMERIZATION; EXPRESSION; TOLERANCE; STRESS</t>
  </si>
  <si>
    <t>The turnip and the Chinese cabbage belong to the Brassica rapa subspecies, yet they have evolved marked differences in morphology. The turnip has a distinct swelled taproot, while the Chinese cabbage has a big leafy head. The turnip's taproot is developed mainly by the hypocotyl. To explore the taproot formation, we firstly compared the vascular structure of the hypocotyl during the early developmental stages of the turnip and the Chinese cabbage, finding that there were observable differences in the number of xylem cells and the cell-wall lignification in the hypocotyl vascular tissues after the transition from primary to secondary growth. Laccases (LAC) play an important role in lignification by polymerizing monolignols in the cell wall, however, it is not clear whether differences in the lignification levels in the hypocotyl xylem cell walls are related to the genetic variations of the LAC gene family, between the turnip and the Chinese cabbage. Therefore, we systematically characterized the LAC genes from the turnip and the Chinese cabbage, and 27 LAC genes were identified in each. These LAC genes can be divided into six groups, and each LAC in the turnip is closely adjacent to that in the Chinese cabbage. Gene structure, conserved motif, and chromosomal localization were highly conserved between the turnip and the Chinese cabbage. We also compared the expression pattern of the laccases in the different tissues and hypocotyl's early development stage, and the results clearly showed the different profiles between the turnip and the Chinese cabbage. Following a comprehensive analysis of these results, we predicted that LAC17.1 and LAC17.3 are two candidate genes that participate in the regulation of lignin synthesis during taproot formation. Our results provide a valuable clue for uncovering the regulation mechanism of the lower lignification level in the turnip's hypocotyl and fundamental information for further studies of the LAC gene family in Brassica rapa.</t>
  </si>
  <si>
    <t>Wen, Jing</t>
  </si>
  <si>
    <t>[Wen, Jing; Liu, Yuanyuan; Yang, Yongping; Wang, Chuntao] Chinese Acad Sci, Kunming Inst Bot, Key Lab Plant Divers &amp; Biogeog East Asia, Kunming 650201, Yunnan, Peoples R China; [Wen, Jing; Liu, Yuanyuan; Yang, Yongping; Wang, Chuntao] Chinese Acad Sci, Plant Germplasm &amp; Genom Ctr, Kunming Inst Bot, Germplasm Bank Wild Species, Kunming 650201, Yunnan, Peoples R China; [Wen, Jing; Liu, Yuanyuan] Univ Chinese Acad Sci, Beijing 100049, Peoples R China; [Yang, Shuda] Kunming Med Univ, Sch Pharmaceut Sci, Yunnan Key Lab Pharmacol Nat Prod, Kunming 650500, Yunnan, Peoples R China; [Wang, Chuntao] Yuxi Normal Univ, Coll Chem Biol &amp; Environm, Yuxi 653100, Peoples R China</t>
  </si>
  <si>
    <t>Chinese Academy of Sciences; Kunming Institute of Botany, CAS; Chinese Academy of Sciences; Kunming Institute of Botany, CAS; Chinese Academy of Sciences; University of Chinese Academy of Sciences, CAS; Kunming Medical University; Yuxi Normal University</t>
  </si>
  <si>
    <t>Yang, YP; Wang, CT (通讯作者)，Chinese Acad Sci, Kunming Inst Bot, Key Lab Plant Divers &amp; Biogeog East Asia, Kunming 650201, Yunnan, Peoples R China.;Yang, YP; Wang, CT (通讯作者)，Chinese Acad Sci, Plant Germplasm &amp; Genom Ctr, Kunming Inst Bot, Germplasm Bank Wild Species, Kunming 650201, Yunnan, Peoples R China.;Wang, CT (通讯作者)，Yuxi Normal Univ, Coll Chem Biol &amp; Environm, Yuxi 653100, Peoples R China.</t>
  </si>
  <si>
    <t>wenjing@mail.kib.ac.cn; liuyuanyuan@mail.kib.ac.cn; yangshuda@kmmu.edu.cn; yangyp@mail.kib.ac.cn; wangchuntao@mail.kib.ac.cn</t>
  </si>
  <si>
    <t>jing, wen/0000-0002-2002-243X; yang, yong ping/0000-0002-0327-2664</t>
  </si>
  <si>
    <t>National Natural Science Foundation of China [31590823]; 13th Five-Year Informatization Plan of the Chinese Academy of Sciences [XXH13506]; Yunnan Provincial Science and Technology Department-Kunming Medical University Joint Project [202001AY070001-018]; Key Program for Basic Research of Yunnan Province [2018FA052]</t>
  </si>
  <si>
    <t>National Natural Science Foundation of China(National Natural Science Foundation of China (NSFC)); 13th Five-Year Informatization Plan of the Chinese Academy of Sciences; Yunnan Provincial Science and Technology Department-Kunming Medical University Joint Project; Key Program for Basic Research of Yunnan Province</t>
  </si>
  <si>
    <t>This study was supported by a major program of the National Natural Science Foundation of China (No. 31590823), the 13th Five-Year Informatization Plan of the Chinese Academy of Sciences (No. XXH13506), the Yunnan Provincial Science and Technology Department-Kunming Medical University Joint Project (No. 202001AY070001-018), and the Key Program for Basic Research of Yunnan Province (2018FA052).</t>
  </si>
  <si>
    <t>2311-7524</t>
  </si>
  <si>
    <t>Horticulturae</t>
  </si>
  <si>
    <t>10.3390/horticulturae8060522</t>
  </si>
  <si>
    <t>2M3JA</t>
  </si>
  <si>
    <t>WOS:000817598900001</t>
  </si>
  <si>
    <t>Rana, HK; Rana, SK; Luo, D; Sun, H</t>
  </si>
  <si>
    <t>Rana, Hum Kala; Rana, Santosh Kumar; Luo, Dong; Sun, Hang</t>
  </si>
  <si>
    <t>Existence of biogeographic barriers for the long-term Neogene-Quaternary divergence and differentiation of Koenigia forrestii in the Himalaya-Hengduan Mountains</t>
  </si>
  <si>
    <t>BOTANICAL JOURNAL OF THE LINNEAN SOCIETY</t>
  </si>
  <si>
    <t>demography; environmental heterogeneity; molecular dating; niche dynamics; Tsangpo-Brahmaputra Grand Canyon</t>
  </si>
  <si>
    <t>QINGHAI-TIBETAN PLATEAU; MEKONG-SALWEEN DIVIDE; POPULATION-GROWTH; EASTERN HIMALAYA; PLANT DIVERSITY; EVOLUTION; PHYLOGEOGRAPHY; DIVERSIFICATION; UPLIFT; CONSERVATION</t>
  </si>
  <si>
    <t>The prolonged interplay between orographic and climatic changes creates biogeographic barriers, resulting in the allopatric differentiation of plants in the Himalaya-Hengduan Mountains. Such consequences have led us to investigate the long-term Neogene-Quaternary geo-climatic history of the Eastern Himalaya-Hengduan Mountains. Narrowly distributed populations of Koenigia forrestii were sampled (ten populations, 97 individuals) and analysed for their genetic architecture, including phylogenetic reconstruction (based on plastome and plastid DNA/nuclear regions), molecular dating and demography, in combination with niche dynamics. We estimated that K. forrestii (stem age: 11.39 Mya) diverged into three non-overlapping distributed lineages during the Neogene-Quaternary periods (5.84-2.57 Mya), with Eastern Himalaya (EHa) being the first and most diverse lineage. 'Isolation by environment' revealed the existence of genetic structures that were significantly affected by the disparate environment. The presence of demographic events is well supported by the Bayesian skyline plot, indicating recent demographic expansion. Hence, lineage divergence and differentiation were mainly triggered by the heterogeneous environment associated with the biogeographic barriers due to the Tsangpo-Brahmaputra Grand Canyon, Mekong-Salween Divide and local mountain systems. Nevertheless, niche shift and local adaptation are the keys to determining the genetic architecture, demographic dynamics and diversification history of K. forrestii.</t>
  </si>
  <si>
    <t>Rana, Hum Kala</t>
  </si>
  <si>
    <t>[Rana, Hum Kala; Rana, Santosh Kumar; Luo, Dong; Sun, Hang] Chinese Acad Sci, Key Lab Plant Divers &amp; Biogeog East Asia, Kunming Inst Bot, 132 Lanhei Rd, Kunming 650201, Peoples R China; [Rana, Hum Kala] Univ Chinese Acad Sci, Beijing 100049, Peoples R China</t>
  </si>
  <si>
    <t>Luo, D; Sun, H (通讯作者)，Chinese Acad Sci, Key Lab Plant Divers &amp; Biogeog East Asia, Kunming Inst Bot, 132 Lanhei Rd, Kunming 650201, Peoples R China.</t>
  </si>
  <si>
    <t>luodong@mail.kib.ac.cn; sunhang@mail.kib.ac.cn</t>
  </si>
  <si>
    <t>NSFC-Yunnan joint fund [U1802232]; Second Tibetan Plateau Scientific Expedition and Research (STEP) Program [2019QZKK0502]; Strategic Priority Research Program of the Chinese Academy of Sciences [XDA20050203]; National Natural Science Foundation of China [32070232]</t>
  </si>
  <si>
    <t>NSFC-Yunnan joint fund; Second Tibetan Plateau Scientific Expedition and Research (STEP) Program; Strategic Priority Research Program of the Chinese Academy of Sciences(Chinese Academy of Sciences); National Natural Science Foundation of China(National Natural Science Foundation of China (NSFC))</t>
  </si>
  <si>
    <t>The authors thank Dr Bo Xu, Mr Junwei Wang, Dr Bo Li and Dr Jianwen Zhang for collection of material and Miss Minshu Song for her help with the molecular work. This study was supported by the NSFC-Yunnan joint fund to support key projects (U1802232), the Second Tibetan Plateau Scientific Expedition and Research (STEP) Program (2019QZKK0502), the Strategic Priority Research Program of the Chinese Academy of Sciences (XDA20050203) and the National Natural Science Foundation of China (32070232).</t>
  </si>
  <si>
    <t>0024-4074</t>
  </si>
  <si>
    <t>1095-8339</t>
  </si>
  <si>
    <t>BOT J LINN SOC</t>
  </si>
  <si>
    <t>Bot. J. Linnean Soc.</t>
  </si>
  <si>
    <t>10.1093/botlinnean/boac045</t>
  </si>
  <si>
    <t>6U1OV</t>
  </si>
  <si>
    <t>WOS:000894140400001</t>
  </si>
  <si>
    <t>Zhao, F; Liu, B; Liu, S; Min, DZ; Zhang, T; Cai, J; Zhou, XX; Chen, B; Olmstead, RG; Xiang, CL; Li, B</t>
  </si>
  <si>
    <t>Zhao, Fei; Liu, Bing; Liu, Su; Min, Dao-Zhang; Zhang, Ting; Cai, Jie; Zhou, Xin-Xin; Chen, Bin; Olmstead, Richard G.; Xiang, Chun-Lei; Li, Bo</t>
  </si>
  <si>
    <t>Disentangling a 40-year-old taxonomic puzzle: the phylogenetic position of Mimulicalyx (Lamiales)</t>
  </si>
  <si>
    <t>Lamiales; molecular systematics; Phrymaceae; plastomes; Scrophulariaceae</t>
  </si>
  <si>
    <t>FAMILIAL PLACEMENT; FORMERLY SCROPHULARIACEAE; MOLECULAR SYSTEMATICS; CHLOROPLAST NDHF; RBCL; EVOLUTION; REHMANNIA; SEQUENCES; PATTERNS; MIMULUS</t>
  </si>
  <si>
    <t>With the disintegration of the traditionally circumscribed Scrophulariaceae, the phylogenetic placements of most genera formerly placed in that family have been resolved. However, the familial placement of the monotypic genus Mimulicalyx has not been included in any published molecular phylogenetic study. Here, we adopt a two-step approach to resolve the phylogenetic placement of Mimulicalyx using three datasets: (1) a 71 619 bp plastome alignment of Lamiales; (2) a dataset of six plastid DNA regions (atpB, matK, ndhF, rbcL, rps16 and trnL-trnF) for Phrymaceae; and (3) a dataset of the nuclear ribosomal internal and external transcribed spacer regions (nrITS, ETS) for Phrymaceae. Our analyses reveal that Mimulicalyx is a member of the tribe Mimuleae in Phrymaceae. Generic level phylogenetic relationships within Phrymaceae are further discussed, and a dichotomous key to the 15 genera currently recognized is provided.</t>
  </si>
  <si>
    <t>Zhao, Fei</t>
  </si>
  <si>
    <t>[Zhao, Fei; Zhang, Ting; Cai, Jie; Xiang, Chun-Lei] Chinese Acad Sci, Kunming Inst Bot, CAS Key Lab Plant Divers &amp; Biogeog East Asia, Kunming 650201, Yunnan, Peoples R China; [Liu, Bing] Chinese Acad Sci, Inst Bot, State Key Lab Systemat &amp; Evolutionary Bot, Beijing 100093, Peoples R China; [Liu, Su; Chen, Bin] Shanghai Chenshan Bot Garden, Shanghai 201602, Peoples R China; [Min, Dao-Zhang; Li, Bo] Jiangxi Agr Univ, Coll Agron, Res Ctr Ecol Sci, Nanchang 330045, Jiangxi, Peoples R China; [Zhou, Xin-Xin] Chinese Acad Sci, South China Bot Garden, Guangzhou 510650, Guangdong, Peoples R China; [Olmstead, Richard G.] Univ Washington, Dept Biol, Seattle, WA 98195 USA; [Olmstead, Richard G.] Univ Washington, Burke Museum, Seattle, WA 98195 USA; [Li, Bo] Chinese Acad Sci, Xinjiang Inst Ecol &amp; Geog, State Key Lab Desert &amp; Oasis Ecol, Urumqi 830011, Xinjiang, Peoples R China</t>
  </si>
  <si>
    <t>Chinese Academy of Sciences; Kunming Institute of Botany, CAS; Chinese Academy of Sciences; Institute of Botany, CAS; Chinese Academy of Sciences; Jiangxi Agricultural University; Chinese Academy of Sciences; South China Botanical Garden, CAS; University of Washington; University of Washington Seattle; University of Washington; University of Washington Seattle; Chinese Academy of Sciences; Xinjiang Institute of Ecology &amp; Geography, CAS</t>
  </si>
  <si>
    <t>Xiang, CL (通讯作者)，Chinese Acad Sci, Kunming Inst Bot, CAS Key Lab Plant Divers &amp; Biogeog East Asia, Kunming 650201, Yunnan, Peoples R China.;Li, B (通讯作者)，Jiangxi Agr Univ, Coll Agron, Res Ctr Ecol Sci, Nanchang 330045, Jiangxi, Peoples R China.;Li, B (通讯作者)，Chinese Acad Sci, Xinjiang Inst Ecol &amp; Geog, State Key Lab Desert &amp; Oasis Ecol, Urumqi 830011, Xinjiang, Peoples R China.</t>
  </si>
  <si>
    <t>xiangchunlei@mail.kib.ac.cn; hanbolijx@163.com</t>
  </si>
  <si>
    <t>National Natural Science Foundation of China [31900181]; Jiangxi Agricultural University; CAS International Research and Education Development Program [SAJC202101]; Special Fund for Scientific Research of Shanghai Landscaping &amp; City Appearance Administrative Bureau [G222401]; Chinese Academy of Sciences (CAS) 'Light of West China' programme; Chinese Academy of Sciences (CAS) 'Yunnan Fundamental Research Projects' [2019FI009]; Chinese Academy of Sciences (CAS) 'Ten Thousand Talents Program of Yunnan' [YNWR-QNBJ-2018-279]</t>
  </si>
  <si>
    <t>National Natural Science Foundation of China(National Natural Science Foundation of China (NSFC)); Jiangxi Agricultural University; CAS International Research and Education Development Program; Special Fund for Scientific Research of Shanghai Landscaping &amp; City Appearance Administrative Bureau; Chinese Academy of Sciences (CAS) 'Light of West China' programme; Chinese Academy of Sciences (CAS) 'Yunnan Fundamental Research Projects'; Chinese Academy of Sciences (CAS) 'Ten Thousand Talents Program of Yunnan'</t>
  </si>
  <si>
    <t>This study was jointly supported by the Chinese Academy of Sciences (CAS) ` Light of West China' programme, ` Yunnan Fundamental Research Projects' (grant no. 2019FI009) and ` Ten Thousand Talents Program of Yunnan' (grant no. YNWR-QNBJ-2018-279) granted to C.-L.X., and the National Natural Science Foundation of China (31900181) and Key Disciplines construction) of Ecology in the 13th Five-Year Plan of Jiangxi Agricultural University granted to B.L. Funding from the CAS International Research and Education Development Program (SAJC202101) was awarded to B.L., and from the Special Fund for Scientific Research of Shanghai Landscaping &amp; City Appearance Administrative Bureau (G222401) to S.</t>
  </si>
  <si>
    <t>10.1093/botlinnean/boac033</t>
  </si>
  <si>
    <t>4Q1WP</t>
  </si>
  <si>
    <t>WOS:000855876800001</t>
  </si>
  <si>
    <t>Liu, ZF; Ma, H; Zhang, XY; Ci, XQ; Li, L; Hu, JL; Zhang, CY; Xiao, JH; Li, HW; Conran, JG; Twyford, AD; Hollingsworth, PM; Li, J</t>
  </si>
  <si>
    <t>Liu, Zhi-Fang; Ma, Hui; Zhang, Xiao-Yan; Ci, Xiu-Qin; Li, Lang; Hu, Jian-Lin; Zhang, Can-Yu; Xiao, Jian-Hua; Li, His-Wen; Conran, John G.; Twyford, Alex D.; Hollingsworth, Peter M.; Li, Jie</t>
  </si>
  <si>
    <t>Do taxon-specific DNA barcodes improve species discrimination relative to universal barcodes in Lauraceae?</t>
  </si>
  <si>
    <t>DNA barcoding; ITS; phylogenetics; plastid DNA; specific barcode design</t>
  </si>
  <si>
    <t>CHLOROPLAST GENOME; LAND PLANTS; GENE; WOOD; PHYLOGENY; FAGACEAE; FAILURE</t>
  </si>
  <si>
    <t>The aim of DNA barcoding is to enable fast and accurate species identification. However, universal plant DNA barcodes often do not provide species-level discrimination, especially in taxonomically complex groups. Here we use Lauraceae for the design and evaluation of DNA barcoding strategies, considering: (1) the efficacy of taxon-specific DNA barcode regions compared with universal barcodes for species discrimination; and (2) how the extent of intra- and interspecific sampling affects species discrimination rates. To address these areas, we targeted the highly polymorphic, taxon-specific barcode regions ycf1 + ndhH-rps15 + trnL-ycf2 for Lauraceae and compared them against the suite of standard plastid loci used for DNA barcoding (rbcL + matK + trnH-psbA) and the standard nuclear barcode ITS. The highest discrimination success came from nrDNA ITS, whereas the plastid regions (rbcL + matK + trnH-psbA) and the taxon-specific regions (ycf1 + ndhH-rps15 + trnL-ycf2) showed limited and inconsistent resolution. These results highlight that taxon-specific plastid barcodes may provide limited gains in discriminatory power in complex, closely related groups like Lauraceae. Moreover, our study showed that species discrimination greatly depends on the taxon sampling scheme, with relatively lower species discrimination observed where there is more comprehensive intra- and interspecific sampling. The outstanding challenge for plant DNA barcoding is the development of assays that allow routine low-cost access to large numbers of nuclear markers to facilitate the sequencing of large numbers of individuals.</t>
  </si>
  <si>
    <t>Liu, Zhi-Fang</t>
  </si>
  <si>
    <t>[Liu, Zhi-Fang] Shandong Univ, Cheeloo Coll Med, Sch Pharmaceut Sci, Key Lab Chem Biol,Minist Educ, Jinan 250012, Peoples R China; [Liu, Zhi-Fang; Ma, Hui; Zhang, Xiao-Yan; Ci, Xiu-Qin; Li, Lang; Hu, Jian-Lin; Zhang, Can-Yu; Xiao, Jian-Hua; Li, Jie] Chinese Acad Sci, Xishuangbanna Trop Bot Garden, Ctr Integrat Conservat, Plant Phylogenet &amp; Conservat Grp, Kunming 650223, Yunnan, Peoples R China; [Zhang, Xiao-Yan; Hu, Jian-Lin; Zhang, Can-Yu; Xiao, Jian-Hua] Univ Chinese Acad Sci, Beijing 100049, Peoples R China; [Ci, Xiu-Qin; Li, Lang; Li, Jie] Chinese Acad Sci, Ctr Conservat Biol, Core Bot Gardens, Mengla 666303, Peoples R China; [Li, His-Wen] Chinese Acad Sci, Kunming Inst Bot, Herbarium KUN, Kunming 650201, Yunnan, Peoples R China; [Conran, John G.] Univ Adelaide, Sch Biol Sci, Australian Ctr Evolutionary Biol &amp; Biodivers, Adelaide, SA 5005, Australia; [Conran, John G.] Univ Adelaide, Sch Biol Sci, Sprigg Geobiol Ctr, Adelaide, SA 5005, Australia; [Twyford, Alex D.] Univ Edinburgh, Inst Evolutionary Biol, Ashworth Labs, Edinburgh EH9 3FL, Midlothian, Scotland; [Liu, Zhi-Fang; Twyford, Alex D.; Hollingsworth, Peter M.] Royal Bot Garden Edinburgh, Genet &amp; Conservat Sect, Edinburgh EH3 5LR, Midlothian, Scotland</t>
  </si>
  <si>
    <t>Shandong University; Chinese Academy of Sciences; Xishuangbanna Tropical Botanical Garden, CAS; Chinese Academy of Sciences; University of Chinese Academy of Sciences, CAS; Chinese Academy of Sciences; Chinese Academy of Sciences; Kunming Institute of Botany, CAS; University of Adelaide; University of Adelaide; University of Edinburgh</t>
  </si>
  <si>
    <t>Li, J (通讯作者)，Chinese Acad Sci, Xishuangbanna Trop Bot Garden, Ctr Integrat Conservat, Plant Phylogenet &amp; Conservat Grp, Kunming 650223, Yunnan, Peoples R China.;Li, J (通讯作者)，Chinese Acad Sci, Ctr Conservat Biol, Core Bot Gardens, Mengla 666303, Peoples R China.;Twyford, AD (通讯作者)，Univ Edinburgh, Inst Evolutionary Biol, Ashworth Labs, Edinburgh EH9 3FL, Midlothian, Scotland.;Twyford, AD; Hollingsworth, PM (通讯作者)，Royal Bot Garden Edinburgh, Genet &amp; Conservat Sect, Edinburgh EH3 5LR, Midlothian, Scotland.</t>
  </si>
  <si>
    <t>alex.twyford@ed.ac.uk; PHollingsworth@rbge.org.uk; jieli@xtbg.ac.cn</t>
  </si>
  <si>
    <t>Liu, Zhifang/0000-0002-4009-7906; zhang, xiaoyan/0000-0002-6836-5343</t>
  </si>
  <si>
    <t>National Natural Science Foundation of China [31370245, 31770569, 31970222]; Biodiversity Conservation Program of the Chinese Academy of Sciences [ZSSD-013]; Science and Technology Basic Resources Investigation Program of China: Survey and Germplasm Conservation of plant Species with Extremely small populations in south-west China [2017YF100100]; Chinese Academy of Sciences [2017XTBG-T03]</t>
  </si>
  <si>
    <t>National Natural Science Foundation of China(National Natural Science Foundation of China (NSFC)); Biodiversity Conservation Program of the Chinese Academy of Sciences; Science and Technology Basic Resources Investigation Program of China: Survey and Germplasm Conservation of plant Species with Extremely small populations in south-west China; Chinese Academy of Sciences(Chinese Academy of Sciences)</t>
  </si>
  <si>
    <t>This study was supported by the National Natural Science Foundation of China (31370245, 31770569, 31970222), the Biodiversity Conservation Program of the Chinese Academy of Sciences (ZSSD-013), the Science and Technology Basic Resources Investigation Program of China: Survey and Germplasm Conservation of plant Species with Extremely small populations in south-west China (2017YF100100) and the 135 programs of the Chinese Academy of Sciences (2017XTBG-T03).</t>
  </si>
  <si>
    <t>JUL 19</t>
  </si>
  <si>
    <t>10.1093/botlinnean/boab089</t>
  </si>
  <si>
    <t>3A4TP</t>
  </si>
  <si>
    <t>WOS:000827254500001</t>
  </si>
  <si>
    <t>Rose, JP; Xiang, CL; Sytsma, KJ; Drew, BT</t>
  </si>
  <si>
    <t>Rose, Jeffrey P.; Xiang, Chun-Lei; Sytsma, Kenneth J.; Drew, Bryan T.</t>
  </si>
  <si>
    <t>A timeframe for mint evolution: towards a better understanding of trait evolution and historical biogeography in Lamiaceae</t>
  </si>
  <si>
    <t>Eocene; habit; K-Pg; Lamiales; nutlets; Salvia; stamen number</t>
  </si>
  <si>
    <t>STAMINAL LEVER MECHANISM; SALVIA L. LAMIACEAE; CHARACTER EVOLUTION; PHYLOGENETIC-RELATIONSHIPS; MOLECULAR PHYLOGENY; FOSSIL RECORD; CLERODENDRUM LAMIACEAE; STACHYDEAE LAMIACEAE; DIVERGENCE TIMES; RAPID RADIATION</t>
  </si>
  <si>
    <t>Lamiaceae are one of the largest and most economically important families of flowering plants. Despite focused study on relationships within subclades, higher-level relationships have been under-studied. Moreover, the herbaceous habit of much of the family has resulted in a poor fossil record and has hampered estimates of divergence times. Using a new dataset of five plastid loci from 178 members of Lamiaceae representing all subfamilies and nearly all tribes, we clarify major infrafamilial relationships and present a robust set of divergence times. We use this phylogenetic hypothesis as a platform to test previous hypotheses regarding the historical biogeography and evolution of major traits in the family. We confirm the placement of subfamily Nepetoideae, show continued uncertainty in the placement of subfamilies Ajugoideae and Premnoideae and highlight extreme discordance with recent results from nuclear data. Lamiaceae originated during the Late Cretaceous as woody plants with nutlet fruits and four stamens, probably in South-East Asia. Most subfamilies diverged during the Eocene, perhaps facilitated by climatic cooling. Our results provide a valuable set of secondary dates for Lamiaceae and highlight the need for focused study of subfamilies Callicarpoideae and Viticoideae. Our results also provide several hypotheses regarding trait or range-dependent diversification.</t>
  </si>
  <si>
    <t>Rose, Jeffrey P.</t>
  </si>
  <si>
    <t>[Rose, Jeffrey P.; Drew, Bryan T.] Univ Nebraska, Dept Biol, Kearney, NE 68849 USA; [Xiang, Chun-Lei] Chinese Acad Sci, Kunming Inst Bot, CAS Key Lab Plant Divers &amp; Biogeog East Asia, Kunming 650201, Yunnan, Peoples R China; [Sytsma, Kenneth J.] Univ Wisconsin, Dept Bot, Madison, WI 53706 USA</t>
  </si>
  <si>
    <t>University of Nebraska System; Chinese Academy of Sciences; Kunming Institute of Botany, CAS; University of Wisconsin System; University of Wisconsin Madison</t>
  </si>
  <si>
    <t>Rose, JP; Drew, BT (通讯作者)，Univ Nebraska, Dept Biol, Kearney, NE 68849 USA.</t>
  </si>
  <si>
    <t>rosej@unk.edu; bdrewfb@yahoo.com</t>
  </si>
  <si>
    <t>Rose, Jeffrey/0000-0001-5598-7584</t>
  </si>
  <si>
    <t>University of Wisconsin Botany Department Hofmeister Endowment; NSF-DOB grant [DOB-1046355]; NSF-DEB collaborative grant [DEB-1655606, DEB-1655611]; Yunnan Fundamental Research Project Grant [2019FI009]</t>
  </si>
  <si>
    <t>University of Wisconsin Botany Department Hofmeister Endowment; NSF-DOB grant; NSF-DEB collaborative grant; Yunnan Fundamental Research Project Grant</t>
  </si>
  <si>
    <t>The authors thank Holly Forbes from the UC-Berkeley Botanical Gardens and Cindy Newlander and Mike Kintgen from the Denver Botanical Gardens for granting permission and helping us to collect specimens. We also thank Jay Walker and N. Ivalu Cacho for help collecting specimens. This paper was funded in part by the University of Wisconsin Botany Department Hofmeister Endowment, an NSF-DOB grant to Sytsma (DOB-1046355), an NSF-DEB collaborative grant to Sytsma and Drew (DEB-1655606 and DEB-1655611) and a Yunnan Fundamental Research Project Grant to Xiang (2019FI009).</t>
  </si>
  <si>
    <t>AUG 19</t>
  </si>
  <si>
    <t>10.1093/botlinnean/boab104</t>
  </si>
  <si>
    <t>3V8VS</t>
  </si>
  <si>
    <t>WOS:000783082600001</t>
  </si>
  <si>
    <t>Liu, CQ; Niu, Y; Lu, QBA; Chen, Z; Cai, B; Fang, Y; Gao, YD</t>
  </si>
  <si>
    <t>Liu, Chang-Qiu; Niu, Yang; Lu, Qing-Biao; Chen, Zhe; Cai, Bo; Fang, Ye; Gao, Yun-Dong</t>
  </si>
  <si>
    <t>Papilio butterfly vs. hawkmoth pollination explains floral syndrome dichotomy in a clade of Lilium</t>
  </si>
  <si>
    <t>butterfly; wing pollination; floral colour; pollination syndrome; Sphingidae</t>
  </si>
  <si>
    <t>REPRODUCTIVE-BIOLOGY; LILIACEAE; FLOWER; LONG; MORPHOLOGY; LANDSCAPE; EVOLUTION; NICHE; COLOR</t>
  </si>
  <si>
    <t>Pollination niche shifts can drive remarkable floral divergence between closely related plant species. The Leucolirion clade of Lilium contains species with either tepal-recurved or trumpet-shaped flowers. The tepal-recurved flowers are bright orange and might be pollinated by butterflies and/or birds. The trumpet-shaped flowers are mostly pale and strongly fragrant and might permit visitation by a variety of hawkmoths. Lilium leucanthum has trumpet-shaped flowers, and some populations of this species show dark coloration on the floral outer surface, suggesting pollination by mammals. We identified pollinators and examined the dependence of reproduction on pollinators by floral visitor observations, pollen load analysis and pollination experiments. We also analysed floral traits to contrast the two floral syndromes involving different lepidopteran groups. The tepal-recurved lilies are specialized on a group of Papilio butterflies for pollination with pollen predominantly attached to the hindwings. The trumpet-shaped flowers are almost exclusively pollinated by hawkmoths, including diverse species with proboscises of different lengths. No mammal visitation was found to the populations of L. leucanthum with dark outer surfaces of flowers. Self-incompatibility prevails throughout the clade, including the populations in which pollinators were scarce. The butterfly- and hawkmoth-pollinated species display contrasting floral syndromes. Our findings confirmed that the dichotomy in floral syndrome in the Leucolirion clade is associated with Papilio butterfly vs. hawkmoth pollination, whereas intraspecific variation in colour of the floral outer surface of L. leucanthum many need a non-pollinator explanation.</t>
  </si>
  <si>
    <t>Liu, Chang-Qiu</t>
  </si>
  <si>
    <t>[Liu, Chang-Qiu; Lu, Qing-Biao; Cai, Bo] Guangxi Zhuang Autonomous Reg &amp; Chinese Acad Sci, Guangxi Inst Bot, Guangxi Key Lab Plant Conservat &amp; Restorat Ecol K, Guilin, Peoples R China; [Niu, Yang; Chen, Zhe] Chinese Acad Sci, Kunming Inst Bot, Key Lab Plant Divers &amp; Biogeog East Asia, Kunming 650201, Yunnan, Peoples R China; [Fang, Ye] Shangri La Alpine Bot Garden, Shangri La, Yunnan, Peoples R China; [Gao, Yun-Dong] Chinese Acad Sci, Chengdu Inst Biol, Key Lab Mt Ecol Restorat &amp; Bioresource Utilizat &amp;, Key Lab Sichuan Prov, Chengdu, Sichuan, Peoples R China</t>
  </si>
  <si>
    <t>Chinese Academy of Sciences; Kunming Institute of Botany, CAS; Chinese Academy of Sciences; Chengdu Institute of Biology, CAS</t>
  </si>
  <si>
    <t>Gao, YD (通讯作者)，Chinese Acad Sci, Chengdu Inst Biol, Key Lab Mt Ecol Restorat &amp; Bioresource Utilizat &amp;, Key Lab Sichuan Prov, Chengdu, Sichuan, Peoples R China.</t>
  </si>
  <si>
    <t>gaoyd@cib.ac.cn</t>
  </si>
  <si>
    <t>National Natural Science Foundation of China [31770406, 31971563]; Biological Resources Programme, Chinese Academy of Sciences [KFJ-BRP-017-17]; Youth Innovation Promotion Association, CAS [2018427]; Technology Basic Resources Investigation Program of China [2017FY100100]; Guangxi Key Laboratory Construction Project [19-050-6]</t>
  </si>
  <si>
    <t>National Natural Science Foundation of China(National Natural Science Foundation of China (NSFC)); Biological Resources Programme, Chinese Academy of Sciences; Youth Innovation Promotion Association, CAS; Technology Basic Resources Investigation Program of China; Guangxi Key Laboratory Construction Project</t>
  </si>
  <si>
    <t>We thank Zhuo-Heng Jiang from Shanghai Normal University, Ji-Bai He from the Swhild and Zhen-Bang Xu from Yunnan University for the identification of lepidopterans and provided some samples of hawkmoth proboscis length from their collections. We also thank Shan-Pan Lai from Fuding number 1 Middle School and Wan-De Li from East China Normal University, Yi Yang and Mei-Yan Lei from Medicinal Botanical Garden of Chongqing for telling us the ways to some study sites. This study was supported by grants from the National Natural Science Foundation of China (grant number 31770406 to Y.-D. Gao and 31971563 to C.-Q. Liu), the Biological Resources Programme, Chinese Academy of Sciences (grant number KFJ-BRP-017-17 to Y.-D. Gao), Youth Innovation Promotion Association, CAS (grant number 2018427 to Y. Niu), Technology Basic Resources Investigation Program of China (grant number 2017FY100100) and Guangxi Key Laboratory Construction Project (grant number 19-050-6). The authors declare that the research was conducted in the absence of any commercial or financial relationships that could be construed as a potential conflict of interest.</t>
  </si>
  <si>
    <t>JUN 16</t>
  </si>
  <si>
    <t>10.1093/botlinnean/boab074</t>
  </si>
  <si>
    <t>2D8KL</t>
  </si>
  <si>
    <t>WOS:000756178400001</t>
  </si>
  <si>
    <t>Xu, ZH; Tran, NL; Wang, Y; Zhang, GD; Dao, V; Nguyen, TT; Wang, YB; Yu, H</t>
  </si>
  <si>
    <t>Xu, Zhi-Hong; Tran, Ngoc-Lan; Wang, Yao; Zhang, Guo-Dong; Dao, Van-Minh; Nguyen, Thi-Tra; Wang, Yuan-Bing; Yu, Hong</t>
  </si>
  <si>
    <t>Phylogeny and morphology of Ophiocordyceps puluongensis sp. nov. (Ophiocordycipitaceae, Hypocreales), a new fungal pathogen on termites from Vietnam</t>
  </si>
  <si>
    <t>JOURNAL OF INVERTEBRATE PATHOLOGY</t>
  </si>
  <si>
    <t>Isoptera; New species; Ophiocordyceps; Phylogenetic analyses; Taxonomy</t>
  </si>
  <si>
    <t>HIRSUTELLA-THOMPSONII; ENTOMOPATHOGENIC FUNGI; METARHIZIUM-ANISOPLIAE; CORDYCEPS; COMBINATIONS; DIVERSITY; COMPLEX; TAXA; MITE</t>
  </si>
  <si>
    <t>Termites are serious pests in agriculture and forestry, causing significant economic losses to property and the construction industry. However, only a few entomopathogenic fungi attack termites that are dominant members of most terrestrial biomes. This study contributes to the taxonomic knowledge of entomopathogenic fungi with the description of a new pathogen on termites collected from the Pu Luong Nature Reserve in Vietnam. The new termite pathogen, Ophiocordyceps puluongensis, is introduced on the basis of morphological and multigene phylogenetic evidence. Based on the combined dataset of five genes including the nuclear ribosomal small and large subunits (nrSSU and nrLSU), the elongation factor 1 alpha (tef-1 alpha), and the largest and the second largest subunits of RNA polymerase II (rpb1 and rpb2), phylogenetic analyses were performed by Maximum Likelihood and Bayesian inference methods to determine the phylogenetic position of O. puluongensis. Three samples of O. puluongensis are clustered in the Hirsutella thompsonii subclade of Hirsutella lineages in Ophiocordyceps, and clustered together with O. asiatica to form a separate clade from other Ophiocordyceps species. Morphologically, O. puluongensis differs from O. asiatica by its smaller and shorter perithecia, asci and ascospores, pink to reddishorange stipes of stromata, as well as smaller fusiform or citriform conidia. The distinctiveness of this termite pathogen is strongly supported by both molecular phylogeny and morphology. The entomopathogenic fungus O. puluongensis could have the potential to be used as bioinsecticides to control termites.</t>
  </si>
  <si>
    <t>Xu, Zhi-Hong</t>
  </si>
  <si>
    <t>[Xu, Zhi-Hong; Wang, Yao; Zhang, Guo-Dong; Nguyen, Thi-Tra; Wang, Yuan-Bing; Yu, Hong] Yunnan Univ, Coll Ecol &amp; Environm Sci, Yunnan Herbal Lab, Kunming 650504, Yunnan, Peoples R China; [Xu, Zhi-Hong; Wang, Yao; Zhang, Guo-Dong; Nguyen, Thi-Tra; Wang, Yuan-Bing; Yu, Hong] Yunnan Univ, Int Joint Res Ctr Sustainable Utilizat Cordyceps B, Kunming 650091, Yunnan, Peoples R China; [Xu, Zhi-Hong] Natl Forestry &amp; Grassland Adm, Southwest Survey &amp; Planning Inst, Kunming 650031, Yunnan, Peoples R China; [Tran, Ngoc-Lan; Dao, Van-Minh] Minist Sci &amp; Technol, Inst Reg Res &amp; Dev, Hanoi, Vietnam; [Wang, Yuan-Bing] Chinese Acad Sci, Kunming Inst Bot, Yunnan Key Lab Fungal Divers &amp; Green Dev, Kunming 650201, Yunnan, Peoples R China</t>
  </si>
  <si>
    <t>Wang, YB; Yu, H (通讯作者)，Yunnan Univ, Coll Ecol &amp; Environm Sci, Yunnan Herbal Lab, Kunming 650504, Yunnan, Peoples R China.</t>
  </si>
  <si>
    <t>wangyuanbing@mail.kib.ac.cn; hongyu@ynu.edu.cn</t>
  </si>
  <si>
    <t>National Natural Science Founda-tion of China [31870017, 32060007]; Department of Science and Technology of Yunnan Province [2018FY001, 2018IA075]; Yunnan University?s Research Innovation Fund for Graduate Students [YDY17100]</t>
  </si>
  <si>
    <t>National Natural Science Founda-tion of China(National Natural Science Foundation of China (NSFC)); Department of Science and Technology of Yunnan Province; Yunnan University?s Research Innovation Fund for Graduate Students</t>
  </si>
  <si>
    <t>Acknowledgments This research was funded by the National Natural Science Founda-tion of China (31870017, 32060007) , the Department of Science and Technology of Yunnan Province (2018FY001 (-006) , 2018IA075) , and the Yunnan University?s Research Innovation Fund for Graduate Students (YDY17100) .</t>
  </si>
  <si>
    <t>0022-2011</t>
  </si>
  <si>
    <t>1096-0805</t>
  </si>
  <si>
    <t>J INVERTEBR PATHOL</t>
  </si>
  <si>
    <t>J. Invertebr. Pathol.</t>
  </si>
  <si>
    <t>10.1016/j.jip.2022.107771</t>
  </si>
  <si>
    <t>2J6NX</t>
  </si>
  <si>
    <t>WOS:000815772100005</t>
  </si>
  <si>
    <t>Hu, YL; Chen, Z; Zhao, JJ; Niu, Y; Xu, G</t>
  </si>
  <si>
    <t>Hu, Ya-Li; Chen, Zhe; Zhao, Jian-Jun; Niu, Yang; Xu, Gang</t>
  </si>
  <si>
    <t>Visual function of red staminal filaments in a bee-pollinated plant</t>
  </si>
  <si>
    <t>PLANT ECOLOGY &amp; DIVERSITY</t>
  </si>
  <si>
    <t>Bee colour vision; contrast colour pattern; floral colour evolution; flower-pollinator interaction; Hypericum ascyron</t>
  </si>
  <si>
    <t>REPRODUCTIVE CHARACTER DISPLACEMENT; FLORAL COLOR-CHANGE; FLOWERS; CONSTRAINTS; EVOLUTION; BUMBLEBEES; INSECTS</t>
  </si>
  <si>
    <t>Background Floral colour is a primary signal in plant-pollinator interactions. Presumably because bees lack red receptors, bee-pollinated flowers are rarely red. Hypericum (Hypericaceae) is a genus, with yellow flowers and filaments, mainly pollinated by bees. However, one species, H. ascyron exhibits unique red filaments. Aims We tested whether the red filaments influence pollinator visitation frequency and colour perception. Methods We examined whether H. ascyron require pollinators for seed set and compared insect visitation rates of H. ascyron with those of a sympatric yellow-filamented congener. Colour perception by bees was also estimated. Results Pollinator visitation substantially enhanced seed set under natural conditions and flowers of H. ascyron had similar rates of visitation by bees as their yellow-filamented congener. Red filaments per se absorbed ultraviolet light and therefore should not be perceived as a chromatic colour by bees. The chromatic contrasts between filaments and petals as perceived by pollinators was similar between species, whereas achromatic contrasts were higher in H. ascyron. Conclusions Pure-red staminal filaments work as well in attracting potential pollinators as the yellow filaments of congeners. Based on our findings, we suggest that the evolution of red filament colour may have been driven by factors other than pollinator attraction.</t>
  </si>
  <si>
    <t>Hu, Ya-Li</t>
  </si>
  <si>
    <t>[Hu, Ya-Li; Zhao, Jian-Jun; Xu, Gang] Chinese Acad Sci, Kunming Inst Bot, State Key Lab Phytochem &amp; Plant Resources West Ch, Kunming, Yunnan, Peoples R China; [Hu, Ya-Li; Zhao, Jian-Jun; Xu, Gang] Yunnan Key Lab Nat Med Chem, Kunming, Yunnan, Peoples R China; [Hu, Ya-Li; Zhao, Jian-Jun] Univ Chinese Acad Sci, Beijing, Peoples R China; [Chen, Zhe; Niu, Yang] Chinese Acad Sci, Kunming Inst Bot, CAS Key Lab Plant Divers &amp; Biogeog East Asia, Kunming, Yunnan, Peoples R China</t>
  </si>
  <si>
    <t>Xu, G (通讯作者)，Chinese Acad Sci, Kunming Inst Bot, State Key Lab Phytochem &amp; Plant Resources West Ch, Kunming, Yunnan, Peoples R China.;Xu, G (通讯作者)，Yunnan Key Lab Nat Med Chem, Kunming, Yunnan, Peoples R China.;Niu, Y (通讯作者)，Chinese Acad Sci, Kunming Inst Bot, CAS Key Lab Plant Divers &amp; Biogeog East Asia, Kunming, Yunnan, Peoples R China.</t>
  </si>
  <si>
    <t>niuyang@mall.klb.ac.cn; xugang008@mail.kib.ac.cn</t>
  </si>
  <si>
    <t>Plateau Scientific Expedition and Research (STEP) program [2019QZKK0502]; West Light Foundation of The Chinese Academy of Sciences; State Key Laboratory of Phytochemistry and Plant Resources in West China and Yunnan Key Laboratory of Natural Medicinal Chemistry [E0230211Z1]; Yunnan Ten Thousand Talents Plan Young &amp; Elite Talents Project</t>
  </si>
  <si>
    <t>Plateau Scientific Expedition and Research (STEP) program; West Light Foundation of The Chinese Academy of Sciences(Chinese Academy of Sciences); State Key Laboratory of Phytochemistry and Plant Resources in West China and Yunnan Key Laboratory of Natural Medicinal Chemistry; Yunnan Ten Thousand Talents Plan Young &amp; Elite Talents Project</t>
  </si>
  <si>
    <t>The work was financially supported by the Plateau Scientific Expedition and Research (STEP) program (2019QZKK0502), West Light Foundation of The Chinese Academy of Sciences and Yunnan Ten Thousand Talents Plan Young &amp; Elite Talents Project (to Y. Niu) and State Key Laboratory of Phytochemistry and Plant Resources in West China and Yunnan Key Laboratory of Natural Medicinal Chemistry (E0230211Z1).</t>
  </si>
  <si>
    <t>1755-0874</t>
  </si>
  <si>
    <t>1755-1668</t>
  </si>
  <si>
    <t>PLANT ECOL DIVERS</t>
  </si>
  <si>
    <t>Plant Ecol. Divers.</t>
  </si>
  <si>
    <t>10.1080/17550874.2022.2103049</t>
  </si>
  <si>
    <t>6M4NP</t>
  </si>
  <si>
    <t>WOS:000830449500001</t>
  </si>
  <si>
    <t>Singh, GM; Xu, JC; Schaefer, D; Day, R; Wang, ZY; Zhang, F</t>
  </si>
  <si>
    <t>Singh, G. Mahendra; Xu, Jianchu; Schaefer, Douglas; Day, Roger; Wang, Zhenying; Zhang, Feng</t>
  </si>
  <si>
    <t>Maize diversity for fall armyworm resistance in a warming world</t>
  </si>
  <si>
    <t>CROP SCIENCE</t>
  </si>
  <si>
    <t>SPODOPTERA-FRUGIPERDA LEPIDOPTERA; PLANT GENETIC-RESOURCES; QUANTITATIVE TRAIT LOCI; CORN-BORER LEPIDOPTERA; LEAF-FEEDING DAMAGE; GERMPLASM LINES; POPULATION-DYNAMICS; SMITH LEPIDOPTERA; WILD RELATIVES; CLIMATE-CHANGE</t>
  </si>
  <si>
    <t>Currently, maize (Zea mays L.) production is under threat from climate change, drought, and pests such as fall armyworm (FAW) [Spodoptera frugiperda (J.E. Smith) (Lepidoptera: Noctuidae)]. Since its first detection outside of its native range in 2016, FAW has spread into 76 nations across Africa and Asia adversely affecting maize production and, in turn, the livelihoods of millions of smallholder farmers. Thus, there is a strong need for the development of cost-effective and biologically based integrated pest management (IPM) practices including host-plant resistance (HPR). However, most of the commercial maize cultivars have lost some defensive traits through selective breeding for yield during domestication. The majority of the commercially cultivated hybrids and cultivars in Asia and Africa are highly susceptible to FAW. Therefore, this review summarizes information about various maize landraces, native germplasm, and crop wild relatives (CWRs) possessing FAW resistance traits and about their potential resistance mechanisms, namely antibiosis, antixenosis, and tolerance. There is clear evidence of FAW resistance acting through diverse mechanisms in several maize landraces, germplasm lines, native populations, and CWRs such as Antigua race, FAW Tuxpeno, Zapalote Chico 2451F, Doce Flor da Serra, FAWCC (C5), CMS 14C, PopG (C2), MpSWCB-4, Mp708, Mp 704, CML 67, and FAW 7050, as well as a few species of teosinte and Tripsacum L. Further, a scheme that outlines strategies and approaches for prebreeding and their introgression into elite cultivars for developing FAW-resistant maize is proposed as a possible way forward.</t>
  </si>
  <si>
    <t>Singh, G. Mahendra</t>
  </si>
  <si>
    <t>[Singh, G. Mahendra; Wang, Zhenying; Zhang, Feng] Chinese Acad Agr Sci, Inst Plant Protect, MARA CABI Joint Lab Biosafety, Beijing 100193, Peoples R China; [Singh, G. Mahendra; Xu, Jianchu; Schaefer, Douglas] Kunming Inst Bot, Ctr Mt Futures CMF, Kunming 650201, Yunnan, Peoples R China; [Xu, Jianchu] World Agroforestry, East &amp; Cent Asia Reg Off, Kunming 650201, Yunnan, Peoples R China; [Xu, Jianchu; Schaefer, Douglas] Chinese Acad Sci, Kunming Inst Bot, CAS Key Lab Plant Divers &amp; Biogeog East Asia, Kunming 650201, Yunnan, Peoples R China; [Zhang, Feng] Hexi Univ, Coll Agr &amp; Ecol Engn, Zhangye 734000, Gansu, Peoples R China; [Day, Roger] CABI, Canary Bird, 673 Limuru Rd,POB 633-00621, Nairobi, Kenya; [Singh, G. Mahendra] Banaras Hindu Univ, Inst Agr Sci, Dept Genet &amp; Plant Breeding, Varanasi 221005, Uttar Pradesh, India</t>
  </si>
  <si>
    <t>Chinese Academy of Agricultural Sciences; Institute of Plant Protection, CAAS; Chinese Academy of Sciences; Kunming Institute of Botany, CAS; Chinese Academy of Sciences; Kunming Institute of Botany, CAS; Hexi University; Banaras Hindu University (BHU)</t>
  </si>
  <si>
    <t>Zhang, F (通讯作者)，Chinese Acad Agr Sci, Inst Plant Protect, MARA CABI Joint Lab Biosafety, Beijing 100193, Peoples R China.</t>
  </si>
  <si>
    <t>f.zhang@cabi.org</t>
  </si>
  <si>
    <t>Zhang, Feng/AAE-6025-2019</t>
  </si>
  <si>
    <t>Zhang, Feng/0000-0002-7812-6645</t>
  </si>
  <si>
    <t>GSCAAS Scholarship; Central Public-interest Scientific Institution Basal Research Fund [Y2019YJ06]; CAAS Agricultural Science and Technology Innovation Program [CAAS-ASTIP2016-AII]; United Kingdom (Department for International Development); Australia (Australian Centre for International Agricultural Research); Canada (Agriculture and Agri-Food Canada); Netherlands (Directorate-General for International Cooperation); Switzerland (Swiss Agency for Development and Cooperation); China (Chinese Ministry of Agriculture and Rural Affairs)</t>
  </si>
  <si>
    <t>GSCAAS Scholarship; Central Public-interest Scientific Institution Basal Research Fund; CAAS Agricultural Science and Technology Innovation Program; United Kingdom (Department for International Development); Australia (Australian Centre for International Agricultural Research); Canada (Agriculture and Agri-Food Canada); Netherlands (Directorate-General for International Cooperation); Switzerland (Swiss Agency for Development and Cooperation); China (Chinese Ministry of Agriculture and Rural Affairs)</t>
  </si>
  <si>
    <t>We thank Manjit S. Kang (Kansas State University, USA) and two anonymous reviewers for their valuable comments to improve the manuscript. GMS was supported by the GSCAAS Scholarship. The research was financially supported by Central Public-interest Scientific Institution Basal Research Fund (No. Y2019YJ06), the CAAS Agricultural Science and Technology Innovation Program (CAAS-ASTIP2016-AII), and China's donation to CABI Development Fund. CABI is an international intergovernmental organization, and we gratefully acknowledge the core financial support from our member countries (and lead agencies) including the United Kingdom (Department for International Development), China (Chinese Ministry of Agriculture and Rural Affairs), Australia (Australian Centre for International Agricultural Research), Canada (Agriculture and Agri-Food Canada), The Netherlands (Directorate-General for International Cooperation), and Switzerland (Swiss Agency for Development and Cooperation). See http://www.cabi.org/aboutcabi/who-we-work-with/key-donors/for full details.</t>
  </si>
  <si>
    <t>0011-183X</t>
  </si>
  <si>
    <t>1435-0653</t>
  </si>
  <si>
    <t>CROP SCI</t>
  </si>
  <si>
    <t>Crop Sci.</t>
  </si>
  <si>
    <t>10.1002/csc2.20649</t>
  </si>
  <si>
    <t>YH9HY</t>
  </si>
  <si>
    <t>WOS:000720927200001</t>
  </si>
  <si>
    <t>Yan, H; Ni, W; Yu, LL; Xiao, LG; Ji, YH; Liu, HY</t>
  </si>
  <si>
    <t>Yan, Huan; Ni, Wei; Yu, Ling-Ling; Xiao, Long-Gao; Ji, Yun-Heng; Liu, Hai-Yang</t>
  </si>
  <si>
    <t>Parisvaniosides A-E, five new steroidal saponins from Paris vaniotii</t>
  </si>
  <si>
    <t>STEROIDS</t>
  </si>
  <si>
    <t>Melanthiaceae; Parisvaniosides A-E; Spirostanol saponins; Furostanol saponins; Paris vaniotii Levl</t>
  </si>
  <si>
    <t>POLYPHYLLA; GLYCOSIDES; LEAVES; STEMS</t>
  </si>
  <si>
    <t>The species of Paris genus is a prolific source of structurally diverse steroidal saponins responsible for multi various biological properties. The first phytochemical investigation on the steroidal saponin constituents from the rhizomes of Paris vaniotii Levl. led to the discovery and structural characterization of four new spirostanol saponins, named parisvaniosides A-D (1-4), and one new furostanol glycoside, named parisvanioside E (5), along with eleven known analogues (6-16). Their structures were unambiguously established on the basis of extensive spectroscopic analysis and comparison with the reported spectroscopic data. Compound 1 is a rare spirostanol saponin sharing with a C-9/C-11 double bond and a peroxy group located between C-5 and C-8 of the aglycone, whereas 3 and 4 are unusual C-27 steroidal sapoins with hydroxyl/methoxyl at both C-5 and C-6. Furthermore, 5 is the first furostanol saponin with a unique aglycone featuring two trisubstituted double bonds in ring B. All isolated saponins were evaluated for their anti-inflammatory effects on a lipopolysaccharide (LPS)-stimulated nitric oxide (NO) production model in RAW 264.7 macrophages.</t>
  </si>
  <si>
    <t>Yan, Huan</t>
  </si>
  <si>
    <t>[Yan, Huan; Ni, Wei; Yu, Ling-Ling; Xiao, Long-Gao; Liu, Hai-Yang] Chinese Acad Sci, Kunming Inst Bot, State Key Lab Phytochem &amp; Plant Resources West Ch, Kunming 650201, Yunnan, Peoples R China; [Yan, Huan; Ni, Wei; Yu, Ling-Ling; Xiao, Long-Gao; Liu, Hai-Yang] Chinese Acad Sci, Kunming Inst Bot, Yunnan Key Lab Nat Med Chem, Kunming 650201, Yunnan, Peoples R China; [Yu, Ling-Ling; Xiao, Long-Gao] Univ Chinese Acad Sci, Beijing 100049, Peoples R China; [Ji, Yun-Heng] Chinese Acad Sci, Kunming Inst Bot, Key Lab Plant Biodivers &amp; Biogeog East Asia, Kunming 650201, Yunnan, Peoples R China</t>
  </si>
  <si>
    <t>National Natural Science Foundation of China [31770391, U1802287]; Ten Thousand Talents Plan of Yunnan Province for Industrial Technology Leading Talents; Major Biomedical Project of Yunnan Province [2019ZF010]; State Key Laboratory of Phytochemistry and Plant Resources in West China [P2019-ZZ02]; State Key Laboratory of Natural and Biomimetic Drugs [K20180207]; Cross-Cooperative Team of the Germplasm Bank of Wild Species, Kunming Institute of Botany, CAS</t>
  </si>
  <si>
    <t>National Natural Science Foundation of China(National Natural Science Foundation of China (NSFC)); Ten Thousand Talents Plan of Yunnan Province for Industrial Technology Leading Talents; Major Biomedical Project of Yunnan Province; State Key Laboratory of Phytochemistry and Plant Resources in West China; State Key Laboratory of Natural and Biomimetic Drugs; Cross-Cooperative Team of the Germplasm Bank of Wild Species, Kunming Institute of Botany, CAS</t>
  </si>
  <si>
    <t>This work was financially supported by the National Natural Science Foundation of China (31770391 and U1802287), the Ten Thousand Talents Plan of Yunnan Province for Industrial Technology Leading Talents, the Major Biomedical Project of Yunnan Province (2019ZF010), the State Key Laboratory of Phytochemistry and Plant Resources in West China (P2019-ZZ02), and the State Key Laboratory of Natural and Biomimetic Drugs (K20180207), the open research project of Cross-Cooperative Team of the Germplasm Bank of Wild Species, Kunming Institute of Botany, CAS.</t>
  </si>
  <si>
    <t>0039-128X</t>
  </si>
  <si>
    <t>1878-5867</t>
  </si>
  <si>
    <t>Steroids</t>
  </si>
  <si>
    <t>10.1016/j.steroids.2021.108949</t>
  </si>
  <si>
    <t>Biochemistry &amp; Molecular Biology; Endocrinology &amp; Metabolism</t>
  </si>
  <si>
    <t>1B8FW</t>
  </si>
  <si>
    <t>WOS:000792668500003</t>
  </si>
  <si>
    <t>Wang, H; Dong, HY; Liu, YF; Liang, JL; Liu, HS; Zhao, QS; Wei, PH</t>
  </si>
  <si>
    <t>Wang, Hao; Dong, Hao-Yan; Liu, Yan-Fang; Liang, Ji-Lei; Liu, Hui-Sheng; Zhao, Qin-Shi; Wei, Ping-He</t>
  </si>
  <si>
    <t>Iridoid Glycosides and Flavonoids Isolated from the Twigs and Leaves of Callicarpa nudiflora and Their Anti-Inflammatory Activities</t>
  </si>
  <si>
    <t>CHEMISTRY &amp; BIODIVERSITY</t>
  </si>
  <si>
    <t>Callicarpa nudiflora; iridoid; flavonoid; anti-inflammatory activity; NO production</t>
  </si>
  <si>
    <t>A new iridoid glycoside, named 6 '-O-trans-feruloyl-8-epiloganic acid, together with fifteen known compounds were isolated from the twigs and leaves of Callicarpa nudiflora, a traditional Chinese medicine to treat inflammatory-related diseases. Their structures were identified by comprehensive spectroscopic analysis and comparison with reported data. Bioassay results revealed that twelve of the isolates could obviously inhibit nitric oxide (NO) production in lipopolysaccharide (LPS)-induced RAW 264.7 cell lines with IC50 values from 0.64 to 38.72 mu M. Among them, compounds 1 (3.27 mu M), 6 (5.23 mu M), 13 (1.56 mu M) and 14 (0.64 mu M) exhibited significantly higher activities than that of the positive control (27.13 mu M). Additionally, it was supposed that the presence of the carboxy group at the C-4 position of iridoid glycosides and glycosylation at C-3 position of flavonoids might impact their inhibitory activities against NO production.</t>
  </si>
  <si>
    <t>[Wang, Hao; Dong, Hao-Yan; Liang, Ji-Lei; Liu, Hui-Sheng; Wei, Ping-He] Taizhou Univ, Jiangsu Key Lab Chiral Pharmaceut Biosynth, Taizhou 225300, Peoples R China; [Wang, Hao; Liu, Yan-Fang] Ctr Novel Drug Dev Taizhou, Taizhou 225300, Peoples R China; [Zhao, Qin-Shi] Chinese Acad Sci, Kunming Inst Bot, State Key Lab Phytochem &amp; Plant Resources West Ch, Kunming 650201, Yunnan, Peoples R China</t>
  </si>
  <si>
    <t>Taizhou University - Jiangsu; Chinese Academy of Sciences; Kunming Institute of Botany, CAS</t>
  </si>
  <si>
    <t>Wei, PH (通讯作者)，Taizhou Univ, Jiangsu Key Lab Chiral Pharmaceut Biosynth, Taizhou 225300, Peoples R China.</t>
  </si>
  <si>
    <t>phwei2011@126.com</t>
  </si>
  <si>
    <t>Natural Science Foundation of the Jiangsu Higher Education Institutions of China [18KJB350011]; Natural Research Foundation for Advanced Talents of Taizhou university [QD2016010, QD2016044]</t>
  </si>
  <si>
    <t>Natural Science Foundation of the Jiangsu Higher Education Institutions of China(National Natural Science Foundation of China (NSFC)); Natural Research Foundation for Advanced Talents of Taizhou university</t>
  </si>
  <si>
    <t>We thank the Natural Science Foundation of the Jiangsu Higher Education Institutions of China (No. 18KJB350011) and the Natural Research Foundation for Advanced Talents of Taizhou university (No. QD2016010 and QD2016044) for the financial support. We thank Prof.Dr. Jia-Mei Li at Henan Agricultural University for the identification of the plant material.</t>
  </si>
  <si>
    <t>1612-1872</t>
  </si>
  <si>
    <t>1612-1880</t>
  </si>
  <si>
    <t>CHEM BIODIVERS</t>
  </si>
  <si>
    <t>Chem. Biodivers.</t>
  </si>
  <si>
    <t>e202200993</t>
  </si>
  <si>
    <t>10.1002/cbdv.202200993</t>
  </si>
  <si>
    <t>http://dx.doi.org/10.1002/cbdv.202200993</t>
  </si>
  <si>
    <t>8I6QJ</t>
  </si>
  <si>
    <t>WOS:000921856200052</t>
  </si>
  <si>
    <t>Balogun, SO; Damazo, AS; Pavan, E; Figueiredo, FD; Arunachalam, K; Mesquita, LDM; Vilegas, W; Martins, DTD</t>
  </si>
  <si>
    <t>Olaitan Balogun, Sikiru; Sabino Damazo, Amilcar; Pavan, Eduarda; de Freitas Figueiredo, Fabiana; Arunachalam, Karuppusamy; de Souza Mesquita, Leonardo M.; Vilegas, Wagner; Tabajara de Oliveira Martins, Domingos</t>
  </si>
  <si>
    <t>Evidence for the Involvement of Cytokines Modulation and Prokinetic Properties in Gastric Ulcer Healing Effects of Helicteres sacarolha A. St.-Hil. A. Juss.</t>
  </si>
  <si>
    <t>chronic gastric ulcer; intestinal transit; gastric emptying; medicinal plant; biological activity; phytochemistry</t>
  </si>
  <si>
    <t>DIABETIC-RATS; INHIBITION; MOTILITY; LIGNANS; TRANSIT; HEALTH; MODEL; PLANT</t>
  </si>
  <si>
    <t>Preparations of Helicteres sacarolha (Malvaceae) leaves and roots are used in the form of decoction, infusion or maceration, to treat gastrointestinal disturbances, among others. Studies supporting some of its ethnomedicinal uses are still incipient. The present study aimed to investigate it potential effect on chronic ulcer, ulcerative colitis and possible prokinetic activities as part of its mechanism of action. The powdered leaves of Helicteres sacarolha (HEHs) was prepared by maceration in 70 % hydroethanolic solution. Its qualitative phytochemical constituents were investigated by direct flow injection analysis coupled to atmospheric pressure chemical ionization ion trap tandem mass spectrometry (FIA-APCI-IT-MSn). The gastric ulcer healing effect was evaluated in acetic acid induced chronic ulcer in mice and the lesions were evaluated, including analysis of blood plasma cytokine levels. The prokinetic properties (gastric emptying and intestinal transit) were carried out in mice. Potential anti-ulcerative colitis activity was evaluated in rats using 2,4,6-trinitrobenzenesulfonic acid (5 % TNBS) -induced colitis. All animal experiments were carried out at the doses of 20, 50 and 250 mg/kg (p.o.). Eight compounds were putatively identified, specifically lariciresinol, and its derivatives, kaempferol derivatives and Tricin-O-Glc. The extract promoted increased gastric ulcer healing at all doses tested. Modulation of the cytokines involved inhibition of some key pro-inflammatory cytokines with maximum effect on IL-1 beta (70 %, 50 mg/kg, p&lt;0.05), TNF-alpha (79 %, 20 mg/kg, p&lt;0.01), and in the anti-inflammatory cytokines, namely IL-10 (57 %, 50 mg/kg, p&lt;0.05) and IL-17 (79 %, only at 50 mg/kg, p&lt;0.05). Histological findings demonstrated a mitigated inflammatory activity, and tissues undergoing regeneration. HEHs treatment caused delayed gastric emptying, and increased intestinal transit, but had no effect in the experimentally induced ulcerative colitis. We report for the first time putatively the presence of Lariciresinol and tricin derivatives from the hydroethanolic leaves extract of H. sacarolha. Its possible mechanism of actions of gastric ulcer healing involves cytokines modulation, mitigation of inflammatory response and tissue regeneration and provoked opposing effect in the gastrointestinal system. The present study demonstrates the therapeutic potential of H. sacarolha leaves used in Brazilian ethnomedicine in the treatment of chronic gastric ulcer.</t>
  </si>
  <si>
    <t>Olaitan Balogun, Sikiru</t>
  </si>
  <si>
    <t>[Olaitan Balogun, Sikiru] Univ Fed Grande Dourados UFGD, Fac Ciencias Saude, BR-79804970 Mato Grosso, Brazil; [Sabino Damazo, Amilcar] Univ Fed Mato Grosso UFMT, Fac Med, Dept Basic Hlth Sci, Area Histol, BR-78060900 Cuiaba, MT, Brazil; [Olaitan Balogun, Sikiru; Pavan, Eduarda; de Freitas Figueiredo, Fabiana; Arunachalam, Karuppusamy; Tabajara de Oliveira Martins, Domingos] Univ Fed Mato Grosso UFMT, Fac Med, Dept Ciencias Basicas Saude, Area Farmacol, Cuiaba, MT, Brazil; [Arunachalam, Karuppusamy] Univ Fed Mato Grosso Do Sul UFMS, Ctr Estudos Celulas Tronco Terapia Celular &amp; Gene, Programa Posgrad Saude &amp; Desenvolvimento Regia Ct, Fac Med Dr Helio Mandetta FAMED, Campo Grande, MS, Brazil; [Arunachalam, Karuppusamy] Chinese Acad Sci, Kunming Inst Bot, Key Lab Econ Plants &amp; Biotechnol, Kunming 650201, Peoples R China; [Arunachalam, Karuppusamy] Chinese Acad Sci, Kunming Inst Bot, Yunnan Key Lab Wild Plant Resources, Kunming 650201, Peoples R China; [de Souza Mesquita, Leonardo M.; Vilegas, Wagner] UNESP Sao Paulo State Univ, Coastal Campus S Vicente, BR-11330900 Sao Vicente C, SP, Brazil</t>
  </si>
  <si>
    <t>Universidade Federal da Grande Dourados; Universidade Federal de Mato Grosso do Sul; Universidade Federal de Mato Grosso do Sul; Universidade Federal de Mato Grosso do Sul; Chinese Academy of Sciences; Kunming Institute of Botany, CAS; Chinese Academy of Sciences; Kunming Institute of Botany, CAS; Universidade Estadual Paulista</t>
  </si>
  <si>
    <t>Balogun, SO (通讯作者)，Univ Fed Grande Dourados UFGD, Fac Ciencias Saude, BR-79804970 Mato Grosso, Brazil.;Balogun, SO (通讯作者)，Univ Fed Mato Grosso UFMT, Fac Med, Dept Ciencias Basicas Saude, Area Farmacol, Cuiaba, MT, Brazil.</t>
  </si>
  <si>
    <t>balogun.zhikrullah@gmail.com</t>
  </si>
  <si>
    <t>Vilegas, Wagner/D-3170-2012; Arunachalam, Karuppusamy/G-5023-2018</t>
  </si>
  <si>
    <t>Vilegas, Wagner/0000-0003-3032-2556; Arunachalam, Karuppusamy/0000-0001-9146-7068; Balogun, Sikiru Olaitan/0000-0002-4797-6129</t>
  </si>
  <si>
    <t>CNPq; CAPES; INAU [704792/2009]</t>
  </si>
  <si>
    <t>CNPq(Conselho Nacional de Desenvolvimento Cientifico e Tecnologico (CNPQ)); CAPES(Coordenacao de Aperfeicoamento de Pessoal de Nivel Superior (CAPES)); INAU</t>
  </si>
  <si>
    <t>We wish to express our gratitude to CNPq and INAU (No. 704792/2009) for partially funding the work, CAPES for providing a research scholarship to the first author. We are grateful to Dr. Germano Guarin Neto of Herbario UFMT for technical assistance with the plant identification.</t>
  </si>
  <si>
    <t>10.1002/cbdv.202200322</t>
  </si>
  <si>
    <t>6E1PE</t>
  </si>
  <si>
    <t>WOS:000883155500001</t>
  </si>
  <si>
    <t>Jia, SJ; Li, J; Li, J; Su, XD; Li, XN; Yao, Y; Xue, YB</t>
  </si>
  <si>
    <t>Jia, Shujie; Li, Juan; Li, Jia; Su, Xiangdong; Li, Xiao-Nian; Yao, Yao; Xue, Yongbo</t>
  </si>
  <si>
    <t>Anti-Neuroinflammatory Activity of New Naturally Occurring Benzylated Hydroxyacetophenone Analogs from the Endophytic Fungus Alternaria sp. J030</t>
  </si>
  <si>
    <t>Alternaria; polyketone; anti-neuroinflannnnatory; NF-kappa B signaling pathway</t>
  </si>
  <si>
    <t>SECONDARY METABOLITES; CHEMICAL-CONSTITUENTS; STRUCTURE ELUCIDATION; DERIVATIVES; STRAIN; ANTIBACTERIAL; ANTIOXIDANT; COMPOUND</t>
  </si>
  <si>
    <t>Chemical studies on the culture broth of the endophytic fungus Alternaria sp. J030 led to the identification of three benzylated hydroxyacetophenone derivatives, bauvaroalterins A-C (1-3), and 34 structurally diverse metabolites (4-37). The new structures were elucidated by extensive spectroscopic analyses including UV, IR, 1D and 2D NMR, HR-ESI-MS, and further confirmed using single crystal X-ray diffraction. The in vitro ant-ineuroinflammatory effects of the co-isolated metabolites were evaluated in lipopolysaccharide (LPS)-stimulated microglial cells. Compounds 1-3 were shown to significantly reduce LPS-induced NO production by inhibiting the expression of iNOS, as well as inhibiting LPS-induced production of the inflammatory factors TNF-alpha, IL-1 beta and IL-6. Further studies revealed that 1-3 were capable of down-regulating the expression of NF-kappa B subunits p50 and p65, thereby suppressing the activation of NF-kappa B by inhibiting the LPS-induced phosphorylation of I kappa B-alpha. Together these findings demonstrate that bauvaroalterins A-C (1-3) exert anti-neuroinflammatory effects via inhibition of the NF-kappa B/iNOS signalling pathway in LPS induced BV-2 cells.</t>
  </si>
  <si>
    <t>Jia, Shujie</t>
  </si>
  <si>
    <t>[Jia, Shujie; Su, Xiangdong; Xue, Yongbo] Sun Yat Sen Univ, Sch Pharmaceut Sci Shenzhen, Shenzhen Campus, Shenzhen 518107, Peoples R China; [Li, Juan; Li, Jia] Ningxia Med Univ, Sch Pharm, Yinchuan 750004, Ningxia, Peoples R China; [Li, Xiao-Nian] Chinese Acad Sci, Kunming Inst Bot, State Key Lab Phytochem &amp; Plant Resources West Ch, Kunming 650201, Yunnan, Peoples R China; [Yao, Yao] Ningxia Med Univ, Sch Basic Med Sci, Yinchuan 750004, Ningxia, Peoples R China</t>
  </si>
  <si>
    <t>Sun Yat Sen University; Ningxia Medical University; Chinese Academy of Sciences; Kunming Institute of Botany, CAS; Ningxia Medical University</t>
  </si>
  <si>
    <t>Xue, YB (通讯作者)，Sun Yat Sen Univ, Sch Pharmaceut Sci Shenzhen, Shenzhen Campus, Shenzhen 518107, Peoples R China.;Yao, Y (通讯作者)，Ningxia Med Univ, Sch Basic Med Sci, Yinchuan 750004, Ningxia, Peoples R China.</t>
  </si>
  <si>
    <t>20070007@nxnnu.edu.cn; xueyb@mail.sysu.edu.cn</t>
  </si>
  <si>
    <t>/0000-0001-9133-6439</t>
  </si>
  <si>
    <t>National Natural Science Foundation of China [31770379, 21977120]; Key Basic Research Program of the Science, Technology and Innovation Commission of Shenzhen Municipality [JCYJ20200109142215045]; Hundred Talents Program of Sun Yat-sen University [75110-18841218]</t>
  </si>
  <si>
    <t>National Natural Science Foundation of China(National Natural Science Foundation of China (NSFC)); Key Basic Research Program of the Science, Technology and Innovation Commission of Shenzhen Municipality; Hundred Talents Program of Sun Yat-sen University</t>
  </si>
  <si>
    <t>This research was financially supported by the National Natural Science Foundation of China (Nos. 31770379 and 21977120), the Key Basic Research Program of the Science, Technology and Innovation Commission of Shenzhen Municipality (JCYJ20200109142215045), the Hundred Talents Program of Sun Yat-sen University (No. 75110-18841218). We express our sincere thanks to Dr. Jianchao Chen for his helpful assistance with NMR measurements.</t>
  </si>
  <si>
    <t>10.1002/cbdv.202200751</t>
  </si>
  <si>
    <t>5K9HQ</t>
  </si>
  <si>
    <t>WOS:000860081800001</t>
  </si>
  <si>
    <t>Lei, T; Liu, ZX; Bao, Y; Ding, LF; Song, LD; Wu, XD; Zhao, QS</t>
  </si>
  <si>
    <t>Lei, Tie; Liu, Zhen-Xiang; Bao, Yi; Ding, Lin-Fen; Song, Liu-Dong; Wu, Xing-De; Zhao, Qin-Shi</t>
  </si>
  <si>
    <t>Four Highly Oxygenated Sesquiterpenoids from the Fruits of Illicium micranthum Dunn</t>
  </si>
  <si>
    <t>Illicium micranthum Dunn; seco-prezizanne sesquiterpenoid; illicinolide-type sesquiterpenoid; neurotrophic activity</t>
  </si>
  <si>
    <t>NEUROTROPHIC ACTIVITY; LACTONES; ROOTS; ILLICINOLIDE; SKELETON</t>
  </si>
  <si>
    <t>Four highly oxygenated sesquiterpenoids, illimicranolides A (1) and B (2), and illicinolides E (3) and F (4), were obtained from the fruits of Illicium micranthum Dunn, as well as one known analog, illicinolide B (5). The chemical structures of 1-4 were determined comprehensively by 1D (H-1 and C-13) and 2D (HMBC, HSQC, H-1-H-1 COSY, and ROESY) NMR, and HR-ESI-MS data. Structurally, compound 1 was an unprecedented sesquiterpenoid with a 5/5/6/5-fused tetracyclic ring system and was the first seco-prezizaane sesquiterpenoid featuring a 11,8-gamma-lactone ring. Compounds 3 and 4 were the fifth and sixth examples of illicinolide-type sesquiterpenoids. Moreover, compound 1 demonstrated neurotrophic activity of NGF-induced PC12 cells with differentiation rate of 10.34 % at a concentration of 10 mu M.</t>
  </si>
  <si>
    <t>Lei, Tie</t>
  </si>
  <si>
    <t>[Lei, Tie; Liu, Zhen-Xiang; Bao, Yi; Wu, Xing-De; Zhao, Qin-Shi] Chinese Acad Sci, Kunming Inst Bot, State Key Lab Phytochem &amp; Plant Resources West Ch, Kunming 650201, Yunnan, Peoples R China; [Wu, Xing-De] Yunnan Minzu Univ, Key Lab Ethn Med Resource Chem, State Ethn Affairs Commiss, Kunming 650500, Yunnan, Peoples R China; [Wu, Xing-De] Yunnan Minzu Univ, Minist Educ, Kunming 650500, Yunnan, Peoples R China; [Lei, Tie; Liu, Zhen-Xiang; Ding, Lin-Fen; Song, Liu-Dong] Kunming Med Univ, Sch Pharmaceut Sci, Kunming 650500, Yunnan, Peoples R China; [Lei, Tie; Liu, Zhen-Xiang; Ding, Lin-Fen; Song, Liu-Dong] Kunming Med Univ, Yunnan Key Lab Pharmacol Nat Prod, Kunming 650500, Yunnan, Peoples R China</t>
  </si>
  <si>
    <t>Wu, XD; Zhao, QS (通讯作者)，Chinese Acad Sci, Kunming Inst Bot, State Key Lab Phytochem &amp; Plant Resources West Ch, Kunming 650201, Yunnan, Peoples R China.;Wu, XD (通讯作者)，Yunnan Minzu Univ, Key Lab Ethn Med Resource Chem, State Ethn Affairs Commiss, Kunming 650500, Yunnan, Peoples R China.;Wu, XD (通讯作者)，Yunnan Minzu Univ, Minist Educ, Kunming 650500, Yunnan, Peoples R China.;Song, LD (通讯作者)，Kunming Med Univ, Sch Pharmaceut Sci, Kunming 650500, Yunnan, Peoples R China.;Song, LD (通讯作者)，Kunming Med Univ, Yunnan Key Lab Pharmacol Nat Prod, Kunming 650500, Yunnan, Peoples R China.</t>
  </si>
  <si>
    <t>ynsld@126.com; wuxingdeymu@163.com; qinshizhao@mail.kib.ac.cn</t>
  </si>
  <si>
    <t>National Natural Science Foundation of China [21837003]; Innovative Research Team in Science and Technology of Yunnan Province [202005AE160004]; Science and Technology Program of Yunnan province [2019FA037]; Top Young Talent of the Ten Thousand Talents Program of Yunnan Province; Famous Teacher of the Ten Thousand Talents Program of Yunnan Province</t>
  </si>
  <si>
    <t>National Natural Science Foundation of China(National Natural Science Foundation of China (NSFC)); Innovative Research Team in Science and Technology of Yunnan Province; Science and Technology Program of Yunnan province; Top Young Talent of the Ten Thousand Talents Program of Yunnan Province; Famous Teacher of the Ten Thousand Talents Program of Yunnan Province</t>
  </si>
  <si>
    <t>This research was funded by National Natural Science Foundation of China (No.21837003), Innovative Research Team in Science and Technology of Yunnan Province (No.202005AE160004), Science and Technology Program of Yunnan province (No.2019FA037), Top Young Talent of the Ten Thousand Talents Program of Yunnan Province (X.-D. Wu), and Famous Teacher of the Ten Thousand Talents Program of Yunnan Province (L.-D. Song).</t>
  </si>
  <si>
    <t>e202200429</t>
  </si>
  <si>
    <t>10.1002/cbdv.202200429</t>
  </si>
  <si>
    <t>3D8DB</t>
  </si>
  <si>
    <t>WOS:000811136100001</t>
  </si>
  <si>
    <t>Deng, ZT; Liu, YC; Zhu, QF; Jiang, S; Wu, XD; Zhao, QS</t>
  </si>
  <si>
    <t>Deng, Zhen-Tao; Liu, Yu-Chen; Zhu, Qin-Feng; Jiang, Shuai; Wu, Xing-De; Zhao, Qin-Shi</t>
  </si>
  <si>
    <t>Hupertimines A- E, Fawcettimine-Type Lycopodium Alkaloids from Huperzia serrata</t>
  </si>
  <si>
    <t>Huperzia serrata; fawcettimine-type alkaloid; BACE1 inhibitory activity; 8 beta-hydroxyphlegnnariurine B</t>
  </si>
  <si>
    <t>Five new fawcettimine-type Lycopodium alkaloids, hupertimines A-E (1 -5), were discovered from the whole plant of Huperzia serrata, along with two known alkaloids, 8 alpha-hydroxyphlegmariurine B (6) and 8 beta-hydroxyphlegmariurine B (7). The structures of 1 -7 were identified through HR-MS, IR, H-1, C-13, and 2D NMR, and single-crystal X-ray diffraction analysis. Structurally, compound 1 was the fourth example of Lycopodium alkaloid with an ether linkage between C-5 and C-13 and 2 was the third example of Lycopodium alkaloid with a 5/5/5/5/6 pentacyclic ring system and featuring a 1-aza-7-oxabicyclo[2.2.1]heptane unit. Compounds 1 - 7 were tested for their BACE1 inhibitory activity. In addition, the correct 1 H- and 13 C-NMR data for 7 were reported in current study.</t>
  </si>
  <si>
    <t>[Deng, Zhen-Tao; Liu, Yu-Chen; Zhu, Qin-Feng; Jiang, Shuai; Wu, Xing-De; Zhao, Qin-Shi] Chinese Acad Sci, Kunming Inst Bot, State Key Lab Phytochem &amp; Plant Resources West Ch, Kunming 650201, Yunnan, Peoples R China; [Deng, Zhen-Tao; Jiang, Shuai] Univ Chinese Acad Sci, Beijing 100049, Peoples R China</t>
  </si>
  <si>
    <t>wuxingdeymu@163.com; qinshizhao@mail.kib.ac.cn</t>
  </si>
  <si>
    <t>liu, yuchen/GYQ-6286-2022; zhu, qin/HIR-6291-2022</t>
  </si>
  <si>
    <t>National Natural Science Foundation of China [21837003]; Joint Foundation of NSFC-Yunnan Province [U1502223]</t>
  </si>
  <si>
    <t>National Natural Science Foundation of China(National Natural Science Foundation of China (NSFC)); Joint Foundation of NSFC-Yunnan Province</t>
  </si>
  <si>
    <t>This work was financially supported by the National Natural Science Foundation of China (No. 21837003), the Joint Foundation of NSFC-Yunnan Province (No. U1502223).</t>
  </si>
  <si>
    <t>e202200454</t>
  </si>
  <si>
    <t>10.1002/cbdv.202200454</t>
  </si>
  <si>
    <t>WOS:000807699900001</t>
  </si>
  <si>
    <t>Shi, YC; Zhang, W; Zhang, SB</t>
  </si>
  <si>
    <t>Shi, Yu-Cen; Zhang, Wei; Zhang, Shi-Bao</t>
  </si>
  <si>
    <t>Biomass and Active Compounds Accumulation of the Medicinal Orchid Pleione bulbocodioides in Response to Light Intensity and Irrigation Frequency</t>
  </si>
  <si>
    <t>Chinese medicine; environmental factors; Pleione; quality control; secondary metabolites</t>
  </si>
  <si>
    <t>SECONDARY METABOLITES; BIBENZYL SYNTHASE; STRESS; CULTIVATION; IMPAIRMENT; PLANTS</t>
  </si>
  <si>
    <t>Pseudobulbs of Pleione species are widely used as traditional medicine in Asian countries, but the mechanism of active compound accumulation remains unclear. In the present study, we investigated the accumulation of biomass and three active compounds (dactylorhin A, militarine and batatasin III) of Pleione bulbocodioides in response to different light intensities and irrigation frequencies. We found that single high light (65 % of full sunlight) or drought stress (14-day irrigation interval) increased active compounds accumulation but the combined effect of these two treatments decreased the total content of these three active compounds. This decrease was due to the plants under combined stress having a significantly lower photosynthetic rate, leaf area and longevity, leading to a dramatic decrease in pseudobulb biomass. Among all treatments, the highest total content of active compounds was observed in plants subjected to the high light level with a high water level (3-day irrigation interval), and plants under medium light intensity (30 % of full sunlight) also had considerable content of active compounds accumulation. To balance the quality and quantity of Pleione pseudobulbs during artificial cultivation, 30 similar to 65 % of full sunlight with the avoidance of drought stress is recommended. Our results suggest the accumulation of the three active compounds is significantly influenced by light intensity and irrigation frequency, which may contribute to the artificial cultivation and quality control of medicinal Pleione.</t>
  </si>
  <si>
    <t>Shi, Yu-Cen</t>
  </si>
  <si>
    <t>[Shi, Yu-Cen; Zhang, Wei; Zhang, Shi-Bao] Chinese Acad Sci, Kunming Inst Bot, Key Lab Econ Plants &amp; Biotechnol, Kunming 650201, Yunnan, Peoples R China; [Zhang, Wei; Zhang, Shi-Bao] Chinese Acad Sci, Kunming Inst Bot, Lijiang Forest Biodivers Natl Observat &amp; Res Stn, Lijiang 674100, Peoples R China; [Shi, Yu-Cen] Univ Chinese Acad Sci, Beijing 100049, Peoples R China</t>
  </si>
  <si>
    <t>Zhang, SB (通讯作者)，Chinese Acad Sci, Kunming Inst Bot, Key Lab Econ Plants &amp; Biotechnol, Kunming 650201, Yunnan, Peoples R China.;Zhang, SB (通讯作者)，Chinese Acad Sci, Kunming Inst Bot, Lijiang Forest Biodivers Natl Observat &amp; Res Stn, Lijiang 674100, Peoples R China.</t>
  </si>
  <si>
    <t>Key Basic Research program of Yunnan Province, China [202101BC070003]; Yunnan Fundamental Research Project [202101AU070142]; Project for Innovation Team of Yunnan Province [202105AE160012]; High Level Talents Support Program of Yunnan Province; National Natural Science Foundation of China [31800275]</t>
  </si>
  <si>
    <t>Key Basic Research program of Yunnan Province, China; Yunnan Fundamental Research Project; Project for Innovation Team of Yunnan Province; High Level Talents Support Program of Yunnan Province; National Natural Science Foundation of China(National Natural Science Foundation of China (NSFC))</t>
  </si>
  <si>
    <t>We thank Dr. John A. Meadows for polishing the manuscript. This work was financially supported by the Key Basic Research program of Yunnan Province, China (202101BC070003), Yunnan Fundamental Research Project (202101AU070142), Project for Innovation Team of Yunnan Province (202105AE160012), High Level Talents Support Program of Yunnan Province, and the National Natural Science Foundation of China (31800275).</t>
  </si>
  <si>
    <t>e202200056</t>
  </si>
  <si>
    <t>10.1002/cbdv.202200056</t>
  </si>
  <si>
    <t>1J0IL</t>
  </si>
  <si>
    <t>WOS:000779272600001</t>
  </si>
  <si>
    <t>Ding, LF; Cheng, B; Lei, T; Liu, ZX; Zhao, XY; Song, LD; Zhao, QS</t>
  </si>
  <si>
    <t>Ding, Lin-Fen; Cheng, Bin; Lei, Tie; Liu, Zhen-Xiang; Zhao, Xue-Yu; Song, Liu-Dong; Zhao, Qin-Shi</t>
  </si>
  <si>
    <t>Hypopurolides A - G, Labdane Diterpenoids from Hypoestes purpurea and Their Nitric Oxide Inhibitory Activity</t>
  </si>
  <si>
    <t>Hypoestes purpurea; labdane diterpenoid; hypopurolides A; G; NO inhibitory activity; cytotoxic activity</t>
  </si>
  <si>
    <t>Seven new labdane diterpenoids, hypopurolides A-G (1-7) were discovered from the aerial part of Hypoestes purpurea, along with one known analog, hypopurin D (8). The structures of 1-7 were characterized based on H-1-, C-13-, and 2D-NMR, and HR-ESI-MS spectra. The absolute configurations of 1-7 were defined by single-crystal X-ray diffraction and electronic circular dichroism (ECD) data. Compounds 1-8 were tested for their nitric oxide (NO) inhibitory and cytotoxic effects. Compound 6 displayed moderate inhibitory effect toward LPS-induced NO release in RAW 264.7 cells with an IC50 value of 41.50 mu M.</t>
  </si>
  <si>
    <t>Ding, Lin-Fen</t>
  </si>
  <si>
    <t>[Ding, Lin-Fen; Cheng, Bin; Lei, Tie; Liu, Zhen-Xiang; Zhao, Xue-Yu; Song, Liu-Dong] Kunming Med Univ, Sch Pharmaceut Sci, Kunming 650500, Yunnan, Peoples R China; [Ding, Lin-Fen; Cheng, Bin; Lei, Tie; Liu, Zhen-Xiang; Zhao, Xue-Yu; Song, Liu-Dong] Kunming Med Univ, Yunnan Key Lab Pharmacol Nat Prod, Kunming 650500, Yunnan, Peoples R China; [Ding, Lin-Fen; Cheng, Bin; Lei, Tie; Liu, Zhen-Xiang; Zhao, Xue-Yu; Zhao, Qin-Shi] Chinese Acad Sci, Kunming Inst Bot, State Key Lab Phytochem &amp; Plant Resources West Ch, Kunming 650201, Yunnan, Peoples R China</t>
  </si>
  <si>
    <t>Song, LD (通讯作者)，Kunming Med Univ, Sch Pharmaceut Sci, Kunming 650500, Yunnan, Peoples R China.;Song, LD (通讯作者)，Kunming Med Univ, Yunnan Key Lab Pharmacol Nat Prod, Kunming 650500, Yunnan, Peoples R China.;Zhao, QS (通讯作者)，Chinese Acad Sci, Kunming Inst Bot, State Key Lab Phytochem &amp; Plant Resources West Ch, Kunming 650201, Yunnan, Peoples R China.</t>
  </si>
  <si>
    <t>ynsld@126.com; qinshizhao@mail.kib.ac.cn</t>
  </si>
  <si>
    <t>National Natural Science Foundation of China [21837003]; Yunnan Applied Basic Research-Joint Special Project of Kunming Medical University [2019FE001-028]; Innovative Research Team in Science and Technology of Yunnan Province [202005AE160004]; Famous Teacher of the Ten Thousand Talents Program of Yunnan Province</t>
  </si>
  <si>
    <t>National Natural Science Foundation of China(National Natural Science Foundation of China (NSFC)); Yunnan Applied Basic Research-Joint Special Project of Kunming Medical University; Innovative Research Team in Science and Technology of Yunnan Province; Famous Teacher of the Ten Thousand Talents Program of Yunnan Province</t>
  </si>
  <si>
    <t>This work was financially supported by the National Natural Science Foundation of China (No. 21837003), the Yunnan Applied Basic Research-Joint Special Project of Kunming Medical University (No. 2019FE001-028), the Innovative Research Team in Science and Technology of Yunnan Province (No. 202005AE160004), the Famous Teacher of the Ten Thousand Talents Program of Yunnan Province (L.-D. Song).</t>
  </si>
  <si>
    <t>e202200183</t>
  </si>
  <si>
    <t>10.1002/cbdv.202200183</t>
  </si>
  <si>
    <t>WOS:000778068700001</t>
  </si>
  <si>
    <t>Xu, XJ; Wang, ZJ; Qin, XJ; Zeng, Q; Chen, S; Qin, Y; Luo, XD</t>
  </si>
  <si>
    <t>Xu, Xiang-Juan; Wang, Zhao-Jie; Qin, Xu-Jie; Zeng, Qi; Chen, Song; Qin, Yan; Luo, Xiao-Dong</t>
  </si>
  <si>
    <t>Phytochemical and Antibacterial Constituents of Edible Globe Amaranth Flower against Pseudomonas aeruginosa</t>
  </si>
  <si>
    <t>Gomphrena globose; flavonol glycosides; anti P; aeruginosa activity</t>
  </si>
  <si>
    <t>FLAVONOL GLYCOSIDES; GOMPHRENA-GLOBOSA; IN-VITRO; BETACYANINS; L.; SEPARATION; MECHANISM</t>
  </si>
  <si>
    <t>Globe amaranth flower, the edible inflorescence of Gomphrena globose L., was used to treat dysentery and ulcer as well as other infectious diseases caused by microbes in Southwest China, but its function and bioactive components need experimental support. In this study, phytochemical constituents and antibacterial bioactivity of globe amaranth flower against P. aeruginosa were carried out. As a result, two new (1 and 2) and eleven known (3-11) compounds were isolated, in which compounds 4-7 displayed anti P. aeruginosa bioactivity with the minimum inhibitory concentration (MIC) from 0.008 to 0.256 mg/mL. Furthermore, with aid of the scanning electron microscope (SEM) and a superficial skin infection model in mice, the most potent compound 4 can significantly destroy the structure of bacteria in vitro and restore bacterial infection damage in vivo.</t>
  </si>
  <si>
    <t>Xu, Xiang-Juan</t>
  </si>
  <si>
    <t>[Xu, Xiang-Juan; Qin, Xu-Jie; Luo, Xiao-Dong] Chinese Acad Sci, Kunming Inst Bot, State Key Lab Phytochem &amp; Plant Resources West Ch, Kunming 650201, Yunnan, Peoples R China; [Wang, Zhao-Jie; Zeng, Qi; Chen, Song; Qin, Yan; Luo, Xiao-Dong] Yunnan Univ, Sch Chem Sci &amp; Technol, Minist Educ &amp; Yunnan Prov, Key Lab Med Chem Nat Resource, Kunming 650091, Yunnan, Peoples R China; [Xu, Xiang-Juan; Qin, Xu-Jie; Luo, Xiao-Dong] Univ Chinese Acad Sci, Beijing 100049, Peoples R China</t>
  </si>
  <si>
    <t>Luo, XD (通讯作者)，Chinese Acad Sci, Kunming Inst Bot, State Key Lab Phytochem &amp; Plant Resources West Ch, Kunming 650201, Yunnan, Peoples R China.;Luo, XD (通讯作者)，Yunnan Univ, Sch Chem Sci &amp; Technol, Minist Educ &amp; Yunnan Prov, Key Lab Med Chem Nat Resource, Kunming 650091, Yunnan, Peoples R China.;Luo, XD (通讯作者)，Univ Chinese Acad Sci, Beijing 100049, Peoples R China.</t>
  </si>
  <si>
    <t>National Natural Science Foundation of China [32170405]; Yunnan Science and Technology Project [202105AE160006, 2019ZF003, 2019FY003004]</t>
  </si>
  <si>
    <t>The authors are grateful to the National Natural Science Foundation of China (32170405), Yunnan Science and Technology Project (202105AE160006, 2019ZF003, 2019FY003004) for the partial financial support (to Xiao-Dong Luo). Authors thank Advanced Analysis and Measurement Center of Yunnan University for the sample testing service.</t>
  </si>
  <si>
    <t>e202200139</t>
  </si>
  <si>
    <t>10.1002/cbdv.202200139</t>
  </si>
  <si>
    <t>WOS:000772516700001</t>
  </si>
  <si>
    <t>Li, M; Zhou, ZP; Yuan, ZF; Zhao, QS</t>
  </si>
  <si>
    <t>Li, Meng; Zhou, Zhi-Ping; Yuan, Zai-Feng; Zhao, Qin-Shi</t>
  </si>
  <si>
    <t>Vibsane-Type Diterpenoids: Structures, Derivatives, Bioactivities, and Synthesis</t>
  </si>
  <si>
    <t>Adoxaceae; Viburnum; diterpenoids; bioactivities; synthesis</t>
  </si>
  <si>
    <t>BIOLOGICAL-ACTIVITIES; ABSOLUTE-CONFIGURATION; VIBURNUM; LEAVES; CORE</t>
  </si>
  <si>
    <t>Vibsane-type diterpenoids isolated from the genus Viburnum, are rare 6-11 membered ring polysubstituted macrocyclic diterpenoids. Since the first report of vibsane-type diterpenoids from V. odoratissimum in 1980, they have attracted the attention of scientists due to their complex structures, excellent biological activities, and great synthetic challenges. Recently, there are some notable research achievements on the discovery, synthesis, structural modification, and pharmacological mechanism of vibsane-type diterpenoids. Therefore, we will focus on these aspects to review important achievements of vibsane diterpenoids between 1980-2021.</t>
  </si>
  <si>
    <t>[Li, Meng; Zhou, Zhi-Ping; Yuan, Zai-Feng; Zhao, Qin-Shi] Chinese Acad Sci, Kunming Inst Bot, State Key Lab Phytochem &amp; Plant Resources West Ch, Kunming 650201, Yunnan, Peoples R China</t>
  </si>
  <si>
    <t>Yuan, ZF; Zhao, QS (通讯作者)，Chinese Acad Sci, Kunming Inst Bot, State Key Lab Phytochem &amp; Plant Resources West Ch, Kunming 650201, Yunnan, Peoples R China.</t>
  </si>
  <si>
    <t>yuanzaifeng@mail.kib.ac.cn; qinshizhao@mail.kib.ac.cn</t>
  </si>
  <si>
    <t>National Natural Science Foundation of China [81903521]; Natural Science Foundation of Yunnan [202001AT070067]</t>
  </si>
  <si>
    <t>National Natural Science Foundation of China(National Natural Science Foundation of China (NSFC)); Natural Science Foundation of Yunnan(Natural Science Foundation of Yunnan Province)</t>
  </si>
  <si>
    <t>This work was supported by The National Natural Science Foundation of China (81903521) and Natural Science Foundation of Yunnan (202001AT070067).</t>
  </si>
  <si>
    <t>e202100861</t>
  </si>
  <si>
    <t>10.1002/cbdv.202100861</t>
  </si>
  <si>
    <t>ZB2JI</t>
  </si>
  <si>
    <t>WOS:000742689900001</t>
  </si>
  <si>
    <t>Nie, W; Ding, LF; Tie-Lei; Zhou, HF; Bao, Y; Song, LD; Pan, ZH; Wu, XD; Zhao, QS</t>
  </si>
  <si>
    <t>Nie, Wei; Ding, Lin-Fen; Tie-Lei; Zhou, Hao-Feng; Bao, Yi; Song, Liu-Dong; Pan, Zheng-Hong; Wu, Xing-De; Zhao, Qin-Shi</t>
  </si>
  <si>
    <t>seco-Prezizanne Sesquiterpenes and Prenylated C6-C3 Compounds from the Fruits of Illicium lanceolatum A. C. Smith</t>
  </si>
  <si>
    <t>Illicium lanceolatum A; C; Smith; seco-prezizanne sesquiterpene; prenylated C6-C3 compound; neuroprotective activity</t>
  </si>
  <si>
    <t>NEUROTROPHIC ACTIVITY; C-6-C-3 COMPOUNDS; STEM BARK; ROOTS; SKELETON</t>
  </si>
  <si>
    <t>Two new seco-prezizaane-type sesquiterpenes, 2 beta-hydroxy-6-deoxyneoanisatin (1) and 3,4-anhydro-2-oxo-1 alpha-hydroxy-6-deoxyneoanisatin (2), and two new prenylated C-6-C-3 compounds, illilanceofunones A (3) and B (4), were obtained from the fruits of Illicium lanceolatum, along with four known prenylated C-6-C-3 compounds (5-8). Their structures were proposed through HR-ESI-MS, H-1, C-13, and 2D NMR data interpretation. Moreover, the absolute configuration of 1 and 2 were further assigned by single-crystal X-ray diffraction analysis and electronic circular dichroism (ECD) calculations, respectively. Illihenryipyranol A (6) exhibited neuroprotective activity against MPP+-induced PC12 cell damage in a dose-dependent manner.</t>
  </si>
  <si>
    <t>Nie, Wei</t>
  </si>
  <si>
    <t>[Nie, Wei; Ding, Lin-Fen; Tie-Lei; Zhou, Hao-Feng; Bao, Yi; Wu, Xing-De; Zhao, Qin-Shi] Chinese Acad Sci, Kunming Inst Bot, State Key Lab Phytochem &amp; Plant Resources West Ch, Kunming 650201, Yunnan, Peoples R China; [Wu, Xing-De] Yunnan Minzu Univ, State Ethn Affairs Commiss, Key Lab Ethn Med Resource Chem, Kunming 650500, Yunnan, Peoples R China; [Wu, Xing-De] Yunnan Minzu Univ, Minist Educ, Kunming 650500, Yunnan, Peoples R China; [Nie, Wei; Ding, Lin-Fen; Tie-Lei; Song, Liu-Dong] Kunming Med Univ, Sch Pharmaceut Sci, Kunming 650500, Yunnan, Peoples R China; [Nie, Wei; Ding, Lin-Fen; Tie-Lei; Song, Liu-Dong] Kunming Med Univ, Yunnan Key Lab Pharmacol Nat Prod, Kunming 650500, Yunnan, Peoples R China; [Pan, Zheng-Hong] Chinese Acad Sci, Guangxi Inst Bot, Guangxi Key Lab Funct Phytochem Res &amp; Utilizat, Guilin 541006, Peoples R China</t>
  </si>
  <si>
    <t>Chinese Academy of Sciences; Kunming Institute of Botany, CAS; Yunnan Minzu University; Yunnan Minzu University; Kunming Medical University; Kunming Medical University; Chinese Academy of Sciences</t>
  </si>
  <si>
    <t>Wu, XD; Zhao, QS (通讯作者)，Chinese Acad Sci, Kunming Inst Bot, State Key Lab Phytochem &amp; Plant Resources West Ch, Kunming 650201, Yunnan, Peoples R China.;Wu, XD (通讯作者)，Yunnan Minzu Univ, State Ethn Affairs Commiss, Key Lab Ethn Med Resource Chem, Kunming 650500, Yunnan, Peoples R China.;Wu, XD (通讯作者)，Yunnan Minzu Univ, Minist Educ, Kunming 650500, Yunnan, Peoples R China.;Pan, ZH (通讯作者)，Chinese Acad Sci, Guangxi Inst Bot, Guangxi Key Lab Funct Phytochem Res &amp; Utilizat, Guilin 541006, Peoples R China.</t>
  </si>
  <si>
    <t>pan7260@126.com; wuxingde@mail.kib.ac.cn; qinshizhao@mail.kib.ac.cn</t>
  </si>
  <si>
    <t>National Natural Science Foundation of China [81773611, 21837003]; Science and Technology Program of Yunnan province [2019FA037]; Innovative Research Team in Science and Technology of Yunnan Province [202005AE160004]; Famous Teacher of the Ten Thousand Talents Program of Yunnan Province; Top Young Talent of the Ten Thousand Talents Program of Yunnan Province</t>
  </si>
  <si>
    <t>National Natural Science Foundation of China(National Natural Science Foundation of China (NSFC)); Science and Technology Program of Yunnan province; Innovative Research Team in Science and Technology of Yunnan Province; Famous Teacher of the Ten Thousand Talents Program of Yunnan Province; Top Young Talent of the Ten Thousand Talents Program of Yunnan Province</t>
  </si>
  <si>
    <t>This work was financially supported by the National Natural Science Foundation of China (Nos. 81773611 and 21837003), the Science and Technology Program of Yunnan province (No. 2019FA037), the Innovative Research Team in Science and Technology of Yunnan Province (No. 202005AE160004), the Famous Teacher of the Ten Thousand Talents Program of Yunnan Province (L.-D. Song), and the Top Young Talent of the Ten Thousand Talents Program of Yunnan Province (X.-D. Wu).</t>
  </si>
  <si>
    <t>e202100868</t>
  </si>
  <si>
    <t>10.1002/cbdv.202100868</t>
  </si>
  <si>
    <t>YI8NF</t>
  </si>
  <si>
    <t>WOS:000732738800001</t>
  </si>
  <si>
    <t>Parisod, C; Lavergne, S; Sun, H; Kadereit, JW</t>
  </si>
  <si>
    <t>Parisod, Christian; Lavergne, Sebastien; Sun, Hang; Kadereit, Joachim W.</t>
  </si>
  <si>
    <t>Plant evolutionary ecology in mountain regions in space and time</t>
  </si>
  <si>
    <t>ALPINE BOTANY</t>
  </si>
  <si>
    <t>Alpine biogeography; Biodiversity; Environmental heterogeneity; Plant diversification</t>
  </si>
  <si>
    <t>This special issue of the journal Alpine Botany brings together syntheses, macroecological and taxon-specific studies of patterns and processes of plant evolution in major mountain ranges across Europe, Africa, the Americas and Asia. Apart from reflecting current conceptual and methodological perspectives in the field, it contributes to our understanding of the interplay between factors determining the evolution and distribution of plant variation across topographically complex areas, and will help to identify the components necessary for building an integrative model of the origin and distribution of diversity in mountain areas.</t>
  </si>
  <si>
    <t>Parisod, Christian</t>
  </si>
  <si>
    <t>[Parisod, Christian] Univ Fribourg, Dept Biol, Chemin Musee 10, CH-1700 Fribourg, Switzerland; [Lavergne, Sebastien] Univ Grenoble Alpes, Univ Savoie Mt Blanc, Lab Ecol Alpine, CNRS, Gieres, France; [Sun, Hang] Chinese Acad Sci, Kunming Inst Bot, CAS Key Lab Plant Divers &amp; Biogeog, 132 Lanhei Rd, Kunming 650201, Yunnan, Peoples R China; [Kadereit, Joachim W.] Johannes Gutenberg Univ Mainz, Inst Organism &amp; Molekulare Evolutionsbiol, D-55099 Mainz, Germany</t>
  </si>
  <si>
    <t>University of Fribourg; UDICE-French Research Universities; Communaute Universite Grenoble Alpes; Universite Grenoble Alpes (UGA); Centre National de la Recherche Scientifique (CNRS); Universite de Savoie; Chinese Academy of Sciences; Kunming Institute of Botany, CAS; Johannes Gutenberg University of Mainz</t>
  </si>
  <si>
    <t>Parisod, C (通讯作者)，Univ Fribourg, Dept Biol, Chemin Musee 10, CH-1700 Fribourg, Switzerland.</t>
  </si>
  <si>
    <t>christian.parisod@unifr.ch; sebastien.lavergne@univ-grenoble-alpes.fr; sunhang@mail.kib.ac.cn; kadereit@uni-mainz.de</t>
  </si>
  <si>
    <t>Parisod, Christian/A-1140-2010</t>
  </si>
  <si>
    <t>Parisod, Christian/0000-0001-8798-0897; Sun, Hang/0000-0001-5127-4579</t>
  </si>
  <si>
    <t>University of Fribourg</t>
  </si>
  <si>
    <t>Open access funding provided by University of Fribourg.</t>
  </si>
  <si>
    <t>SPRINGER BASEL AG</t>
  </si>
  <si>
    <t>PICASSOPLATZ 4, BASEL, 4052, SWITZERLAND</t>
  </si>
  <si>
    <t>1664-2201</t>
  </si>
  <si>
    <t>1664-221X</t>
  </si>
  <si>
    <t>ALPINE BOT</t>
  </si>
  <si>
    <t>Alp. Bot.</t>
  </si>
  <si>
    <t>10.1007/s00035-022-00279-w</t>
  </si>
  <si>
    <t>ZV6NG</t>
  </si>
  <si>
    <t>WOS:000758112400001</t>
  </si>
  <si>
    <t>Sun, H; Li, ZM; Landis, JB; Qian, LS; Zhang, TC; Deng, T</t>
  </si>
  <si>
    <t>Sun, Hang; Li, Zhimin; Landis, Jacob B.; Qian, Lishen; Zhang, Ticao; Deng, Tao</t>
  </si>
  <si>
    <t>Effects of drainage reorganization on phytogeographic pattern in Sino-Himalaya</t>
  </si>
  <si>
    <t>Sino-Himalaya; Paleo Red River; Valley plants; Drainage reorganization; Biogeographic evolution</t>
  </si>
  <si>
    <t>TERMINALIA-FRANCHETII COMBRETACEAE; MEKONG-SALWEEN DIVIDE; TANAKA-KAIYONG LINE; RIVER-CAPTURE; HENGDUAN MOUNTAINS; GENETIC-STRUCTURE; SOUTHWEST CHINA; CYTOCHROME-B; PHYLOGEOGRAPHY; EVOLUTION</t>
  </si>
  <si>
    <t>The Sino-Himalaya region is located in the southeast margin of the Qinghai-Tibetan Plateau (QTP) with several Asian rivers in this area, namely the Yarlung Zangbo River (YZR), Salween, Mekong, and Jinshajiang River and their tributaries. All these rivers currently flow independently into the Indian Ocean, the South China Sea (Pacific Ocean) and the East China Sea (Pacific Ocean). In geologic history, however, these rivers flowed southward into the Paleo-Red River (PRR), forming a huge drainage system, which then flowed into the South China Sea. From the end of the Neogene to the beginning of the Quaternary, with further uplift of the QTP, the monsoon climate was formed and strengthened bringing abundant precipitation leading to river erosion, rapid undercutting and a series of river capture events resulting in modern drainage systems and the beheading of the huge PRR. The reorganization of the PRR led to changes in the spatial pattern of river systems, subsequently affecting the geographical distribution of plants in the river valley. This paper reviews the effects of drainage evolution on the genetic structure and geographical pattern of plants in this region, and summarizes the resulting four types of discontinuous distribution patterns observed, namely: (1) the discontinuous distribution pattern between the Three River Valleys (TRV) (Salween, Mekong, Jinshajiang and their tributaries) and the Red River Basin (RRB); (2) the discontinuity between the Yarlung Zangbo River and the TRV-RRB; (3) the discontinuity among the TRV, and (4) the discontinuity between the east and west ends of the QTP. The conclusions from this review, while providing botanical evidence supporting and confirming the drainage evolution in Sino-Himalaya China, are the following: (1) the reorganization of drainage systems made the original continuous distribution pattern discontinuous, forming unique genetic and biogeographical characteristics, promoting the genetic differentiation of species and the formation of new taxa; (2) river capture events link different river systems together, bringing together the genetic diversity of different river valley species, increasing the richness of genetic diversity and the exchange of genes among populations; (3) the reorganization of river systems impacts the evolutionary history of valley plants and shapes their modern distribution patterns.</t>
  </si>
  <si>
    <t>[Sun, Hang; Qian, Lishen; Deng, Tao] Chinese Acad Sci, Kunming Inst Bot, CAS Key Lab Plant Div &amp; Biogeog East Asia, Kunming 650201, Yunnan, Peoples R China; [Li, Zhimin] Yunnan Normal Univ, Sch Life Sci, Kunming 650500, Yunnan, Peoples R China; [Landis, Jacob B.] Cornell Univ, Sch Integrat Plant Sci, Sect Plant Biol &amp; L H Bailey Hortorium, Ithaca, NY USA; [Zhang, Ticao] Yunnan Univ Chinese Med, Sch Chinese Mat Med, Kunming 650500, Yunnan, Peoples R China</t>
  </si>
  <si>
    <t>Chinese Academy of Sciences; Kunming Institute of Botany, CAS; Yunnan Normal University; Cornell University; Yunnan University of Chinese Medicine</t>
  </si>
  <si>
    <t>Sun, H; Deng, T (通讯作者)，Chinese Acad Sci, Kunming Inst Bot, CAS Key Lab Plant Div &amp; Biogeog East Asia, Kunming 650201, Yunnan, Peoples R China.</t>
  </si>
  <si>
    <t>Zhang, Ticao/AHB-1915-2022</t>
  </si>
  <si>
    <t>Zhang, Ticao/0000-0002-8578-6131; Sun, Hang/0000-0001-5127-4579</t>
  </si>
  <si>
    <t>Second Tibetan Plateau Scientific Expedition and Research Program (STEP) [2019QZKK0502]; National Natural Science Foundation of China [U1802232]; Major Program of the National Natural Science Foundation of China [31590823]; National Natural Science Foundation of Yunnan [U1802232]</t>
  </si>
  <si>
    <t>Second Tibetan Plateau Scientific Expedition and Research Program (STEP); National Natural Science Foundation of China(National Natural Science Foundation of China (NSFC)); Major Program of the National Natural Science Foundation of China(National Natural Science Foundation of China (NSFC)); National Natural Science Foundation of Yunnan</t>
  </si>
  <si>
    <t>The work is financially supported by the Second Tibetan Plateau Scientific Expedition and Research Program (STEP) (2019QZKK0502), the Key Projects of the Joint Fund of the National Natural Science Foundation of China and Yunnan (U1802232), the Major Program of the National Natural Science Foundation of China (31590823).</t>
  </si>
  <si>
    <t>10.1007/s00035-021-00269-4</t>
  </si>
  <si>
    <t>WOS:000692632700001</t>
  </si>
  <si>
    <t>Sirohi, MH; Jackson, J; Ollerton, J</t>
  </si>
  <si>
    <t>Sirohi, Muzafar Hussain; Jackson, Janet; Ollerton, Jeff</t>
  </si>
  <si>
    <t>Plant-bee interactions and resource utilisation in an urban landscape</t>
  </si>
  <si>
    <t>URBAN ECOSYSTEMS</t>
  </si>
  <si>
    <t>Plant-visitor interactions; Pollinator; Solitary bee; Primitively eusocial bees; Urbanisation; Networks</t>
  </si>
  <si>
    <t>ECOLOGICAL NETWORKS; FLOWER-VISITOR; NATIVE PLANTS; SPECIALIZATION; DIVERSITY; STABILITY; ABUNDANCE; RICHNESS; POLLEN; CITY</t>
  </si>
  <si>
    <t>Biodiversity is declining through human activities and urbanisation is often seen as a particular concern. Urban settings, however, provide diverse microclimatic conditions for plants and pollinating insects, and therefore may be significant habitats for the conservation of solitary and primitively eusocial bees, a major group of pollinators. This study analysed the interactions between these bees and the plants on which they forage, using a network approach. We compared urban habitats (gardens, roadsides, and open vegetation) in a large British town with nearby nature reserves. One native plant Taraxacum officinale (dandelion) was a core generalist species visited in all habitat types. Other core plant species restricted to particular habitats include species of Geranium, Bellis, Crepis, and Ranunculus. Two generalist bee species, Anthophora plumipes and Osmia bicornis were the core visitor species within the networks. The networks were comparatively more nested in urban habitat types than nature areas, suggesting more frequent interactions between generalist and specialist species in urban areas. Network connectance, network level specialisation (H-2' index), and plant generality (network level) were not significantly different in urban and nature areas. However, visitor generality was found to be significantly higher in urban gardens than in nature areas. Careful management of common urban vegetation would be beneficial for supporting urban wild pollinators.</t>
  </si>
  <si>
    <t>Sirohi, Muzafar Hussain</t>
  </si>
  <si>
    <t>[Sirohi, Muzafar Hussain; Jackson, Janet; Ollerton, Jeff] Univ Northampton, Fac Arts Sci &amp; Technol, Waterside Campus, Northampton, England; [Sirohi, Muzafar Hussain] Shah Abdul Latif Univ, Ctr Biodivers &amp; Conservat, Khairpur, Pakistan; [Ollerton, Jeff] Kunming Inst Bot, Kunming, Yunnan, Peoples R China</t>
  </si>
  <si>
    <t>University of Northampton; Shah Abdul Latif University; Chinese Academy of Sciences; Kunming Institute of Botany, CAS</t>
  </si>
  <si>
    <t>Sirohi, MH (通讯作者)，Univ Northampton, Fac Arts Sci &amp; Technol, Waterside Campus, Northampton, England.;Sirohi, MH (通讯作者)，Shah Abdul Latif Univ, Ctr Biodivers &amp; Conservat, Khairpur, Pakistan.</t>
  </si>
  <si>
    <t>muzafar.sirohi@salu.edu.pk</t>
  </si>
  <si>
    <t>HEC Pakistan</t>
  </si>
  <si>
    <t>HEC Pakistan(Higher Education Commission of Pakistan)</t>
  </si>
  <si>
    <t>The research was funded by HEC Pakistan.</t>
  </si>
  <si>
    <t>1083-8155</t>
  </si>
  <si>
    <t>1573-1642</t>
  </si>
  <si>
    <t>URBAN ECOSYST</t>
  </si>
  <si>
    <t>Urban Ecosyst.</t>
  </si>
  <si>
    <t>10.1007/s11252-022-01290-z</t>
  </si>
  <si>
    <t>Biodiversity Conservation; Ecology; Environmental Sciences; Urban Studies</t>
  </si>
  <si>
    <t>Biodiversity &amp; Conservation; Environmental Sciences &amp; Ecology; Urban Studies</t>
  </si>
  <si>
    <t>7A1VZ</t>
  </si>
  <si>
    <t>WOS:000854821900001</t>
  </si>
  <si>
    <t>Wang, DY; Xu, Q; Guo, WJ; Wu, FL; Chen, J; Liu, PG; Tian, W; Qiao, P</t>
  </si>
  <si>
    <t>Wang, Deyuan; Xu, Qiang; Guo, Wenjiao; Wu, Fanlin; Chen, Juan; Liu, Peigui; Tian, Wei; Qiao, Peng</t>
  </si>
  <si>
    <t>Microbial communities of ascocarps and soils in a natural habitat of Tuber indicum</t>
  </si>
  <si>
    <t>ARCHIVES OF MICROBIOLOGY</t>
  </si>
  <si>
    <t>Tuber indicum; Bacterial community; Fungal community; High-throughput sequencing</t>
  </si>
  <si>
    <t>BACTERIAL COMMUNITIES; WHITE TRUFFLE; BLACK TRUFFLE; MELANOSPORUM; DIVERSITY; REVEAL; FUNGI</t>
  </si>
  <si>
    <t>Truffles are the fruiting bodies of hypogeous fungi in the genus Tuber. Some truffle species usually grow in an area devoid of vegetation, called brule, but limited knowledge is available on the microbial composition and structure of them. Here, we investigated the bacterial and fungal communities of Tuber indicum ascocarps and soils inside and outside a characteristic brule from a poplar plantation with no truffle production history in northeastern China using a high-throughput sequencing approach. A predominance of members of the bacterial phylum Proteobacteria was observed in all samples. Members of Bacillus were the main genera in the ascocarps, while members of Lysobacter and unidentified Acidobacteria were more abundant in the soil. In addition, members of Gibberella, Fusarium, and Absidia were the dominant fungi in the ascocarps, while members of Tuber were enriched in the ascocarps and soils inside the brule. Some mycorrhization helper bacteria (Rhizobium) and ectomycorrhiza-associated bacteria (Lysobacter) were detected, indicating their potential roles in the complex development of underground fruiting bodies and brule formation. These findings may contribute to the protection and cultivation of truffles.</t>
  </si>
  <si>
    <t>Wang, Deyuan</t>
  </si>
  <si>
    <t>[Wang, Deyuan; Xu, Qiang; Wu, Fanlin; Tian, Wei] Ludong Univ, Key Lab Mol Module Based Breeding High Yield &amp; Ab, Yantai, Peoples R China; [Wang, Deyuan; Qiao, Peng] Shandong Acad Agr Sci, Shandong Inst Sericulture, Yantai, Peoples R China; [Guo, Wenjiao] Yantai Acad Agr Sci, Yantai, Peoples R China; [Chen, Juan] Chinese Acad Med Sci, Inst Med Plant Dev, Key Lab Bioact Subst &amp; Resources Utilizat Chinese, Peking Union Med Coll,Minist Educ, Beijing, Peoples R China; [Liu, Peigui] Chinese Acad Sci, Inst Bot, Key Lab Econ Plants &amp; Biotechnol Kunming, Kunming, Yunnan, Peoples R China</t>
  </si>
  <si>
    <t>Ludong University; Shandong Academy of Agricultural Sciences; Chinese Academy of Medical Sciences - Peking Union Medical College; Institute of Medicinal Plant Development - CAMS; Peking Union Medical College; Chinese Academy of Sciences; Kunming Institute of Botany, CAS</t>
  </si>
  <si>
    <t>Tian, W (通讯作者)，Ludong Univ, Key Lab Mol Module Based Breeding High Yield &amp; Ab, Yantai, Peoples R China.;Qiao, P (通讯作者)，Shandong Acad Agr Sci, Shandong Inst Sericulture, Yantai, Peoples R China.</t>
  </si>
  <si>
    <t>tianweixiaoxiao@163.com; qiaopeng3000buy@163.com</t>
  </si>
  <si>
    <t>Project of Shandong Provincial Natural Science Foundation [ZR2020MC001]; National Natural Science Foundation of China [31200248, 31500016]; Project of Shandong Province Higher Educational Science and Technology Program [J14LE07]; Key Research and Development Program of Yantai Grant [2019XDHZ089]</t>
  </si>
  <si>
    <t>Project of Shandong Provincial Natural Science Foundation; National Natural Science Foundation of China(National Natural Science Foundation of China (NSFC)); Project of Shandong Province Higher Educational Science and Technology Program; Key Research and Development Program of Yantai Grant</t>
  </si>
  <si>
    <t>This study was supported by the Project of Shandong Provincial Natural Science Foundation (ZR2020MC001), the National Natural Science Foundation of China (31200248 and 31500016), the Project of Shandong Province Higher Educational Science and Technology Program (J14LE07), and the Key Research and Development Program of Yantai Grant (2019XDHZ089).</t>
  </si>
  <si>
    <t>0302-8933</t>
  </si>
  <si>
    <t>1432-072X</t>
  </si>
  <si>
    <t>ARCH MICROBIOL</t>
  </si>
  <si>
    <t>Arch. Microbiol.</t>
  </si>
  <si>
    <t>10.1007/s00203-022-02763-7</t>
  </si>
  <si>
    <t>ZF5KG</t>
  </si>
  <si>
    <t>WOS:000759606000001</t>
  </si>
  <si>
    <t>An, DF; Yang, SJ; Jiang, LQ; Wang, XY; Huang, XY; Lang, L; Chen, XM; Fan, MQ; Li, GD; Jiang, MG; Wang, LS; Jiang, CL; Jiang, Y</t>
  </si>
  <si>
    <t>An, De-Feng; Yang, Shao-Juan; Jiang, Long-Qian; Wang, Xin-Yu; Huang, Xiao-Yu; Lang, Lei; Chen, Xue-Mei; Fan, Ming-Qun; Li, Gui-Ding; Jiang, Ming-Guo; Wang, Li-Song; Jiang, Cheng-Lin; Jiang, Yi</t>
  </si>
  <si>
    <t>Nakamurella leprariae sp. nov., isolated from a lichen sample</t>
  </si>
  <si>
    <t>Nakamurella; Nakamurella leprariae sp; nov; Polyphasic taxonomy; Lichen</t>
  </si>
  <si>
    <t>EMENDED DESCRIPTION; GEN. NOV.; FECES; AGAR; SOIL</t>
  </si>
  <si>
    <t>A novel actinobacterium, YIM 132084(T), was isolated from Lepraria sp. lichen collected from Yunnan province, south-west PR China and identified by a polyphasic taxonomic approach. The strain was Gram-stain-positive, aerobic, catalase-positive, oxidase-negative, non-motile and coccus-shaped. Colonies were round, convex, smooth and light orange yellow in color. It grew at 10-40 degrees C (optimum 28 degrees C), at pH 6.0-11.0 (optimum pH 7.0) and in the presence of 0-4% NaCl (optimum 0%). Strain YIM 132084(T) comprised diphosphatidylglycerol, phosphatidylethanolamine and phosphatidylinositol as the major polar lipids, MK-8(H-4) as the predominant menaquinone, and anteiso-C-15:0, anteiso-C-17:0, iso-C-15:0 and iso-C-16:0 as major fatty acids. Strain YIM 132084(T) had meso-diaminopimelic acid as the diagnostic diamino acid in the cell-wall peptidoglycan, and mannose, ribose, glucose and rhamnose as whole-cell sugars. The 16S rRNA gene sequence showed high level of similarity with Nakamurella flavida KCTC 19127(T) (97.7%) and Nakamurella flava CGMCC 4.7524(T) (97.7%). The G + C content of the genomic DNA was 72.4 mol%. Based on draft genome sequences, strain YIM 132084(T) showed an average nucleotide identity value of 76.1% and 74.9%, a digital DNA-DNA hybridization value of 20.9% and 20.6% with the reference strains Nakamurella flavida and Nakamurella flava, respectively. The results of the phenotypic, chemotaxonomic and phylogenetic analyses showed that strain YIM 132084(T) represents a novel species of the genus Nakamurella, for which the name Nakamurella leprariae sp. nov. is proposed. The type strain is YIM 132084(T) (= CGMCC 4.7667(T) = NBRC 114280(T) = KCTC 49367(T)).</t>
  </si>
  <si>
    <t>An, De-Feng</t>
  </si>
  <si>
    <t>[An, De-Feng; Yang, Shao-Juan; Jiang, Long-Qian; Huang, Xiao-Yu; Lang, Lei; Chen, Xue-Mei; Fan, Ming-Qun; Li, Gui-Ding; Jiang, Cheng-Lin; Jiang, Yi] Yunnan Univ, Sch Life Sci, Key Lab Conservat &amp; Utilizat Bioresource, Yunnan Inst Microbiol, Kunming, Yunnan, Peoples R China; [Wang, Xin-Yu; Wang, Li-Song] Chinese Acad Sci, Kunming Inst Bot, Key Lab Plant Divers &amp; Biogeog East Asia, Kunming 650201, Yunnan, Peoples R China; [Li, Gui-Ding] Northeastern Univ, Inst Microbial Pharmaceut, Shenyang 110819, Peoples R China; [Jiang, Ming-Guo] Guangxi Univ Nat, Guangxi Key Lab Polysaccharide Mat &amp; Modificat, Sch Marine Sci &amp; Biotechnol, Nanning 530008, Peoples R China</t>
  </si>
  <si>
    <t>Yunnan University; Chinese Academy of Sciences; Kunming Institute of Botany, CAS; Northeastern University - China; Guangxi Minzu University</t>
  </si>
  <si>
    <t>Jiang, Y (通讯作者)，Yunnan Univ, Sch Life Sci, Key Lab Conservat &amp; Utilizat Bioresource, Yunnan Inst Microbiol, Kunming, Yunnan, Peoples R China.</t>
  </si>
  <si>
    <t>jiangyi@ynu.edu.cn</t>
  </si>
  <si>
    <t>Li, Gui-Ding/0000-0002-0756-1738</t>
  </si>
  <si>
    <t>National Natural Science Foundation of China [32060001]; Major research project of Guangxi for science and technology [AA18242026]</t>
  </si>
  <si>
    <t>National Natural Science Foundation of China(National Natural Science Foundation of China (NSFC)); Major research project of Guangxi for science and technology</t>
  </si>
  <si>
    <t>This research was funded by National Natural Science Foundation of China (32060001) and Major research project of Guangxi for science and technology (AA18242026).</t>
  </si>
  <si>
    <t>10.1007/s00203-021-02626-7</t>
  </si>
  <si>
    <t>XP0LO</t>
  </si>
  <si>
    <t>WOS:000730566600004</t>
  </si>
  <si>
    <t>Sathyanarayanan, S; Sreeja, PS; Arunachalam, K; Parimelazhagan, T</t>
  </si>
  <si>
    <t>Sathyanarayanan, Saikumar; Sreeja, Puthanpura Sasidharan; Arunachalam, Karuppusamy; Parimelazhagan, Thangaraj</t>
  </si>
  <si>
    <t>Toxicity and Antiulcer Properties of Ipomoea wightii (Wall.) Choisy Leaves: An In Vivo Approach Using Wistar Albino Rats</t>
  </si>
  <si>
    <t>EVIDENCE-BASED COMPLEMENTARY AND ALTERNATIVE MEDICINE</t>
  </si>
  <si>
    <t>GLUTATHIONE-REDUCTASE; MEDICINAL-PLANTS; METHANOL EXTRACT; GASTRIC-ULCER; GAERTN. ROXB.; ANTIOXIDANT; PALMITOYLETHANOLAMIDE; METABOLISM; LIVER</t>
  </si>
  <si>
    <t>Humans have been using herbs to prevent and cure various ailments since antiquity, and Ipomoea wightii is a significant medicinal plant known for its wide ethnobotanical uses. Although the plant is known to treat ulcers, there is no significant scientific validation. The present study aimed to assess the acute toxicity, subacute toxicity, and antiulcer properties of the leaf methanol extract of I. wightii (IWL). In the subacute study, the extracts were given orally at 100, 200, and 400 mg/kg doses for 28 days, and we analyzed the biochemical and histological parameters to evaluate the toxicity of IWL. Two different models were assessed to explore antiulcer properties, such as indomethacin- and ethanol-induced ulcer model. Ulcer areas and ulceration percentage histopathology of the stomach were used to study the efficacy of extracts. The acute toxicity study showed that IWL was safe to the maximum dose of 2000 mg/kg body weight. In a subacute toxicity study, the oral administration of IWL did not produce any mortality in the tested animals. The analysis of haematological, liver biochemical, kidney profile, lipid profile, and in vivo antioxidant parameters depicted that all the values were within the control limits after the experimental period and were considered nontoxic to animals. Additionally, the antiulcer study demonstrated a positive response of IWL in a dose-related manner (indomethacin- and ethanol-induced models). Macroscopic analysis showed that pretreatment with I. wightii leaf methanol extract significantly reduced the gastric lesion and decreased the ulceration area (14.52 mm(2)), demonstrating superior results to the positive control group (27.71 mm(2)). The histopathological analysis revealed that pretreatment with a high dose of 400 mg/kg of I. wightii leaf methanol extract and positive control group (omeprazole) markedly protected pathological effects, and the gastric mucosa appeared normal. In conclusion, I. wightii has solid nontoxic potential as a promising native herb for an integral therapy for the treatment of ulcers.</t>
  </si>
  <si>
    <t>Sathyanarayanan, Saikumar</t>
  </si>
  <si>
    <t>[Sathyanarayanan, Saikumar] PSG Coll Arts &amp; Sci, Dept Bot, Coimbatore 641014, Tamil Nadu, India; [Sathyanarayanan, Saikumar; Sreeja, Puthanpura Sasidharan; Parimelazhagan, Thangaraj] Bharathiar Univ, Dept Bot, Bioprospecting Lab, Coimbatore 641046, Tamil Nadu, India; [Sreeja, Puthanpura Sasidharan] NSS Coll, Dept Bot, Palakkad, Kerala, India; [Arunachalam, Karuppusamy] Kunming Inst Bot, Chinese Acad Sci, Key Lab Econ Plants &amp; Biotechnol, Kunming 650201, Peoples R China; [Arunachalam, Karuppusamy] Chinese Acad Sci, Kunming Inst Bot, Yunnan Key Lab Wild Plant Resources, Kunming 650201, Peoples R China; [Arunachalam, Karuppusamy] Chinese Acad Sci, Southeast Asia Biodivers Res Inst, Nay Pyi Taw 05282, Myanmar</t>
  </si>
  <si>
    <t>PSG College of Arts &amp; Science; Bharathiar University; Chinese Academy of Sciences; Kunming Institute of Botany, CAS; Chinese Academy of Sciences; Kunming Institute of Botany, CAS</t>
  </si>
  <si>
    <t>Sathyanarayanan, S (通讯作者)，PSG Coll Arts &amp; Sci, Dept Bot, Coimbatore 641014, Tamil Nadu, India.;Sathyanarayanan, S; Parimelazhagan, T (通讯作者)，Bharathiar Univ, Dept Bot, Bioprospecting Lab, Coimbatore 641046, Tamil Nadu, India.;Arunachalam, K (通讯作者)，Kunming Inst Bot, Chinese Acad Sci, Key Lab Econ Plants &amp; Biotechnol, Kunming 650201, Peoples R China.;Arunachalam, K (通讯作者)，Chinese Acad Sci, Kunming Inst Bot, Yunnan Key Lab Wild Plant Resources, Kunming 650201, Peoples R China.;Arunachalam, K (通讯作者)，Chinese Acad Sci, Southeast Asia Biodivers Res Inst, Nay Pyi Taw 05282, Myanmar.</t>
  </si>
  <si>
    <t>drsaikumars@gmail.com; spsjun6@gmail.com; arunachalam04@gmail.com; drparimel@gmail.com</t>
  </si>
  <si>
    <t>Arunachalam, Karuppusamy/0000-0001-9146-7068; Sathyanarayanan, Saikumar/0000-0001-8286-9970</t>
  </si>
  <si>
    <t>DST [SR/FST/LS-/2017/106(C)]; Department of Botany, Bharathiar University, Coimbatore; PSG College of Arts &amp; Science, Coimbatore; Department of Pharmacology, Nandha College of Pharmacy, Erode; CAS-PIFI (Chinese Academy of Sciences-President's International Fellowship) [2020PB0112]; Southeast Asia Biodiversity Research Institute, Chinese Academy of Sciences Belt and Road Countries [2018FY100700, Y4ZK111B01]</t>
  </si>
  <si>
    <t>DST(Department of Science &amp; Technology (India)); Department of Botany, Bharathiar University, Coimbatore; PSG College of Arts &amp; Science, Coimbatore; Department of Pharmacology, Nandha College of Pharmacy, Erode; CAS-PIFI (Chinese Academy of Sciences-President's International Fellowship); Southeast Asia Biodiversity Research Institute, Chinese Academy of Sciences Belt and Road Countries</t>
  </si>
  <si>
    <t>The authors are thankful to DST- Fund for Improvement of S&amp;T (FIST) [Ref No: SR/FST/LS-/2017/106(C)] for providing instrumentation facilities throughout the research work. The first author is thankful to the Department of Botany, Bharathiar University, Coimbatore, PSG College of Arts &amp; Science, Coimbatore and Department of Pharmacology, Nandha College of Pharmacy, Erode, which provided support throughout the study. Karuppusamy Arunachalam acknowledge to the CAS-PIFI (Chinese Academy of Sciences-President's International Fellowship-Reference no. 2020PB0112) and The Southeast Asia Biodiversity Research Institute, Chinese Academy of Sciences Belt and Road Countries (2018FY100700) (Y4ZK111B01).</t>
  </si>
  <si>
    <t>HINDAWI LTD</t>
  </si>
  <si>
    <t>ADAM HOUSE, 3RD FLR, 1 FITZROY SQ, LONDON, W1T 5HF, ENGLAND</t>
  </si>
  <si>
    <t>1741-427X</t>
  </si>
  <si>
    <t>1741-4288</t>
  </si>
  <si>
    <t>EVID-BASED COMPL ALT</t>
  </si>
  <si>
    <t>Evid.-based Complement Altern. Med.</t>
  </si>
  <si>
    <t>MAY 18</t>
  </si>
  <si>
    <t>10.1155/2022/4328571</t>
  </si>
  <si>
    <t>Integrative &amp; Complementary Medicine</t>
  </si>
  <si>
    <t>1V3XO</t>
  </si>
  <si>
    <t>WOS:000806027100007</t>
  </si>
  <si>
    <t>Sivaraj, D; Butcher, RJ; Jasinski, JP; Sathyanarayanan, S; Ponnusamy, R; Sasidharan, SP; Muniyandi, K; Thangaraj, P; Arunachalam, K</t>
  </si>
  <si>
    <t>Sivaraj, Dhivya; Butcher, Ray J.; Jasinski, Jerry P.; Sathyanarayanan, Saikumar; Ponnusamy, Revathi; Sasidharan, Sreeja Puthanpura; Muniyandi, Kasipandi; Thangaraj, Parimelazhagan; Arunachalam, Karuppusamy</t>
  </si>
  <si>
    <t>Antioxidant and Antivenom Potential of an Essential Oil, 4-(2-Oxo-propyl)-cyclopentane-1,3-dione, and Allantoin Derived from the Polyherbal Combination of Aristolochia indica L. and Piper nigrum L.</t>
  </si>
  <si>
    <t>NONSTEROIDAL ANTIINFLAMMATORY DRUGS; PROTEIN-BINDING; ACID; COMPLEXES; ALBUMIN; CRYSTAL</t>
  </si>
  <si>
    <t>The goal of this study was to identify new compounds from a methanol extract of a polyherbal combination of Aristolochia indica L. and Piper nigrum L. (MECAIPN), two traditional medicinal plants used to cure envenomation, as well as to assess their antioxidant and antivenom properties. MECAIPN yielded EA1 (an essential oil), AA2 (4-(2-oxo-propyl)-cyclopentane-1,3-dione), and W3 ((2,5-dioxo-imidazolidin-4-yl)-urea) (Allantoin). Although EA1 had stronger radical scavenging activity, AA2 had higher DPPH and ferric ion radical scavenging activity, and W3 had higher molybdenum ion radical scavenging activity due to being a single molecule, the binding investigation revealed that EA1 has a greater Stern-Volmer quenching constant (Ksv) than AA2 and W3. Synchronous measurements indicated that EA1, AA2, and W3 bind to tryptophan and tyrosine residues in venom, causing denaturation of the secondary structure of the residue. Finally, the current study concludes that EA1 has more therapeutic antivenom potential, which could be related to the synergism of chemicals found in it. When it came to single compounds, AA2 had stronger antioxidant and antivenom capabilities than W3. To understand the mechanism of action and manufacture the green antivenom medication, more testing of the EA1 and compounds remains required.</t>
  </si>
  <si>
    <t>Sivaraj, Dhivya</t>
  </si>
  <si>
    <t>[Sivaraj, Dhivya; Sathyanarayanan, Saikumar; Ponnusamy, Revathi; Sasidharan, Sreeja Puthanpura; Muniyandi, Kasipandi; Thangaraj, Parimelazhagan] Bharathiar Univ, Dept Bot, Bioprospecting Lab, Coimbatore 641046, Tamil Nadu, India; [Butcher, Ray J.] Howard Univ, Inorgan &amp; Struct Chem, Washington, DC 20059 USA; [Jasinski, Jerry P.] Keene State Coll, Dept Chem, Phys &amp; Struct Chem, 229 Main St, Keene, NH 03435 USA; [Sathyanarayanan, Saikumar] PSG Coll Arts &amp; Sci Autonomous, Dept Bot, Coimbatore 641014, India; [Ponnusamy, Revathi] Kongunadu Arts &amp; Sci Coll Autonomous, Dept Bot, GN Mills, Coimbatore 641029, India; [Arunachalam, Karuppusamy] Chinese Acad Sci, Kunming Inst Bot, Key Lab Econ Plants &amp; Biotechnol, Yunnan Key Lab Wild Plant Resources, Kunming 650201, Peoples R China</t>
  </si>
  <si>
    <t>Bharathiar University; Howard University; University System Of New Hampshire; Keene State College; PSG College of Arts &amp; Science; Chinese Academy of Sciences; Kunming Institute of Botany, CAS</t>
  </si>
  <si>
    <t>Thangaraj, P (通讯作者)，Bharathiar Univ, Dept Bot, Bioprospecting Lab, Coimbatore 641046, Tamil Nadu, India.;Arunachalam, K (通讯作者)，Chinese Acad Sci, Kunming Inst Bot, Key Lab Econ Plants &amp; Biotechnol, Yunnan Key Lab Wild Plant Resources, Kunming 650201, Peoples R China.</t>
  </si>
  <si>
    <t>dhivi1220@yahoo.in; rbutcher@fac.howard.edu; jjasinsk@keene.edu; saikumar@psgcas.ac.in; reva.ponnusamy@gmail.com; spsju6@gmail.com; m.kasipandi@gmail.com; drparimel@gmail.com; arunachalam04@gmail.com</t>
  </si>
  <si>
    <t>Arunachalam, Karuppusamy/G-5023-2018; MUNIYANDI, KASIPANDI/Y-4250-2018</t>
  </si>
  <si>
    <t>Arunachalam, Karuppusamy/0000-0001-9146-7068; Ponnusamy, Revathi/0000-0001-5192-675X; MUNIYANDI, KASIPANDI/0000-0001-9740-3989; Butcher, Ray/0000-0003-2770-7076; Sathyanarayanan, Saikumar/0000-0001-8286-9970</t>
  </si>
  <si>
    <t>UGCSAP [F.5-16/2016/DRS-1 (SAP-II)]; DST-FIST [SR/FST/LS-II/2017/106 (C)]; MHRD; RUSA 2.0; BCTRC; BEICH; CAS-PIFI (Chinese Academy of Sciences-President's International Fellowship) [11682020PB0112]</t>
  </si>
  <si>
    <t>UGCSAP(University Grants Commission, India); DST-FIST(Department of Science &amp; Technology (India)); MHRD; RUSA 2.0; BCTRC; BEICH; CAS-PIFI (Chinese Academy of Sciences-President's International Fellowship)</t>
  </si>
  <si>
    <t>THe authors acknowledge the funding support under UGCSAP (Ref No: F.5-16/2016/DRS-1 (SAP-II)), DST-FIST (Ref No: SR/FST/LS-II/2017/106 (C)), and MHRD and RUSA 2.0, BCTRC, and BEICH programs sanctioned to the Department of Botany, Bharathiar University. The authors also acknowledge the Vellore Institute of Technology, Vellore and Department of Physics and Nanotechnology, Bharathiar University, Tamil Nadu, for their assistance in crystal structure prediction. Furthermore, Karuppusamy Arunachalam acknowledges the CAS-PIFI (Chinese Academy of Sciences-President's International Fellowship for Postdoctoral Research, Reference no. 11682020PB0112) for his postdoctoral research.</t>
  </si>
  <si>
    <t>MAR 7</t>
  </si>
  <si>
    <t>10.1155/2022/4797884</t>
  </si>
  <si>
    <t>0P4UU</t>
  </si>
  <si>
    <t>WOS:000784217500005</t>
  </si>
  <si>
    <t>Ding, ML; Wang, ZQ; Fan, Q; Liao, HF; Liu, K; Li, MJ; Ma, ZH; Yu, H; Wang, YB</t>
  </si>
  <si>
    <t>Ding, Mingliang; Wang, Zhiqin; Fan, Qi; Liao, Hefa; Liu, Kun; Li, Mingju; Ma, Zhanhong; Yu, Hong; Wang, Yuanbing</t>
  </si>
  <si>
    <t>First report of Claviceps purpurea causing ergot disease on wheat (Triticum aestivum) in southwestern China</t>
  </si>
  <si>
    <t>JOURNAL OF PLANT PATHOLOGY</t>
  </si>
  <si>
    <t>Claviceps purpurea; Ergot disease; Pathogenicity test; Wheat</t>
  </si>
  <si>
    <t>Ding, Mingliang</t>
  </si>
  <si>
    <t>[Ding, Mingliang; Wang, Yuanbing] Chinese Acad Sci, CAS Key Lab Plant Divers &amp; Biogeog East Asia, Kunming Inst Bot, Kunming 650201, Yunnan, Peoples R China; [Ding, Mingliang; Liu, Kun] Yunnan Acad Agr Sci, Food Crops Res Inst, Kunming 650205, Yunnan, Peoples R China; [Ding, Mingliang; Ma, Zhanhong] China Agr Univ, Dept Plant Pathol, Coll Plant Protect, Beijing 100193, Peoples R China; [Wang, Zhiqin; Fan, Qi; Yu, Hong; Wang, Yuanbing] Yunnan Univ, Sch Ecol &amp; Environm Sci, Yunnan Herbal Lab, Kunming 650091, Yunnan, Peoples R China; [Liao, Hefa; Wang, Yuanbing] Chinese Acad Sci, Kunming Inst Bot, Yunnan Key Lab Fungal Divers &amp; Green Dev, Kunming 650201, Yunnan, Peoples R China; [Li, Mingju] Yunnan Acad Agr Sci, Agr Environm &amp; Resources Inst, Kunming 650205, Yunnan, Peoples R China</t>
  </si>
  <si>
    <t>Chinese Academy of Sciences; Kunming Institute of Botany, CAS; Yunnan Academy of Agricultural Sciences; China Agricultural University; Yunnan University; Chinese Academy of Sciences; Kunming Institute of Botany, CAS; Yunnan Academy of Agricultural Sciences</t>
  </si>
  <si>
    <t>Wang, YB (通讯作者)，Chinese Acad Sci, CAS Key Lab Plant Divers &amp; Biogeog East Asia, Kunming Inst Bot, Kunming 650201, Yunnan, Peoples R China.;Yu, H; Wang, YB (通讯作者)，Yunnan Univ, Sch Ecol &amp; Environm Sci, Yunnan Herbal Lab, Kunming 650091, Yunnan, Peoples R China.;Wang, YB (通讯作者)，Chinese Acad Sci, Kunming Inst Bot, Yunnan Key Lab Fungal Divers &amp; Green Dev, Kunming 650201, Yunnan, Peoples R China.</t>
  </si>
  <si>
    <t>hongyu@ynu.edu.cn; wangyuanbing@mail.kib.ac.cn</t>
  </si>
  <si>
    <t>National Natural Science Foundation of China [32060007, 31870017]; Science and Technology Planning Project of Yunnan Province [202207AB110016]; Major Special Projects of Budget Projects of Financial Departments in Yunnan Province [530000210000000013809]</t>
  </si>
  <si>
    <t>National Natural Science Foundation of China(National Natural Science Foundation of China (NSFC)); Science and Technology Planning Project of Yunnan Province; Major Special Projects of Budget Projects of Financial Departments in Yunnan Province</t>
  </si>
  <si>
    <t>This work was supported by the National Natural Science Foundation of China (32060007, 31870017), the Science and Technology Planning Project of Yunnan Province (202207AB110016), and the Major Special Projects of Budget Projects of Financial Departments in Yunnan Province (530000210000000013809).</t>
  </si>
  <si>
    <t>1125-4653</t>
  </si>
  <si>
    <t>2239-7264</t>
  </si>
  <si>
    <t>J PLANT PATHOL</t>
  </si>
  <si>
    <t>J. Plant Pathol.</t>
  </si>
  <si>
    <t>10.1007/s42161-022-01227-7</t>
  </si>
  <si>
    <t>6Z0PG</t>
  </si>
  <si>
    <t>WOS:000864041000001</t>
  </si>
  <si>
    <t>Hu, ZH; Yang, TT; Ma, CL; Zhang, ZK; Guo, JW; Zhao, LH</t>
  </si>
  <si>
    <t>Hu, Zhonghui; Yang, Tingting; Ma, Changle; Zhang, Zhongkai; Guo, Jianwei; Zhao, Lihua</t>
  </si>
  <si>
    <t>First report of cucumber mosaic virus (CMV) infected Calotropis gigantea in China</t>
  </si>
  <si>
    <t>Hu, Zhonghui</t>
  </si>
  <si>
    <t>[Hu, Zhonghui; Guo, Jianwei] Chinese Acad Sci, Kunming Inst Bot, Kunming 650201, Yunnan, Peoples R China; [Yang, Tingting; Zhang, Zhongkai; Zhao, Lihua] Yunnan Acad Agr Sci, Biotechnol &amp; Germplasm Resources Inst, Kunming 650205, Yunnan, Peoples R China; [Yang, Tingting; Ma, Changle] Southwest Forestry Univ, Garden &amp; Hort Coll, Kunming 650224, Yunnan, Peoples R China</t>
  </si>
  <si>
    <t>Chinese Academy of Sciences; Kunming Institute of Botany, CAS; Yunnan Academy of Agricultural Sciences; Southwest Forestry University - China</t>
  </si>
  <si>
    <t>Hu, ZH (通讯作者)，Chinese Acad Sci, Kunming Inst Bot, Kunming 650201, Yunnan, Peoples R China.</t>
  </si>
  <si>
    <t>Yunnan Fundamental Research Projects [202101AT070269]; Special Project of science and technology for evitalization country [202004BI090026]; National Natural Science Foundation of China [31960531]</t>
  </si>
  <si>
    <t>Yunnan Fundamental Research Projects; Special Project of science and technology for evitalization country; National Natural Science Foundation of China(National Natural Science Foundation of China (NSFC))</t>
  </si>
  <si>
    <t>The authors acknowledge financial supported by Yunnan Fundamental Research Projects (202101AT070269); Special Project of science and technology for evitalization country (202004BI090026); National Natural Science Foundation of China (31960531).</t>
  </si>
  <si>
    <t>10.1007/s42161-022-01084-4</t>
  </si>
  <si>
    <t>WOS:000854746300001</t>
  </si>
  <si>
    <t>Zhuang, WB; Hu, DF; Zhang, XD; Xiong, K; Ding, X; Lu, J; Mao, Y; Yang, P; Liu, C; Wan, YF</t>
  </si>
  <si>
    <t>Zhuang, Wenbo; Hu, Dafeng; Zhang, Xudong; Xiong, Kai; Ding, Xiao; Lu, Jian; Mao, Yong; Yang, Peng; Liu, Chao; Wan, Yanfen</t>
  </si>
  <si>
    <t>Antimicrobial power of biosynthesized Ag nanoparticles using refined Ginkgo biloba leaf extracts</t>
  </si>
  <si>
    <t>FRONTIERS OF MATERIALS SCIENCE</t>
  </si>
  <si>
    <t>Ginkgo biloba extract; silver nanoparticle; green synthesis; antibacterial application</t>
  </si>
  <si>
    <t>SILVER NANOPARTICLES; GREEN SYNTHESIS; MECHANISMS; TOXICITY; SHAPE</t>
  </si>
  <si>
    <t>Silver nanoparticles (Ag NPs), relative to existing antibacterial agents, are more effective, less toxic and more economical, and have shown enormous potential for the nanomedicine application. In this work, we report a 'green' method for the rapid and efficient synthesis of Ag NPs using Ginkgo biloba extracts as reducing agent and capping agent. The properties of Ag NPs against fungi and bacteria were investigated. The results showed that the Ginkgo biloba extracts are crucial for the preparation of uniform and monodispersed Ag NPs. The prepared Ag NPs exhibited remarkable antibacterial activities. The minimum inhibitory concentrations of Ag NPs for Escherichia coli and Pseudomonas aeruginosa were 0.044 and 0.088 mu g center dot mL(-1), respectively. Moreover, Ag NPs exhibited excellent bactericidal performance against MDR-Pseudomonas aeruginosa. It was found that the effect of the antibacterial activity of Ag NPs on Escherichia coli and Staphylococcus aureus was tightly related to the reactive oxygen species accumulation. This research provides guidelines for the efficient green synthesis of Ag NPs and its antibacterial applications.</t>
  </si>
  <si>
    <t>Zhuang, Wenbo</t>
  </si>
  <si>
    <t>[Zhuang, Wenbo; Hu, Dafeng; Zhang, Xudong; Xiong, Kai; Mao, Yong; Yang, Peng; Wan, Yanfen] Yunnan Univ, Natl Ctr Int Res Photoelect &amp; Energy Mat, Adv Comp Ctr, Sch Mat &amp; Energy, Kunming 650091, Yunnan, Peoples R China; [Ding, Xiao] Chinese Acad Sci, Kunming Inst Bot, Kunming 650201, Yunnan, Peoples R China; [Lu, Jian; Liu, Chao] Kunming Med Univ, Dept Nucl Med, Yunnan Canc Hosp, Kunming 650118, Yunnan, Peoples R China; [Lu, Jian; Liu, Chao] Kunming Med Univ, Affiliated Hosp 3, Kunming 650118, Yunnan, Peoples R China</t>
  </si>
  <si>
    <t>Yunnan University; Chinese Academy of Sciences; Kunming Institute of Botany, CAS; Kunming Medical University; Kunming Medical University</t>
  </si>
  <si>
    <t>Yang, P; Wan, YF (通讯作者)，Yunnan Univ, Natl Ctr Int Res Photoelect &amp; Energy Mat, Adv Comp Ctr, Sch Mat &amp; Energy, Kunming 650091, Yunnan, Peoples R China.;Liu, C (通讯作者)，Kunming Med Univ, Dept Nucl Med, Yunnan Canc Hosp, Kunming 650118, Yunnan, Peoples R China.;Liu, C (通讯作者)，Kunming Med Univ, Affiliated Hosp 3, Kunming 650118, Yunnan, Peoples R China.</t>
  </si>
  <si>
    <t>pyang@ynu.edu.cn; liuchao@kmmu.edu.cn; yfwan@ynu.edu.cn</t>
  </si>
  <si>
    <t>National Natural Science Foundation of China [51871196, 81960322]; Yunnan Fundamental Research Projects [202001BB050046]; Major Science and Technology Project of Precious Metal Materials Genetic Engineering in Yunnan Province [202002AB080001]; Yunnan University and Science &amp; Technology Department of Yunnan Province [2019FY003013]; Medical Reserve Personnel Training Program of Yunnan Provincial Health Commission [H-2018097]</t>
  </si>
  <si>
    <t>National Natural Science Foundation of China(National Natural Science Foundation of China (NSFC)); Yunnan Fundamental Research Projects; Major Science and Technology Project of Precious Metal Materials Genetic Engineering in Yunnan Province; Yunnan University and Science &amp; Technology Department of Yunnan Province; Medical Reserve Personnel Training Program of Yunnan Provincial Health Commission</t>
  </si>
  <si>
    <t>The authors acknowledge financial supports by the National Natural Science Foundation of China (Grant Nos. 51871196 and 81960322), the Yunnan Fundamental Research Projects (Grant No. 202001BB050046), the Major Science and Technology Project of Precious Metal Materials Genetic Engineering in Yunnan Province (Grant No. 202002AB080001), the joint fund of Yunnan University and Science &amp; Technology Department of Yunnan Province (Grant No. 2019FY003013), and the Medical Reserve Personnel Training Program of Yunnan Provincial Health Commission (Grant No. H-2018097).</t>
  </si>
  <si>
    <t>HIGHER EDUCATION PRESS</t>
  </si>
  <si>
    <t>CHAOYANG DIST, 4, HUIXINDONGJIE, FUSHENG BLDG, BEIJING 100029, PEOPLES R CHINA</t>
  </si>
  <si>
    <t>2095-025X</t>
  </si>
  <si>
    <t>2095-0268</t>
  </si>
  <si>
    <t>FRONT MATER SCI</t>
  </si>
  <si>
    <t>Front. Mater. Sci.</t>
  </si>
  <si>
    <t>10.1007/s11706-022-0594-8</t>
  </si>
  <si>
    <t>0Z9KD</t>
  </si>
  <si>
    <t>WOS:000791387400002</t>
  </si>
  <si>
    <t>Simon, A; Goffinet, B; Wang, LS; Spribille, T; Goward, T; Pystina, T; Semenova, N; Stepanov, NV; Moncada, B; Lucking, R; Magain, N; Serusiaux, E</t>
  </si>
  <si>
    <t>Simon, Antoine; Goffinet, Bernard; Wang, Li-Song; Spribille, Toby; Goward, Trevor; Pystina, Tatiana; Semenova, Natalia; Stepanov, Nikolay V.; Moncada, Bibiana; Luecking, Robert; Magain, Nicolas; Serusiaux, Emmanuel</t>
  </si>
  <si>
    <t>Global phylogeny and taxonomic reassessment of the lichen genus Dendriscosticta (Ascomycota: Peltigerales)</t>
  </si>
  <si>
    <t>TAXON</t>
  </si>
  <si>
    <t>Dendriscocaulon; epitypification; lichenized fungi; Lobariaceae; Lobarioideae; Peltigeraceae; Sticta</t>
  </si>
  <si>
    <t>SPECIES DELIMITATION; NEW-ZEALAND; LOBARIACEAE PELTIGERALES; STICTA LOBARIACEAE; FAMILY LOBARIACEAE; DNA-SEQUENCES; FORMING FUNGI; ALIGNMENT; TREES; PHOTOSYMBIODEMES</t>
  </si>
  <si>
    <t>The genus Dendriscosticta (Ascomycota: Peltigerales) encompasses several distinctive lichen-forming fungal species restricted to the Northern Hemisphere. Most are flagship species of old-growth forests with good air quality. A global phylogeny of the genus based on multilocus sequence data (ITS, RPB1, EF-1 alpha, MCM7), model-based phylogenetic methods, and morphological and chemical assessments, reveals a high level of cryptic speciation often associated with restricted geographical distribution and/or chemical characters. Using sequence-based species delimitation approaches, we circumscribe two main clades referred to as the D. wrightii clade, with five unequivocal species, including D. gelida sp. nov., and the D. praetextata clade, with eight putative species, including D. phyllidiata sp. nov. The absence of recently collected material of D. hookeri comb. nov. from the type locality unfortunately prevents assignment of this epithet to one of the five supported lineages sharing this morphotype. Three new combinations are proposed: D. hookeri, D. insinuans comb. nov. and D. yatabeana comb. nov. Epitypes are designated for D. wrightii and D. yatabeana. Species diversity within the genus increased from four to nine. Our morphological assessment confirmed that Sticta and Dendriscosticta can be readily distinguished by the presence of excipular algae whereas the structure of the lower surface pores is not a reliable diagnostic feature.</t>
  </si>
  <si>
    <t>Simon, Antoine</t>
  </si>
  <si>
    <t>[Simon, Antoine; Magain, Nicolas; Serusiaux, Emmanuel] Univ Liege, InBIOS Res Ctr, Evolut &amp; Conservat Biol, Quartier Vallee 1,Chemin Vallee 4, B-4000 Liege, Belgium; [Simon, Antoine; Goffinet, Bernard] Univ Connecticut, Dept Ecol &amp; Evolutionary Biol, 75 Northeagleville Rd, Storrs, CT 06269 USA; [Wang, Li-Song] Chinese Acad Sci, Kunming Inst Bot, CAS Key Lab Plant Div &amp; Biogeog East Asia, Kunming, Peoples R China; [Spribille, Toby] Univ Alberta, Dept Biol Sci, CW405, Edmonton, AB T6G 2R3, Canada; [Goward, Trevor] Univ British Columbia, UBC Herbarium, Beaty Museum, Vancouver, BC V6T IZ4, Canada; [Pystina, Tatiana; Semenova, Natalia] RAS, Inst Biol, Komi Sci Ctr UrD, Kommunisticheskaya St 28, Syktyvkar, Russia; [Stepanov, Nikolay V.] Siberian Fed Univ, Fundamental Biol &amp; Biotechnol Dept, Svobodnii St 79, Krasnoyarsk 660041, Russia; [Moncada, Bibiana] Univ Distrital Francisco Jose de Caldas, Torre Lab, Cra 4 26D 54, Bogota, Colombia; [Moncada, Bibiana] Field Museum, Negaunee Integrat Res Ctr, 1400 South Lake Shore, Chicago, IL 60605 USA; [Moncada, Bibiana; Luecking, Robert] Free Univ Berlin, Bot Garten, Konigin Luise Str 6-8, D-14195 Berlin, Germany</t>
  </si>
  <si>
    <t>University of Liege; University of Connecticut; Chinese Academy of Sciences; Kunming Institute of Botany, CAS; University of Alberta; University of British Columbia; Russian Academy of Sciences; Institute of Biology, Komi Scientific Centre, Ural Branch RAS; Komi Science Centre of the Ural Branch of the Russian Academy of Sciences; Siberian Federal University; Universidad Distrital Francisco Jose de Caldas; Field Museum of Natural History (Chicago); Free University of Berlin</t>
  </si>
  <si>
    <t>Simon, A (通讯作者)，Univ Liege, InBIOS Res Ctr, Evolut &amp; Conservat Biol, Quartier Vallee 1,Chemin Vallee 4, B-4000 Liege, Belgium.;Simon, A (通讯作者)，Univ Connecticut, Dept Ecol &amp; Evolutionary Biol, 75 Northeagleville Rd, Storrs, CT 06269 USA.</t>
  </si>
  <si>
    <t>asimon@uliege.be</t>
  </si>
  <si>
    <t>Pystina, Tatiana/0000-0003-2215-4724; Goffinet, Bernard/0000-0002-2754-3895; Stepanov, Nikolai Vital'evic/0000-0002-0692-8796; Moncada, Bibiana/0000-0001-9984-2918</t>
  </si>
  <si>
    <t>FRIA; Fonds de la Recherche Scientifique - FNRS (F.R.S.-FNRS); NSF [DEB-1354631]; National Natural Science Foundation of China [31970022, 31670028]; Second Tibetan Plateau Scientific Expedition and Research Program (STEP) [2019QZKK0503]; FNRS [CDR J.0147.19]</t>
  </si>
  <si>
    <t>FRIA(Fonds de la Recherche Scientifique - FNRS); Fonds de la Recherche Scientifique - FNRS (F.R.S.-FNRS)(Fonds de la Recherche Scientifique - FNRS); NSF(National Science Foundation (NSF)); National Natural Science Foundation of China(National Natural Science Foundation of China (NSFC)); Second Tibetan Plateau Scientific Expedition and Research Program (STEP); FNRS(Fonds de la Recherche Scientifique - FNRS)</t>
  </si>
  <si>
    <t>AS acknowledges financial support from FRIA, a grant of the Fonds de la Recherche Scientifique - FNRS (F.R.S.-FNRS). This study was also supported by NSF grant DEB-1354631 to BG and additional intramural funds. We are grateful to the herbarium curators of FH, G, H, KoLRI, LE, TNS, UBC, and US for arranging for loans of material or visits. For collections stored in S, Mats Wedin could confirm that these were unfortunately inaccessible for the time being. The Chinese material was supported by grants from the National Natural Science Foundation of China (31970022, 31670028) and the Second Tibetan Plateau Scientific Expedition and Research Program (STEP; 2019QZKK0503). This work was carried out within the framework of a State Assignment of the Institute of Biology of Komi Science Center, Ural Branch, Russian Academy of Sciences. The field trip in Japan was funded by FNRS grant Lichen genomics and climate (CDR J.0147.19). We thank Shuzo Oita (School of Plant Sciences, University of Arizona) and Prof. Yoshitaka Uchida (University of Hokkaido) for their help in organizing the logistics of the trip and gathering all the collecting permits in Japan, as well as Prof. Yoshitaka Uchida and all his students for help and assistance in the field. We also thank Prof. Karibu Fukuzawa (University of Hokkaido) and the Nakagawa Experimental Forest, and Prof. Ryunosuke Tateno (Kyoto University) and the Shibecha research forest for welcoming us and for their assistance with the field studies in Hokkaido. We thank the Ministry of the Environment, the Ministry of Culture of Japan and the Nakagawa city council for processing and delivering the collection permits. The following friends and colleagues are warmly thanked for providing material or assisting with fieldwork: Rajesh Bajpai, Paula Bartemucci, Alexander Borovlev, Romain Darnajoux, Thibaut Dethier, Karen Dillman, Spencer Goyette, Jae-Seoun Hur, Yoshihito Ohmura, Christine Partoune, Craig Pettitt, Gulnara Tagirdzhanova, Tor TOnsberg, and Dalip K. Upreti. We further thank Laurent Gohy and Dinah Parker for technical assistance in the molecular laboratory at the University of Liege and the University of Connecticut, respectively. An earlier version of this article was included in the Ph.D. dissertation of AS.</t>
  </si>
  <si>
    <t>0040-0262</t>
  </si>
  <si>
    <t>1996-8175</t>
  </si>
  <si>
    <t>Taxon</t>
  </si>
  <si>
    <t>10.1002/tax.12649</t>
  </si>
  <si>
    <t>Plant Sciences; Evolutionary Biology</t>
  </si>
  <si>
    <t>0E5WH</t>
  </si>
  <si>
    <t>WOS:000736707300001</t>
  </si>
  <si>
    <t>Chen, DK; Zhou, XM; Rothfels, CJ; Shepherd, LD; Knapp, R; Zhang, L; Lu, NT; Fan, XP; Wan, X; Gao, XF; He, H; Zhang, LB</t>
  </si>
  <si>
    <t>Chen, De-Kui; Zhou, Xin-Mao; Rothfels, Carl J.; Shepherd, Lara D.; Knapp, Ralf; Zhang, Liang; Lu, Ngan Thi; Fan, Xue-Ping; Wan, Xia; Gao, Xin-Fen; He, Hai; Zhang, Li-Bing</t>
  </si>
  <si>
    <t>A global phylogeny of Lycopodiaceae (Lycopodiales; lycophytes) with the description of a new genus, Brownseya, from Oceania</t>
  </si>
  <si>
    <t>Huperzia; lycophyte phylogeny; Lycopodiella serpentina; Phlegmariurus; Phylloglossum; vascular plant evolution</t>
  </si>
  <si>
    <t>COMPLETE CHLOROPLAST GENOME; LYCOPODIOPSIDA LYCOPODIACEAE; GENERIC CLASSIFICATION; SPORE MORPHOLOGY; EARLY EVOLUTION; LAND PLANTS; RBCL GENE; HUPERZIA; SEQUENCE; LIKELIHOOD</t>
  </si>
  <si>
    <t>Lycopodiaceae are one of the oldest lineages of any living vascular plants and contain about 400 species distributed on all continents except Antarctica, with its highest diversity in tropical regions. Previous studies on the morphology, anatomy, and molecular systematics of Lycopodiaceae have made substantial progress in understanding the diversity and evolution of the family, but major issues remain. In particular, earlier studies had relatively sparse taxon sampling, some critical relationships among the genera have not been well resolved, and the monophyly of some genera (e.g., Huperzia, Lycopodiella, Pseudolycopodiella, Spinulum) has not been robustly tested with large sampling. In this study, we apply maximum likelihood, maximum parsimony, and Bayesian inference to a dataset of 1150 (918 newly generated) DNA sequences of seven plastid markers (atpA, psbA-trnH, rbcL, rps4, rps4-trnS, trnL, trnL-F) of 334 accessions representing ca. 155 (ca. 39% of all) species in the family to infer a global phylogeny. Our major results include: (1) the tree is resolved into three primary clades corresponding to the three subfamilies, Huperzioideae, Lycopodioideae, and Lycopodielloideae; (2) these three primary clades are resolved into 17 major clades, of which 16 represent genera recognized in the PPG I classification, while Lycopodiella serpentina is resolved as sister to Palhinhaea, and thus a new genus, Brownseya, is described, and a key to genera of Lycopodielloideae is given; (3) Phylloglossum is strongly or moderately supported as sister to Phlegmariurus in ML and MP analyses (but not in BI analysis), and thus our evidence supports the recognition of Phlegmariurus in order to maintain a monophyletic Huperzia; (4) Lycopodiella is sister to Pseudolycopodiella and they together are sister to Lateristachys + (Brownseya + Palhinhaea); (5) Huperzia, Lycopodiella, Pseudolycopodiella, and Spinulum are each strongly supported as monophyletic; (6) spore morphology is well consistent with the phylogenetic relationships in the family; and (7) based on these results we recognize 17 genera in three subfamilies in the family.</t>
  </si>
  <si>
    <t>Chen, De-Kui</t>
  </si>
  <si>
    <t>[Chen, De-Kui; He, Hai] Chongqing Normal Univ, Coll Life Sci, Chongqing 400047, Peoples R China; [Chen, De-Kui; Fan, Xue-Ping; Wan, Xia; Gao, Xin-Fen; Zhang, Li-Bing] Chinese Acad Sci, Chengdu Inst Biol, CAS Key Lab Mt Ecol Restorat &amp; Bioresource Utiliz, POB 416, Chengdu 610041, Sichuan, Peoples R China; [Chen, De-Kui] 1 Middle Sch Tongren, Tong Ren 554300, Guizhou, Peoples R China; [Zhou, Xin-Mao] Yunnan Univ, Sch Ecol &amp; Environm Sci, Kunming 650091, Yunnan, Peoples R China; [Rothfels, Carl J.] Univ Calif Berkeley, Univ Herbarium, 1001 Valley Life Sci Bldg, Berkeley, CA 94720 USA; [Rothfels, Carl J.] Univ Calif Berkeley, Dept Integrat Biolofty, 1001 Valley Life Sci Bldg, Berkeley, CA 94720 USA; [Shepherd, Lara D.] Museum New Zealand Papa Tongarewa, Wellington, New Zealand; [Knapp, Ralf] Museum Natl Hist Nat MNHN, Paris, France; [Knapp, Ralf] Steigestr 78, D-69412 Eberbach, Germany; [Zhang, Liang] Chinese Acad Sci, Kunming Inst Bot, Key Lab Plant Divers &amp; Biogeog East Asia Kunming, Kunming 650201, Yunnan, Peoples R China; [Lu, Ngan Thi] Vietnam Acad Sci &amp; Technol, Dept Biol, Vietnam Natl Museum Nat, 18 Hoang Quoc Viet, Hanoi, Vietnam; [Zhang, Li-Bing] Missouri Bot Garden, 4344 Shaw Blvd, St Louis, MO 63110 USA</t>
  </si>
  <si>
    <t>Chongqing Normal University; Chinese Academy of Sciences; Chengdu Institute of Biology, CAS; Yunnan University; University of California System; University of California Berkeley; University of California System; University of California Berkeley; Museum National d'Histoire Naturelle (MNHN); Chinese Academy of Sciences; Kunming Institute of Botany, CAS; Vietnam Academy of Science &amp; Technology (VAST); Missouri Botanical Gardens</t>
  </si>
  <si>
    <t>He, H (通讯作者)，Chongqing Normal Univ, Coll Life Sci, Chongqing 400047, Peoples R China.;Gao, XF; Zhang, LB (通讯作者)，Chinese Acad Sci, Chengdu Inst Biol, CAS Key Lab Mt Ecol Restorat &amp; Bioresource Utiliz, POB 416, Chengdu 610041, Sichuan, Peoples R China.;Zhang, LB (通讯作者)，Missouri Bot Garden, 4344 Shaw Blvd, St Louis, MO 63110 USA.</t>
  </si>
  <si>
    <t>xfgao@cib.ac.cn; hehai@cqnu.edu.cn; Libing.Zhang@mobot.org</t>
  </si>
  <si>
    <t>gao, xin fen/0000-0002-5703-1639; Zhang, Liang/0000-0003-3784-3135; Shepherd, Lara/0000-0002-7136-0017; Knapp, Ralf/0000-0002-0147-5687; Rothfels, Carl/0000-0002-6605-1770</t>
  </si>
  <si>
    <t>10.1002/tax.12597</t>
  </si>
  <si>
    <t>ZH9GO</t>
  </si>
  <si>
    <t>WOS:000714977200001</t>
  </si>
  <si>
    <t>Zhu, QF; Gao, BB; Chen, Q; Luo, TT; Xu, GB; Liao, SG</t>
  </si>
  <si>
    <t>Zhu, Qinfeng; Gao, Beibei; Chen, Qian; Luo, Tiantian; Xu, Guobo; Liao, Shanggao</t>
  </si>
  <si>
    <t>Sinensiols H-J, three new lignan derivatives from Selaginella sinensis (Desv.) Spring</t>
  </si>
  <si>
    <t>BEILSTEIN JOURNAL OF ORGANIC CHEMISTRY</t>
  </si>
  <si>
    <t>lignan derivatives; nitric oxide production inhibition; norlignans; Selaginella sinensis</t>
  </si>
  <si>
    <t>SEX-PHEROMONE; GLUCOSIDE</t>
  </si>
  <si>
    <t>One new lignan sinensiol H (1) and two new bisnorlignans, sinensiols I and J (2 and 3), along with three known compounds were isolated from the whole plants of Selaginella sinensis. Their structures were elucidated on the basis of 1D and 2D NMR spectroscopy as well as high-resolution mass spectrometry. The absolute configuration of 1 was established by ECD calculation. Compounds 2 and 3 represent rare examples of naturally occurring 9,9'-bisnorlignans. All the isolated compounds were assayed for their inhibitory effects on LPS-induced nitric oxide production in RAW 264.7 macrophages.</t>
  </si>
  <si>
    <t>Zhu, Qinfeng</t>
  </si>
  <si>
    <t>[Zhu, Qinfeng; Chen, Qian; Luo, Tiantian; Xu, Guobo; Liao, Shanggao] Guizhou Med Univ, Sch Pharm, 2 Dongqing Rd, Guiyang 550025, Peoples R China; [Gao, Beibei] Chinese Acad Sci, Kunming Inst Bot, State Key Lab Phytochem &amp; Plant Resources West Chi, 132 Lanhei Rd, Kunming 650203, Peoples R China</t>
  </si>
  <si>
    <t>Guizhou Medical University; Chinese Academy of Sciences; Kunming Institute of Botany, CAS</t>
  </si>
  <si>
    <t>Liao, SG (通讯作者)，Guizhou Med Univ, Sch Pharm, 2 Dongqing Rd, Guiyang 550025, Peoples R China.</t>
  </si>
  <si>
    <t>lshangg@163.com</t>
  </si>
  <si>
    <t>zhu, qin/HIR-6291-2022</t>
  </si>
  <si>
    <t>Project for Youth Science and Technology Talent of Guizhou Provincial Education Department [[2021] 156]; Natural Science Foundation of Yunnan province [202001AT070052]; Doctoral Fund of Guizhou Medical University [[2020] 005]; Newshoot Talents Project of Guizhou Medical University [19NSP077]</t>
  </si>
  <si>
    <t>Project for Youth Science and Technology Talent of Guizhou Provincial Education Department; Natural Science Foundation of Yunnan province(Natural Science Foundation of Yunnan Province); Doctoral Fund of Guizhou Medical University; Newshoot Talents Project of Guizhou Medical University</t>
  </si>
  <si>
    <t>This work was supported by the Project for Youth Science and Technology Talent of Guizhou Provincial Education Department (No. [2021] 156), the Natural Science Foundation of Yunnan province (No. 202001AT070052), Doctoral Fund of Guizhou Medical University (No. [2020] 005) and the Newshoot Talents Project of Guizhou Medical University (No. 19NSP077).</t>
  </si>
  <si>
    <t>BEILSTEIN-INSTITUT</t>
  </si>
  <si>
    <t>FRANKFURT AM MAIN</t>
  </si>
  <si>
    <t>TRAKEHNER STRASSE 7-9, FRANKFURT AM MAIN, 60487, GERMANY</t>
  </si>
  <si>
    <t>1860-5397</t>
  </si>
  <si>
    <t>BEILSTEIN J ORG CHEM</t>
  </si>
  <si>
    <t>Beilstein J. Org. Chem.</t>
  </si>
  <si>
    <t>10.3762/bjoc.18.146</t>
  </si>
  <si>
    <t>5R5CT</t>
  </si>
  <si>
    <t>WOS:000874529200001</t>
  </si>
  <si>
    <t>Chen, Y; Ren, JQ; Yang, RM; Li, J; Huang, SX; Yan, YJ</t>
  </si>
  <si>
    <t>Chen, Yin; Ren, Jinqiu; Yang, Ruimin; Li, Jie; Huang, Sheng-Xiong; Yan, Yijun</t>
  </si>
  <si>
    <t>Isolation and biosynthesis of daturamycins from Streptomyces sp. KIB-H1544</t>
  </si>
  <si>
    <t>biosynthesis; diarylcyclopentenone; polyporic acid synthetase; p-terphenyl; Streptomyces</t>
  </si>
  <si>
    <t>P-TERPHENYLS; METABOLITES; DIVERSITY; INVOLUTIN</t>
  </si>
  <si>
    <t>Two novel diarylcyclopentenones daturamycin A and B (1 and 2), and one new p-terphenyl daturamycin C (3), along with three known congeners (4-6), were isolated from a rhizosphere soil-derived Streptomyces sp. KIB-H1544. The structures of new com-pounds were elucidated via a joint use of spectroscopic analyses and single-crystal X-ray diffractions. Compounds 1 and 2 belong to a rare class of tricyclic 6/5/6 diarylcyclopentenones, and compounds 3-6 possess a C-18 tricyclic aromatic skeleton. The biosyn-thetic gene cluster of daturamycins was identified through gene knockout and biochemical characterization experiments and the biosynthetic pathway of daturamycins was proposed.</t>
  </si>
  <si>
    <t>Chen, Yin</t>
  </si>
  <si>
    <t>[Chen, Yin; Ren, Jinqiu; Yang, Ruimin; Li, Jie; Huang, Sheng-Xiong; Yan, Yijun] Chinese Acad Sci, State Key Lab Phytochemistry &amp; Plant Resources Wes, Kunming 650201, Peoples R China; [Chen, Yin; Ren, Jinqiu; Yang, Ruimin; Li, Jie; Huang, Sheng-Xiong; Yan, Yijun] Chinese Acad Sci, Kunming Inst Bot, CAS Ctr Excellence Mol Plant Sci, Kunming 650201, Peoples R China; [Chen, Yin; Li, Jie] Univ Chinese Acad Sci, Beijing 100049, Peoples R China</t>
  </si>
  <si>
    <t>Chinese Academy of Sciences; Chinese Academy of Sciences; Kunming Institute of Botany, CAS; Chinese Academy of Sciences; University of Chinese Academy of Sciences, CAS</t>
  </si>
  <si>
    <t>Yan, YJ (通讯作者)，Chinese Acad Sci, State Key Lab Phytochemistry &amp; Plant Resources Wes, Kunming 650201, Peoples R China.;Yan, YJ (通讯作者)，Chinese Acad Sci, Kunming Inst Bot, CAS Ctr Excellence Mol Plant Sci, Kunming 650201, Peoples R China.</t>
  </si>
  <si>
    <t>yanyijun@mail.kib.ac.cn</t>
  </si>
  <si>
    <t>National Natural Science Foundation of China [82073738, 31972852, U1702285]; Yunnan Provincial Science and Technology Department [2019FJ007, 2019FA034, KFJ-BRP-009]; Research Program of Frontier Sciences [QYZDB-SSW-SMC051]; Yunnan Thousand Talents Plan Young Talent and Youth Innovation Promotion Association [2018424]; Chinese Academy of Sciences</t>
  </si>
  <si>
    <t>National Natural Science Foundation of China(National Natural Science Foundation of China (NSFC)); Yunnan Provincial Science and Technology Department; Research Program of Frontier Sciences; Yunnan Thousand Talents Plan Young Talent and Youth Innovation Promotion Association; Chinese Academy of Sciences(Chinese Academy of Sciences)</t>
  </si>
  <si>
    <t>This research was financially supported by the National Natural Science Foundation of China (82073738, 31972852, and U1702285) , the Yunnan Provincial Science and Technology Department (2019FJ007 and 2019FA034) , Biological Resources Program (KFJ-BRP-009) , and Research Program of Frontier Sciences (QYZDB-SSW-SMC051) , Yunnan Thousand Talents Plan Young Talent and Youth Innovation Promotion Association (2018424) , Chinese Academy of Sciences.</t>
  </si>
  <si>
    <t>AUG 9</t>
  </si>
  <si>
    <t>10.3762/bjoc.18.101</t>
  </si>
  <si>
    <t>4R5XZ</t>
  </si>
  <si>
    <t>WOS:000856837900001</t>
  </si>
  <si>
    <t>Su, YT; Cai, Q; Qin, WQ; Cui, YY; Chen, ZH; Yang, ZL</t>
  </si>
  <si>
    <t>Su, Yu-Ting; Cai, Qing; Qin, Wei-Qiang; Cui, Yang-Yang; Chen, Zuo-Hong; Yang, Zhu L.</t>
  </si>
  <si>
    <t>Two new species of Amanita section Amanita from Central China</t>
  </si>
  <si>
    <t>MYCOLOGICAL PROGRESS</t>
  </si>
  <si>
    <t>Amanitaceae; Taxonomy; Phylogeny; Morphology; New taxa</t>
  </si>
  <si>
    <t>EASTERN</t>
  </si>
  <si>
    <t>Amanita collariata and A. subparcivolvata, two new species of A. section Amanita from Central China, were proposed here based on both molecular and morphological evidences. Amanita collariata is characterized by its small basidiomata and broadly ellipsoid basidiospores (10-11.5 x 7-9 mu m). Amanita subparcivolvata is characterized by its orange-red pileus covered with yellowish, conical volval remnants and broadly ellipsoid basidiospores (9-12 x 7-10 mu m). Multi-locus (ITS, nrLSU, RPB2, TEF1-alpha, and TUB2) phylogenetic studies indicated that A. collariata is closely related to the clade comprising A. subglobosa, A. pantherina, A. pseudopantherina, A. griseopantherina, and A. albocreata, while A. subparcivolvata is sister to A. parcivolvata. These two new species are described, illustrated, and compared with closely related and morphologically similar species.</t>
  </si>
  <si>
    <t>Su, Yu-Ting</t>
  </si>
  <si>
    <t>[Su, Yu-Ting; Chen, Zuo-Hong] Hunan Normal Univ, Coll Life Sci, Changsha 410081, Hunan, Peoples R China; [Cai, Qing; Cui, Yang-Yang; Yang, Zhu L.] Chinese Acad Sci, Kunming Inst Bot, CAS Key Lab Plant Divers &amp; Biogeog East Asia, Kunming 650201, Yunnan, Peoples R China; [Qin, Wei-Qiang] Jishou Univ, Zhangjiajie Campus, Zhangjiajie 427000, Hunan, Peoples R China</t>
  </si>
  <si>
    <t>Hunan Normal University; Chinese Academy of Sciences; Kunming Institute of Botany, CAS; Jishou University</t>
  </si>
  <si>
    <t>Chen, ZH (通讯作者)，Hunan Normal Univ, Coll Life Sci, Changsha 410081, Hunan, Peoples R China.;Yang, ZL (通讯作者)，Chinese Acad Sci, Kunming Inst Bot, CAS Key Lab Plant Divers &amp; Biogeog East Asia, Kunming 650201, Yunnan, Peoples R China.</t>
  </si>
  <si>
    <t>chenzuohong@263.net; fungi@mail.kib.ac.cn</t>
  </si>
  <si>
    <t>National Science Foundation of China [31872616]; Key Research and Development Program of Hunan Province [2020SK2103]; Postgraduate Scientific Research Innovation Project of Hunan Province [CX20210429]</t>
  </si>
  <si>
    <t>National Science Foundation of China(National Natural Science Foundation of China (NSFC)); Key Research and Development Program of Hunan Province; Postgraduate Scientific Research Innovation Project of Hunan Province</t>
  </si>
  <si>
    <t>This study was supported by the National Science Foundation of China (No. 31872616), the Key Research and Development Program of Hunan Province (No. 2020SK2103), and the Postgraduate Scientific Research Innovation Project of Hunan Province (No. CX20210429).</t>
  </si>
  <si>
    <t>SPRINGER HEIDELBERG</t>
  </si>
  <si>
    <t>HEIDELBERG</t>
  </si>
  <si>
    <t>TIERGARTENSTRASSE 17, D-69121 HEIDELBERG, GERMANY</t>
  </si>
  <si>
    <t>1617-416X</t>
  </si>
  <si>
    <t>1861-8952</t>
  </si>
  <si>
    <t>MYCOL PROG</t>
  </si>
  <si>
    <t>Mycol. Prog.</t>
  </si>
  <si>
    <t>10.1007/s11557-022-01828-7</t>
  </si>
  <si>
    <t>3V6PS</t>
  </si>
  <si>
    <t>WOS:000841784200001</t>
  </si>
  <si>
    <t>Codjia, JEI; Wang, PM; Ryberg, M; Yorou, NS; Yang, ZL</t>
  </si>
  <si>
    <t>Codjia, Jean Evans, I; Wang, Pan Meng; Ryberg, Martin; Yorou, Nourou S.; Yang, Zhu L.</t>
  </si>
  <si>
    <t>Amanita sect. Phalloideae: two interesting non-lethal species from West Africa</t>
  </si>
  <si>
    <t>Amanita; Multigene phylogeny; Taxonomy; LC-HRMS; Tropical Africa</t>
  </si>
  <si>
    <t>GENUS AMANITA; AGARICALES; PERFORMANCE; PHYLOGENIES; PLATFORM; AMERICA; BLOCKS</t>
  </si>
  <si>
    <t>The members of Amanita sect. Phalloideae (Fr.) Quel. are responsible for many fatalities worldwide. However, some species in this section have previously been reported as non-lethal and lacking deadly toxins. Sequences of five genes (ITS, nrLSU, RPB2, TEF1-alpha, TUB2) of species belonging to the section from tropical Africa, America, Asia, Australia, and Europe were included in this study to elucidate the phylogenetic relationships among the species. The results indicated that the lethal species are in one clade (subclade I) while the non-lethal species are divided into two clades (subclades II and III) within the section. Moreover, two non-lethal species from tropical Africa, namely A. ballerinoides and A. bulbulosa are newly described based on both morphology and molecular approaches. Phylogenetically, they cluster in the same subclade III with other known non-lethal amanitas, including A. ballerina, A. chuformis, A. franzii, A. levistriata, and A. pseudogemmata. Neither amatoxins nor phallotoxins were detected in A. ballerinoides and A. bulbulosa by LC-HRMS, which agrees with their placement in the non-lethal subclade III within A. sect. Phalloideae. Finally, a key to the West African species of Amanita sect. Phalloideae is provided.</t>
  </si>
  <si>
    <t>Codjia, Jean Evans, I</t>
  </si>
  <si>
    <t>[Codjia, Jean Evans, I; Wang, Pan Meng; Yang, Zhu L.] Chinese Acad Sci, Kunming Inst Bot, CAS Key Lab Plant Divers &amp; Biogeog East Asia, Kunming 650201, Yunnan, Peoples R China; [Codjia, Jean Evans, I] Univ Chinese Acad Sci, Beijing 100049, Peoples R China; [Codjia, Jean Evans, I; Wang, Pan Meng; Yang, Zhu L.] Yunnan Key Lab Fungal Divers &amp; Green Dev, Kunming 650201, Yunnan, Peoples R China; [Codjia, Jean Evans, I; Yorou, Nourou S.] Univ Parakou, Fac Agron, Res Unit Trop Mycol &amp; Plant Soil Fungi Interact, BP 123, Parakou, Benin; [Ryberg, Martin] Uppsala Univ, Dept Organismal Biol, Norbyvagen 18D, S-75236 Uppsala, Sweden</t>
  </si>
  <si>
    <t>Chinese Academy of Sciences; Kunming Institute of Botany, CAS; Chinese Academy of Sciences; University of Chinese Academy of Sciences, CAS; Uppsala University</t>
  </si>
  <si>
    <t>Yang, ZL (通讯作者)，Chinese Acad Sci, Kunming Inst Bot, CAS Key Lab Plant Divers &amp; Biogeog East Asia, Kunming 650201, Yunnan, Peoples R China.;Yang, ZL (通讯作者)，Yunnan Key Lab Fungal Divers &amp; Green Dev, Kunming 650201, Yunnan, Peoples R China.</t>
  </si>
  <si>
    <t>finigi@mail.kib.ac.cn</t>
  </si>
  <si>
    <t>Ryberg, Martin/AHA-1804-2022</t>
  </si>
  <si>
    <t>Ryberg, Martin/0000-0002-6795-4349; Codjia, Jean Evans Israel/0000-0002-6385-3268</t>
  </si>
  <si>
    <t>International Partnership Program of Chinese Academy of Sciences [151853KYSB20170026]; Yunnan Ten-Thousand-Talents Plan -Yunling Scholar Project; National Geographic explorer grant [CP-126R-12]; FORMAS [226-20141109, 30156-1]; Federal Ministry of Education and Research (BMBF, Germany) [01DG20015]</t>
  </si>
  <si>
    <t>International Partnership Program of Chinese Academy of Sciences; Yunnan Ten-Thousand-Talents Plan -Yunling Scholar Project; National Geographic explorer grant; FORMAS(Swedish Research Council Formas); Federal Ministry of Education and Research (BMBF, Germany)(Federal Ministry of Education &amp; Research (BMBF))</t>
  </si>
  <si>
    <t>This study was supported by the International Partnership Program of Chinese Academy of Sciences (No. 151853KYSB20170026), Yunnan Ten-Thousand-Talents Plan -Yunling Scholar Project and the National Geographic explorer grant (No. CP-126R-12). Sampling in Benin was possible thanks to the FORMAS grant (No. 226-20141109) and Rufford grant (No. 30156-1). Nourou S. Yorou is grateful to the Federal Ministry of Education and Research (BMBF, Germany) for the financial support to the project Diversity and Uses of Tropical African Fungi: Edible mushrooms of Benin-FunTraf (grant No. 01DG20015).</t>
  </si>
  <si>
    <t>10.1007/s11557-022-01778-0</t>
  </si>
  <si>
    <t>0G6EK</t>
  </si>
  <si>
    <t>WOS:000778135900007</t>
  </si>
  <si>
    <t>Cui, YY; Ding, XX; Kost, G; Yang, ZL</t>
  </si>
  <si>
    <t>Cui, Yang-Yang; Ding, Xiao-Xia; Kost, G.; Yang, Zhu L.</t>
  </si>
  <si>
    <t>Tricholoma sect. Tricholoma (Tricholomataceae) from China: molecular phylogeny and taxonomy</t>
  </si>
  <si>
    <t>Tricholoma; Phylogenetic analysis; Morphological characters; Taxonomy</t>
  </si>
  <si>
    <t>SPECIFICITY; AGARICALES; EQUESTRE</t>
  </si>
  <si>
    <t>Species of Tricholoma sect. Tricholoma are economically and ecologically important. Studies on the taxonomy of the section were mainly conducted in Europe and North America, but knowledge about this section's species diversity in China remains rudimentary. In this study, phylogenetic analyses based on internal transcribed spacer (ITS) and morphological characteristics were used to investigate the species diversity of T. sect. Tricholoma in China. Our analyses indicate that nine species, T. citrinum, T. equestre, T. frondosae, T. mastoideum, T. olivaceoluteolum, T. portentosum, T. qiaomianjun, T. sinoportentosum, and T. virgatum, are distributed in China. Among these, T. citrinum, T. mastoideum, and T. qiaomianjun are newly described in this study. In addition, a key to the species of T. sect. Tricholoma in China is provided.</t>
  </si>
  <si>
    <t>Cui, Yang-Yang</t>
  </si>
  <si>
    <t>[Cui, Yang-Yang; Ding, Xiao-Xia; Yang, Zhu L.] Chinese Acad Sci, CAS Key Lab Plant Divers &amp; Biogeog East Asia, Kunming Inst Bot, 132 Lanhei Rd, Kunming 650201, Yunnan, Peoples R China; [Cui, Yang-Yang; Ding, Xiao-Xia; Yang, Zhu L.] Yunnan Key Lab Fungal Divers &amp; Green Dev, Kunming 650201, Yunnan, Peoples R China; [Ding, Xiao-Xia] Univ Chinese Acad Sci, Beijing 100049, Peoples R China; [Kost, G.] Philipps Univ Marburg, Systemat Bot &amp; Mycol, FB17, D-35032 Marburg, Germany</t>
  </si>
  <si>
    <t>Chinese Academy of Sciences; Kunming Institute of Botany, CAS; Chinese Academy of Sciences; University of Chinese Academy of Sciences, CAS; Philipps University Marburg</t>
  </si>
  <si>
    <t>Yang, ZL (通讯作者)，Chinese Acad Sci, CAS Key Lab Plant Divers &amp; Biogeog East Asia, Kunming Inst Bot, 132 Lanhei Rd, Kunming 650201, Yunnan, Peoples R China.;Yang, ZL (通讯作者)，Yunnan Key Lab Fungal Divers &amp; Green Dev, Kunming 650201, Yunnan, Peoples R China.</t>
  </si>
  <si>
    <t>fungi@mail.kib.ac.cn</t>
  </si>
  <si>
    <t>National Natural Science Foundation of China [31770032]; CAS Special Research Assistant Project; Postdoctoral Directional Training Foundation of Yunnan Province; Yunnan Ten-Thousand-Talents Plan -Yunling Scholar Project</t>
  </si>
  <si>
    <t>National Natural Science Foundation of China(National Natural Science Foundation of China (NSFC)); CAS Special Research Assistant Project; Postdoctoral Directional Training Foundation of Yunnan Province; Yunnan Ten-Thousand-Talents Plan -Yunling Scholar Project</t>
  </si>
  <si>
    <t>This work is supported by the National Natural Science Foundation of China (No. 31770032), CAS Special Research Assistant Project, Postdoctoral Directional Training Foundation of Yunnan Province, and the Yunnan Ten-Thousand-Talents Plan -Yunling Scholar Project.</t>
  </si>
  <si>
    <t>10.1007/s11557-022-01788-y</t>
  </si>
  <si>
    <t>WOS:000778135900001</t>
  </si>
  <si>
    <t>Ding, XX; Cui, YY; Yang, ZL</t>
  </si>
  <si>
    <t>Ding, Xiao-Xia; Cui, Yang-Yang; Yang, Zhu L.</t>
  </si>
  <si>
    <t>Two new species of Tricholoma sect. Genuina (Agaricales) from China based on molecular phylogenetic and morphological evidence</t>
  </si>
  <si>
    <t>Phylogenetic analyses; Taxonomy; ITS inference; Novel species; Biodiversity; Ectomycorrhiza</t>
  </si>
  <si>
    <t>Fungi of the genus Tricholoma are all ectomycorrhizal and play important roles in forest ecosystem. However, subtle differences of the morphological characters make it difficult to clarify the species diversity of the genus. In this study, two new species of T. sect. Genuina collected from southwestern China are described with both molecular phylogenetic and morphological evidence. Tricholoma fulvomaculatum is characterized by its viscid, red-brown pileus, rusty spots on the surface of the yellow lamellae, white base of the stipe and ellipsoid basidiospores, while T. rufobrunneum is featured by its dry, reddish brown, squamous pileus and stipe, and its distribution in subalpine coniferous forests. Besides, known distribution ranges of T. sinoacerbum, originally described from southern China, are largely extended.</t>
  </si>
  <si>
    <t>Ding, Xiao-Xia</t>
  </si>
  <si>
    <t>[Ding, Xiao-Xia; Cui, Yang-Yang; Yang, Zhu L.] Chinese Acad Sci, Kunming Inst Bot, CAS Key Lab Plant Divers &amp; Biogeog East Asia, 132 Lanhei Rd, Kunming 650201, Yunnan, Peoples R China; [Ding, Xiao-Xia; Cui, Yang-Yang; Yang, Zhu L.] Yunnan Key Lab Fungal Divers &amp; Green Dev, Kunming, Yunnan, Peoples R China; [Ding, Xiao-Xia] Univ Chinese Acad Sci, Beijing 100049, Peoples R China</t>
  </si>
  <si>
    <t>Yang, ZL (通讯作者)，Chinese Acad Sci, Kunming Inst Bot, CAS Key Lab Plant Divers &amp; Biogeog East Asia, 132 Lanhei Rd, Kunming 650201, Yunnan, Peoples R China.;Yang, ZL (通讯作者)，Yunnan Key Lab Fungal Divers &amp; Green Dev, Kunming, Yunnan, Peoples R China.</t>
  </si>
  <si>
    <t>National Natural Science Foundation of China [31770032]; Special Research Assistant Fund of the Chinese Academy of Sciences, Postdoctoral Directional Training Foundation of Yunnan Province; Yunnan Ten-Thousand-Talents Plan -Yunling Scholar Project</t>
  </si>
  <si>
    <t>National Natural Science Foundation of China(National Natural Science Foundation of China (NSFC)); Special Research Assistant Fund of the Chinese Academy of Sciences, Postdoctoral Directional Training Foundation of Yunnan Province; Yunnan Ten-Thousand-Talents Plan -Yunling Scholar Project</t>
  </si>
  <si>
    <t>This study was financially supported by the National Natural Science Foundation of China (No. 31770032), Special Research Assistant Fund of the Chinese Academy of Sciences, Postdoctoral Directional Training Foundation of Yunnan Province, and the Yunnan Ten-Thousand-Talents Plan -Yunling Scholar Project.</t>
  </si>
  <si>
    <t>10.1007/s11557-022-01797-x</t>
  </si>
  <si>
    <t>WOS:000778135900002</t>
  </si>
  <si>
    <t>He, ZM; Yang, Z</t>
  </si>
  <si>
    <t>He, Zheng-Mi; Yang, Zhu L.</t>
  </si>
  <si>
    <t>The genera Bonomyces, Harmajaea and Notholepista from Northwestern China: two new species and a new record</t>
  </si>
  <si>
    <t>Clitocyboid; Phylogenetic analysis; Taxonomy; Paralepista; Tricholomatineae; Agaricales</t>
  </si>
  <si>
    <t>PHYLOGENETIC INFERENCE; TRICHOLOMATOID CLADE; AGARICALES; MUSHROOMS; GENUS; SEQUENCES; INOCYBE; YUNNAN; RPB2; NOV</t>
  </si>
  <si>
    <t>Bonomyces, Harmajaea, and Notholepista are three newly established clitocyboid genera whose species have been rarely reported before in China. The present study describes two new species, B. squamulosus and N. fistulosa, and reports H. harperi from Northwestern China for the first time. These identifications are supported by both morphological and phylogenetic evidence.</t>
  </si>
  <si>
    <t>He, Zheng-Mi</t>
  </si>
  <si>
    <t>[He, Zheng-Mi; Yang, Zhu L.] Chinese Acad Sci, Kunming Inst Bot, CAS Key Lab Plant Divers &amp; Biogeog East Asia, Kunming 650201, Yunnan, Peoples R China; [He, Zheng-Mi; Yang, Zhu L.] Chinese Acad Sci, Kunming Inst Bot, Yunnan Key Lab Fungal Divers &amp; Green Dev, Kunming 650201, Yunnan, Peoples R China</t>
  </si>
  <si>
    <t>Yang, Z (通讯作者)，Chinese Acad Sci, Kunming Inst Bot, CAS Key Lab Plant Divers &amp; Biogeog East Asia, Kunming 650201, Yunnan, Peoples R China.;Yang, Z (通讯作者)，Chinese Acad Sci, Kunming Inst Bot, Yunnan Key Lab Fungal Divers &amp; Green Dev, Kunming 650201, Yunnan, Peoples R China.</t>
  </si>
  <si>
    <t>He, Zhengmi/0000-0001-8754-3427</t>
  </si>
  <si>
    <t>Yunnan Ten-Thousand-Talents Plan -Yunling Scholar Project, The Biodiversity Survey and Assessment Project of the Ministry of Ecology and Environment, China [2019HJ2096001006]; Postdoctoral Directional Training Foundation of Yunnan Province</t>
  </si>
  <si>
    <t>Yunnan Ten-Thousand-Talents Plan -Yunling Scholar Project, The Biodiversity Survey and Assessment Project of the Ministry of Ecology and Environment, China; Postdoctoral Directional Training Foundation of Yunnan Province</t>
  </si>
  <si>
    <t>This study was financed by Yunnan Ten-Thousand-Talents Plan -Yunling Scholar Project, The Biodiversity Survey and Assessment Project of the Ministry of Ecology and Environment, China to Xiang-Hua Wang (2019HJ2096001006) and Postdoctoral Directional Training Foundation of Yunnan Province.</t>
  </si>
  <si>
    <t>10.1007/s11557-022-01786-0</t>
  </si>
  <si>
    <t>ZY8DO</t>
  </si>
  <si>
    <t>WOS:000772811800001</t>
  </si>
  <si>
    <t>Marasinghe, DS; Hongsanan, S; Wanasinghe, DN; Boonmee, S; Lumyong, S; Hyde, KD; Ning, X</t>
  </si>
  <si>
    <t>Marasinghe, Diana S.; Hongsanan, Sinang; Wanasinghe, Dhanushka N.; Boonmee, Saranyaphat; Lumyong, Saisamorn; Hyde, Kevin D.; Ning, Xie</t>
  </si>
  <si>
    <t>Morpho-molecular characterization of Brunneofissuraceae fam. nov., Cirsosia mangiferae sp. nov., and Asterina neomangiferae nom. nov</t>
  </si>
  <si>
    <t>2 new taxa; Ascomycota; Asterinales; Epifoliar; Phylogeny; Taxonomy</t>
  </si>
  <si>
    <t>FUNGI; PARMULARIACEAE; ASCOMYCOTA; EVOLUTION; FAMILIES; GENERA; ORDERS</t>
  </si>
  <si>
    <t>Asterinales is an important epifoliar order which generally lacks of DNA-based sequence data. There are many genera in Asterinales lacking molecular data and the exact taxonomic placement of those genera is undetermined. In this study, we introduce Brunneofissuraceae fam. nov. and Cirsosia mangiferae sp. nov. and Asterina neomangiferae nom. nov. based on morpho-molecular evidences. All fungal specimens were collected during September (2020) from Chiang Mai, Thailand. The phylogenetic analysis based on 28s (LSU) and 5.8s (ITS) sequence data confirmed the placements of Asterolibertia, Brunneofissura, and Cirsosia in Asterinales. We provide the first molecular data for Asterolibertia (current name is Asterina) and Cirsosia. Comparative morphologies and phylogenetic analyses are provided for each taxon using illustrations and well-supported phylogenetic analyses.</t>
  </si>
  <si>
    <t>Marasinghe, Diana S.</t>
  </si>
  <si>
    <t>[Marasinghe, Diana S.; Hyde, Kevin D.] Zhongkai Univ Agr &amp; Engn, Innovat Inst Plant Hlth, Guangzhou 510225, Peoples R China; [Marasinghe, Diana S.; Boonmee, Saranyaphat; Hyde, Kevin D.] Mae Fah Luang Univ, Ctr Excellence Fungal Res, Chiang Rai 57100, Thailand; [Marasinghe, Diana S.; Boonmee, Saranyaphat; Hyde, Kevin D.] Mae Fah Luang Univ, Sch Sci, Chiang Rai 57100, Thailand; [Hongsanan, Sinang; Ning, Xie] Shenzhen Univ, Coll Life Sci &amp; Oceanogra Phy, Shenzhen Key Lab Microbial Genet Engn, Shenzhen 518060, Guangdong, Peoples R China; [Wanasinghe, Dhanushka N.] Chinese Acad Sci, Honghe Ctr Mt Futures, Kunming Inst Bot, Kunming 654400, Yunnan, Peoples R China; [Lumyong, Saisamorn] Chiang Mai Univ, Fac Sci, Res Ctr Microbial Divers &amp; Sustainable Utilizat, Chiang Mai 50200, Thailand; [Lumyong, Saisamorn; Hyde, Kevin D.] Chiang Mai Univ, Fac Sci, Dept Biol, Chiang Mai 50200, Thailand; [Lumyong, Saisamorn] Royal Soc Thailand, Acad Sci, Bangkok 10300, Thailand</t>
  </si>
  <si>
    <t>Zhongkai University of Agriculture &amp; Engineering; Mae Fah Luang University; Mae Fah Luang University; Shenzhen University; Chinese Academy of Sciences; Kunming Institute of Botany, CAS; Chiang Mai University; Chiang Mai University</t>
  </si>
  <si>
    <t>Hyde, KD (通讯作者)，Zhongkai Univ Agr &amp; Engn, Innovat Inst Plant Hlth, Guangzhou 510225, Peoples R China.;Hyde, KD (通讯作者)，Mae Fah Luang Univ, Ctr Excellence Fungal Res, Chiang Rai 57100, Thailand.;Hyde, KD (通讯作者)，Mae Fah Luang Univ, Sch Sci, Chiang Rai 57100, Thailand.;Hyde, KD (通讯作者)，Chiang Mai Univ, Fac Sci, Dept Biol, Chiang Mai 50200, Thailand.</t>
  </si>
  <si>
    <t>dianasandamali91@gmail.com; sinang333@gmail.com; dnadeeshan@gmail.com; saranyaphat.boo@mfu.ac.th; scboi009@gmail.com; kdhyde3@gmail.com; ning.xie@szu.edu.cn</t>
  </si>
  <si>
    <t>Hyde, Kevin D/F-7890-2010; Hongsanan, Sinang/ABD-1290-2020; Wanasinghe, Dhanushka Nadeeshan/P-1693-2017; Boonmee, Saranyaphat/ABF-1720-2020</t>
  </si>
  <si>
    <t>Hongsanan, Sinang/0000-0003-0550-3152; Wanasinghe, Dhanushka Nadeeshan/0000-0003-1759-3933; Boonmee, Saranyaphat/0000-0001-5202-2955; Sandamali Marasinghe, Diana/0000-0002-3805-5280</t>
  </si>
  <si>
    <t>CAS President's International Fellowship Initiative (PIFI) [2018PC0006, 2021FYB0005]; Human Resources and Social Security Bureau of Yunnan Province; National Science Foundation of China; Chinese Academy of Sciences [41761144055]; National Natural Science Foundation of China [31950410548, 31851110759]; Guangdong Provincial Department of Education [2019KTSCX150]; National Key R&amp;D Program of China [2021YFA0910800]; Basic and Applied Basic Research Fund of Guangdong Province [2121A1515012166]; Stability Support project for Universities in Shenzhen [20200812173625001]; Project of DEGP [2019KTSCX150]; Impact of climate change on fungal diversity and biogeography in the Greater Mekong Sub region [RDG6130001]</t>
  </si>
  <si>
    <t>CAS President's International Fellowship Initiative (PIFI); Human Resources and Social Security Bureau of Yunnan Province; National Science Foundation of China(National Natural Science Foundation of China (NSFC)); Chinese Academy of Sciences(Chinese Academy of Sciences); National Natural Science Foundation of China(National Natural Science Foundation of China (NSFC)); Guangdong Provincial Department of Education; National Key R&amp;D Program of China; Basic and Applied Basic Research Fund of Guangdong Province; Stability Support project for Universities in Shenzhen; Project of DEGP; Impact of climate change on fungal diversity and biogeography in the Greater Mekong Sub region</t>
  </si>
  <si>
    <t>This research was funded by CAS President's International Fellowship Initiative (PIFI) for funding his postdoctoral research (number 2021FYB0005), the Postdoctoral Fund from Human Resources and Social Security Bureau of Yunnan Province and the National Science Foundation of China and Chinese Academy of Sciences (grant no. 41761144055), National Natural Science Foundation of China for supporting the project number 31950410548 and 31851110759, CAS President's International Fellowship Initiative (PIFI) under the following grant: 2018PC0006, Guangdong Provincial Department of Education (grant no. 2019KTSCX150), Impact of climate change on fungal diversity and biogeography in the Greater Mekong Sub region grant number: RDG6130001 and Mushroom Research Foundation (Thailand). Ning Xie would like to thank National Key R&amp;D Program of China (2021YFA0910800), Basic and Applied Basic Research Fund of Guangdong Province (2121A1515012166), Stability Support project for Universities in Shenzhen (20200812173625001) and Project of DEGP (2019KTSCX150) for funding this research, and also want to thank to qi Sun who work in Central Research Facilities, College of Life Sciences and Oceanography.</t>
  </si>
  <si>
    <t>10.1007/s11557-021-01767-9</t>
  </si>
  <si>
    <t>ZN2PH</t>
  </si>
  <si>
    <t>WOS:000764882000017</t>
  </si>
  <si>
    <t>Lan, MX; Gao, X; Duan, XA; Li, HM; Yu, H; Li, JL; Zhao, YQ; Hao, XJ; Zhao, YH; Ding, X; Wu, GX</t>
  </si>
  <si>
    <t>Lan, Mingxian; Gao, Xi; Duan, Xiuan; Li, Hongmei; Yu, Hang; Li, Jinliang; Zhao, Yueqin; Hao, Xiaojiang; Zhao, Yuhan; Ding, Xiao; Wu, Guoxing</t>
  </si>
  <si>
    <t>Nematicidal activity of tirotundin and parthenolide isolated from Tithonia diversifolia and Chrysanthemum parthenium</t>
  </si>
  <si>
    <t>JOURNAL OF ENVIRONMENTAL SCIENCE AND HEALTH PART B-PESTICIDES FOOD CONTAMINANTS AND AGRICULTURAL WASTES</t>
  </si>
  <si>
    <t>Parthenolide; tirotundin; acetylcholinesterase; enzyme kinetics; toxic effects</t>
  </si>
  <si>
    <t>SESQUITERPENE LACTONE; ANTICANCER; FLAVONOIDS; EXTRACT; ANALOG</t>
  </si>
  <si>
    <t>Acetylcholinesterase (AChE) is an enzyme that catalyzes acetylcholine into choline and acetic acid. Conventional pesticides, including organophosphates and carbamates target and inhibit the activity of AChE. To obtain more pesticide precursors that meet the safety requirements, more than 200 compounds were screened. Tirotundin and parthenolide identified as potential neurotoxins to nematodes were isolated from Tithonia diversifolia and Chrysanthemum parthenium, respectively. Their IC50 values were 6.89 +/- 0.30 and 5.51 +/- 0.23 mu g/mL, respectively against the AChE isolated from Caenorhabditis elegans. AChE was inhibited in a dose-dependent manner using the two compounds. And the Lineweaver-Burk and Dixon plots indicated that tirotundin and parthenolide were reversible inhibitors against AChE, both inhibiting AChE in a mixed-type competitive manner and demonstrating these compounds may possess dual binding site AChE inhibitors. LC50 values of tirotundin and parthenolide against C. elegans were 9.16 +/- 0.21 and 7.23 +/- 0.48 mu g/mL, respectively. These results provide a certain theoretical basis for the development and utilization of novel pesticides.</t>
  </si>
  <si>
    <t>Lan, Mingxian</t>
  </si>
  <si>
    <t>[Lan, Mingxian; Gao, Xi; Li, Hongmei; Yu, Hang; Li, Jinliang; Wu, Guoxing] Yunnan Agr Univ, State Key Lab Conservat &amp; Utilizat Bioresources Y, Kunming 650100, Yunnan, Peoples R China; [Lan, Mingxian; Zhao, Yueqin; Hao, Xiaojiang; Zhao, Yuhan; Ding, Xiao] Chinese Acad Sci, Kunming Inst Bot, State Key Lab Phytochem &amp; Plant Resources West Ch, Kunming 650201, Yunnan, Peoples R China; [Duan, Xiuan] Green Dev Ctr Baoshan City, Agroenvironm Monitoring Ctr Baoshan City, Baoshan, Peoples R China</t>
  </si>
  <si>
    <t>Wu, GX (通讯作者)，Yunnan Agr Univ, State Key Lab Conservat &amp; Utilizat Bioresources Y, Kunming 650100, Yunnan, Peoples R China.;Zhao, YH; Ding, X (通讯作者)，Chinese Acad Sci, Kunming Inst Bot, State Key Lab Phytochem &amp; Plant Resources West Ch, Kunming 650201, Yunnan, Peoples R China.</t>
  </si>
  <si>
    <t>zhaoyuhan@mail.kib.ac.cn; dingxiao@mail.kib.ac.cn; wugx1@163.com</t>
  </si>
  <si>
    <t>Reserve Talents for Yunnan Young and Middle-aged Academic and Technical Leaders [202105AC160037]; Natural Science Foundation of Yunnan Province [202001AT070053, 202001AT070055]; State Key Laboratory of Phytochemistry and Plant Resources in West China [P2018-ZZ05, P2019-ZZ06]</t>
  </si>
  <si>
    <t>Reserve Talents for Yunnan Young and Middle-aged Academic and Technical Leaders; Natural Science Foundation of Yunnan Province(Natural Science Foundation of Yunnan Province); State Key Laboratory of Phytochemistry and Plant Resources in West China</t>
  </si>
  <si>
    <t>This research was supported financially by grants from the Reserve Talents for Yunnan Young and Middle-aged Academic and Technical Leaders (202105AC160037), Natural Science Foundation of Yunnan Province (202001AT070053 and 202001AT070055), grants of State Key Laboratory of Phytochemistry and Plant Resources in West China (P2018-ZZ05 and P2019-ZZ06).</t>
  </si>
  <si>
    <t>0360-1234</t>
  </si>
  <si>
    <t>1532-4109</t>
  </si>
  <si>
    <t>J ENVIRON SCI HEAL B</t>
  </si>
  <si>
    <t>J. Environ. Sci. Health Part B-Pestic. Contam. Agric. Wastes</t>
  </si>
  <si>
    <t>10.1080/03601234.2021.2022945</t>
  </si>
  <si>
    <t>Environmental Sciences; Public, Environmental &amp; Occupational Health</t>
  </si>
  <si>
    <t>Environmental Sciences &amp; Ecology; Public, Environmental &amp; Occupational Health</t>
  </si>
  <si>
    <t>0I1DH</t>
  </si>
  <si>
    <t>WOS:000739127300001</t>
  </si>
  <si>
    <t>Ge, Y; Wang, C; Zhang, L</t>
  </si>
  <si>
    <t>Ge, Yong; Wang, Can; Zhang, Liang</t>
  </si>
  <si>
    <t>Phytoliths in selected ferns from southwestern China</t>
  </si>
  <si>
    <t>REVIEW OF PALAEOBOTANY AND PALYNOLOGY</t>
  </si>
  <si>
    <t>Phytolith; Ferns; Phytoliths production; Diagnostic types</t>
  </si>
  <si>
    <t>SILICA</t>
  </si>
  <si>
    <t>Ferns are important plants both to ecosystems and humans, while the organic tissues of ferns might be hard to find due to the taphonomical condition. Thus, phytoliths in ferns might provide helpful information while other proxies were absent. In this study, we surveyed the production and morphology of phytoliths in 25 fern species belonging to 15 families. The results showed that more than half of the studied species were non-phytoliths producers, while in phytoliths producers, the production rate could reach 712,995 grains/g of dry material. We confirmed and found that IRREGULAR ANTIOJNAL, PRISMATIC EIDNGATE, EUXIGATE SINUATE, SPHEROIDAL CAVATEGRAN-ULATE, SILICIFIED EPIDERMIS GRANULATE, AMOEBOID BRANCIIIATE and PRISMATIC CUBIC might be the potential diagnostic phytoliths types for ferns. (C) 2022 Elsevier B.V. All rights reserved.</t>
  </si>
  <si>
    <t>Ge, Yong</t>
  </si>
  <si>
    <t>[Ge, Yong] Univ Chinese Acad Sci, Dept Archaeol &amp; Anthropol, Beijing 100049, Peoples R China; [Wang, Can] Shandong Univ, Sch Hist &amp; Culture, Jinan 250100, Peoples R China; [Zhang, Liang] Chinese Acad Sci, Kunming Inst Bot, Key Lab Plant Divers &amp; Biogeog East Asia, Kunming 650201, Yunnan, Peoples R China</t>
  </si>
  <si>
    <t>Chinese Academy of Sciences; University of Chinese Academy of Sciences, CAS; Shandong University; Chinese Academy of Sciences; Kunming Institute of Botany, CAS</t>
  </si>
  <si>
    <t>Ge, Y (通讯作者)，Univ Chinese Acad Sci, Dept Archaeol &amp; Anthropol, Beijing 100049, Peoples R China.;Wang, C (通讯作者)，Shandong Univ, Sch Hist &amp; Culture, Jinan 250100, Peoples R China.</t>
  </si>
  <si>
    <t>yongge@ucas.ac.cn; shandawangcan@163.com</t>
  </si>
  <si>
    <t>Ge, Yong/0000-0002-5397-4090</t>
  </si>
  <si>
    <t>National Natural Science Foundation of China [41802021]; China Postdoctoral Sci-ence Foundation [2021T140654, 2018M641480]</t>
  </si>
  <si>
    <t>National Natural Science Foundation of China(National Natural Science Foundation of China (NSFC)); China Postdoctoral Sci-ence Foundation(China Postdoctoral Science Foundation)</t>
  </si>
  <si>
    <t>This study was jointly supported by the National Natural Science Foundation of China (Grant No. 41802021), the China Postdoctoral Sci-ence Foundation (Grant No. 2021T140654 and 2018M641480).</t>
  </si>
  <si>
    <t>0034-6667</t>
  </si>
  <si>
    <t>1879-0615</t>
  </si>
  <si>
    <t>REV PALAEOBOT PALYNO</t>
  </si>
  <si>
    <t>Rev. Palaeobot. Palynology</t>
  </si>
  <si>
    <t>10.1016/j.revpalbo.2022.104646</t>
  </si>
  <si>
    <t>Plant Sciences; Paleontology</t>
  </si>
  <si>
    <t>0X4RY</t>
  </si>
  <si>
    <t>WOS:000789696900001</t>
  </si>
  <si>
    <t>Nguyen, HB; Huang, J; Van Do, T; Jia, LB; Nguyen, HMT; Doan, HD; Li, SF; Zhou, ZK; Su, T</t>
  </si>
  <si>
    <t>Hung Ba Nguyen; Huang, Jian; Truong Van Do; Jia, Lin-Bo; Hoa Mai Thi Nguyen; Hung Dinh Doan; Li, Shu-Feng; Zhou, Zhe-Kun; Su, Tao</t>
  </si>
  <si>
    <t>First pod record of Mucuna (Papilionoideae, Fabaceae) from the late Miocene of the Yen Bai Basin, northern Vietnam</t>
  </si>
  <si>
    <t>Co Phuc Formation; Fabaceae; Late Miocene; Paleoclimate; Pantropical; Pod</t>
  </si>
  <si>
    <t>LEGUMINOSAE-PAPILIONOIDEAE; PHYLOGENY; CLASSIFICATION; MIMOSOIDEAE; CHLOROPLAST; PHASEOLEAE; DISPERSAL; DEPOSITS; YUNNAN; FOSSIL</t>
  </si>
  <si>
    <t>The genus Mucuna Adans. (Papilionoideae, Fabaceae) contains approximately 105 extant species. It is widely distributed in pantropical areas, with its center of diversity located in Asia. Recent molecular phylogenetic analyses investigated the historical biogeography of the genus; however, a lack of fossil evidence has limited a fuller understanding of the genus. Here, we present the first macrofossil record of Mucuna in the form of pod, collected from late Miocene sediments of the Yen Bai Basin, northern Vietnam. This fossil specimen is characterized by linear-oblong, compressed, torulose, slightly curved pods containing at least three to five seeds, a pair of thickened marginal wings, and an apex with a cone-shaped beak. Detailed morphological observation indicates that these fossil pods belong to Mucuna, and are provisionally assigned to M. cf. birdwoodiana Tutcher. Our discovery supports the hypothesis that Mucuna originated in Asia; moreover, it implies that the genus has been present and has adapted to the humid tropical climate in northern Vietnam since at least the late Miocene. (C) 2021 Published by Elsevier B.V.</t>
  </si>
  <si>
    <t>Hung Ba Nguyen</t>
  </si>
  <si>
    <t>[Hung Ba Nguyen; Huang, Jian; Li, Shu-Feng; Zhou, Zhe-Kun; Su, Tao] Chinese Acad Sci, CAS Key Lab Trop Forest Ecol, Xichuangbanna Trop Bot Garden, Mengla 666303, Peoples R China; [Hung Ba Nguyen; Li, Shu-Feng; Su, Tao] Univ Chinese Acad Sci, Beijing 100049, Peoples R China; [Hung Ba Nguyen; Truong Van Do; Hoa Mai Thi Nguyen; Hung Dinh Doan] Vietnam Acad Sci &amp; Technol, Vietnam Natl Museum Nat, Hanoi 113000, Vietnam; [Jia, Lin-Bo] Chinese Acad Sci, Kunming Inst Bot, CAS Key Lab Plant Divers &amp; Biogeog East Asia, Kunming 650204, Yunnan, Peoples R China; [Truong Van Do] Grad Acad Sci &amp; Technol, Vietnam Acad Sci &amp; Technol, Hanoi 113000, Vietnam; [Huang, Jian; Li, Shu-Feng; Su, Tao] Chinese Acad Sci, Southeast Asia Biodivers Res Inst, Yezin 05282, Naypyitaw, Myanmar</t>
  </si>
  <si>
    <t>Chinese Academy of Sciences; Chinese Academy of Sciences; University of Chinese Academy of Sciences, CAS; Vietnam Academy of Science &amp; Technology (VAST); Chinese Academy of Sciences; Kunming Institute of Botany, CAS; Vietnam Academy of Science &amp; Technology (VAST)</t>
  </si>
  <si>
    <t>Huang, J; Su, T (通讯作者)，Chinese Acad Sci, CAS Key Lab Trop Forest Ecol, Xichuangbanna Trop Bot Garden, Mengla 666303, Peoples R China.;Su, T (通讯作者)，Univ Chinese Acad Sci, Beijing 100049, Peoples R China.;Huang, J; Su, T (通讯作者)，Chinese Acad Sci, Southeast Asia Biodivers Res Inst, Yezin 05282, Naypyitaw, Myanmar.</t>
  </si>
  <si>
    <t>National Natural Science Foundation of China (NSFC) [31800183, 41922010]; Alliance of International Science Organizations (ANSO); Project of Collection and study of fossil woods in Vietnamfor exhibition in the Systemof Vietnam National Museum of Nature [CT0000.01/19-21]; Project of Paleontological collection on Vietnam territory [BSTMV 28/15-18]; Yunnan Basic Research Projects [2019FB026]</t>
  </si>
  <si>
    <t>National Natural Science Foundation of China (NSFC)(National Natural Science Foundation of China (NSFC)); Alliance of International Science Organizations (ANSO); Project of Collection and study of fossil woods in Vietnamfor exhibition in the Systemof Vietnam National Museum of Nature; Project of Paleontological collection on Vietnam territory; Yunnan Basic Research Projects</t>
  </si>
  <si>
    <t>We would like to thank Dr. Nguyen Huu Hung from Vietnam National Museum of Nature, Vietnam Academy of Science and Technology for helping in the fieldwork; Mr. Kaiwen Jiang for insightful discussion for the identification of the fossils; the curators of the Hanoi Fossil Museum for accessing their fossil collection from Yen Bai area; the Institutional Center for Shared Technologies and Facilities of Xishuangbanna Tropical Botanical Garden, CAS for help with the imaging; Teresa Spicer for editing English. This work is funded by the National Natural Science Foundation of China (NSFC) (31800183, 41922010), the Alliance of International Science Organizations (ANSO) Scholarship for Young Talents to Hung Ba Nguyen, the Project of Collection and study of fossil woods in Vietnamfor exhibition in the Systemof Vietnam National Museum of Nature (CT0000.01/19-21), the Project of Paleontological collection on Vietnam territory (BSTMV 28/15-18), the Yunnan Basic Research Projects (2019FB026).</t>
  </si>
  <si>
    <t>10.1016/j.revpalbo.2021.104592</t>
  </si>
  <si>
    <t>YU1UK</t>
  </si>
  <si>
    <t>WOS:000751834300006</t>
  </si>
  <si>
    <t>Yan, YX; Song, NL; Zhang, JH; Qiu, MH</t>
  </si>
  <si>
    <t>Yan, Yu-Xin; Song, Na-Li; Zhang, Ji-Hong; Qiu, Ming-Hua</t>
  </si>
  <si>
    <t>Two new degrade triterpenoids from Buxus bodinieri Levl.</t>
  </si>
  <si>
    <t>NATURAL PRODUCT RESEARCH</t>
  </si>
  <si>
    <t>Buxaceae; Buxus bodinieri Levl; degrade triterpenoid; buboditone A; buboditone B</t>
  </si>
  <si>
    <t>BIOACTIVE STEROIDAL ALKALOIDS</t>
  </si>
  <si>
    <t>Two new degrade cycloartane triterpenoids, named buboditones A, B (1, 2), together with ten known alkaloids, cyclobuxoviridine (3), N-dimethylcycloxobuxovircine (4), cyclovirobuxine C (5), cyclovirobuxine A (6), cycloprotobuxine C (7), cycloprotobuxine A (8), cyclobuxoxazine (9), cyclobuxoxazine A (10), buxruguline B (11), irehine (12), were isolated from the leaves and stems of Buxus bodinieri Levl., The structures of compounds 1-2 were elucidated by 1 D and 2 D NMR spectroscopic methods including HSQC, HMBC, H-1-H-1 COSY, NOESY, as well as HRESIMS spectroscopic analysis.</t>
  </si>
  <si>
    <t>Yan, Yu-Xin</t>
  </si>
  <si>
    <t>[Yan, Yu-Xin] Yunnan Normal Univ, Coll Vocat &amp; Tech Educ, Kunming, Peoples R China; [Song, Na-Li] Yunnan Inst Tradit Chinese Med &amp; Mat Med, Cent Lab, Kunming, Peoples R China; [Zhang, Ji-Hong] Kunming Univ Sci &amp; Technol, Med Sch, Kunming, Peoples R China; [Qiu, Ming-Hua] Chinese Acad Sci, Kunming Inst Bot, State Key Lab Phytochem &amp; Plant Resources West Chi, Kunming, Peoples R China</t>
  </si>
  <si>
    <t>Yunnan Normal University; Kunming University of Science &amp; Technology; Chinese Academy of Sciences; Kunming Institute of Botany, CAS</t>
  </si>
  <si>
    <t>Yan, YX (通讯作者)，Yunnan Normal Univ, Coll Vocat &amp; Tech Educ, Kunming, Peoples R China.;Song, NL (通讯作者)，Yunnan Inst Tradit Chinese Med &amp; Mat Med, Cent Lab, Kunming, Peoples R China.</t>
  </si>
  <si>
    <t>549723642@qq.com; kmsongnl@126.com</t>
  </si>
  <si>
    <t>National Natural Science Foundation of China; Foundation of Key Project of Basic Research Plan of Yunnan Province;  [82003616];  [202001AS070012]</t>
  </si>
  <si>
    <t xml:space="preserve">National Natural Science Foundation of China(National Natural Science Foundation of China (NSFC)); Foundation of Key Project of Basic Research Plan of Yunnan Province; ; </t>
  </si>
  <si>
    <t>This work was financially supported by the National Natural Science Foundation of China (Grant No. 82003616), as well as the Foundation of Key Project of Basic Research Plan of Yunnan Province (202001AS070012).</t>
  </si>
  <si>
    <t>1478-6419</t>
  </si>
  <si>
    <t>1478-6427</t>
  </si>
  <si>
    <t>NAT PROD RES</t>
  </si>
  <si>
    <t>Nat. Prod. Res.</t>
  </si>
  <si>
    <t>10.1080/14786419.2022.2155645</t>
  </si>
  <si>
    <t>Chemistry, Applied; Chemistry, Medicinal</t>
  </si>
  <si>
    <t>6W6LJ</t>
  </si>
  <si>
    <t>WOS:000895839300001</t>
  </si>
  <si>
    <t>Xu, J; Xin, Y; Zhu, HT; Kong, QH; Yang, WN; Wang, D; Yang, CR; Zhang, YJ</t>
  </si>
  <si>
    <t>Xu, Jia; Xin, Ying; Zhu, Hong-Tao; Kong, Qing-Hua; Yang, Wei-Nong; Wang, Dong; Yang, Chong-Ren; Zhang, Ying-Jun</t>
  </si>
  <si>
    <t>Flavonoids from the fruits of Phyllanthus acidus (L.) Skeels with anti-alpha-glucosidase activity</t>
  </si>
  <si>
    <t>Phyllanthaceae; Phyllanthus acidus (L.) Skeels; flavonoids; anti-alpha-glucosidase activity</t>
  </si>
  <si>
    <t>LEAVES; ANTIOXIDANT; PLANTS</t>
  </si>
  <si>
    <t>Eleven flavonoids including one new flavonol glycoside, quercetin-3-O-(2-alpha-L-rhamnopyranosyl)-beta-D-glucuronopyranosyl methyl ester (1), were isolated for the first time from the fruits of Phyllanthus acidus (L.) Skeels (Phyllanthaceae). Their structures were determined by extensive spectroscopic data. The known flavonoids, quercetin-3-O-beta-D-glucuronide methyl ester (3), quercetin-3-O-(2 ''-alpha-L-rhamnopyranosyl-6 ''-O-alpha-L-rhamno pyranosyl)-beta-D-glucopyranoside (5), myricetin (9), and 6-methoxy-naringenin (11) were isolated for the first time from the genus Phyllanthus. Flavonoids 4, 6 and 9 (IC50 = 6.01, 6.32, and 7.84 mu M, respectively) showed stronger alpha-glucosidase inhibitory activities than the positive control, acarbose (IC50 = 306.45 mu M). The fruits of P. acidus might be further developed as an anti-diabetic food supplement. [GRAPHICS] .</t>
  </si>
  <si>
    <t>Xu, Jia</t>
  </si>
  <si>
    <t>[Xu, Jia; Xin, Ying; Zhu, Hong-Tao; Kong, Qing-Hua; Wang, Dong; Yang, Chong-Ren; Zhang, Ying-Jun] Chinese Acad Sci, Kunming Inst Bot, State Key Lab Phytochem &amp; Plant Resources West Ch, Kunming, Yunnan, Peoples R China; [Xu, Jia; Xin, Ying] Univ Chinese Acad Sci, Beijing, Peoples R China; [Yang, Wei-Nong] Yunnan Xinxing Greening Engn Co, Kunming, Yunnan, Peoples R China</t>
  </si>
  <si>
    <t>Zhang, YJ (通讯作者)，Chinese Acad Sci, Kunming Inst Bot, State Key Lab Phytochem &amp; Plant Resources West Ch, Kunming, Yunnan, Peoples R China.</t>
  </si>
  <si>
    <t>zhang, ying/HJB-1230-2022; Zhang, Y J/HLG-1022-2023; Xu, Jiaxin/GPS-4486-2022</t>
  </si>
  <si>
    <t>Xu, Jiaxin/0000-0003-3297-7118</t>
  </si>
  <si>
    <t>National Natural Science Foundation of China [82074124]; Key Project of Basic Research Plan of Yunnan Province, China [202001AS070017]</t>
  </si>
  <si>
    <t>National Natural Science Foundation of China(National Natural Science Foundation of China (NSFC)); Key Project of Basic Research Plan of Yunnan Province, China</t>
  </si>
  <si>
    <t>This work was supported by the National Natural Science Foundation of China (82074124) and the Key Project of Basic Research Plan of Yunnan Province, China (202001AS070017). We are grateful to the staffs of the analytical and bioactivity screening group at the State Key Laboratory of Phytochemistry and Plant Resources in West China, Kunming Institute of Botany, Chinese Academy of Sciences, for measuring the spectroscopic data and antidiabetic activity.</t>
  </si>
  <si>
    <t>10.1080/14786419.2022.2116704</t>
  </si>
  <si>
    <t>3Z9IY</t>
  </si>
  <si>
    <t>WOS:000844729100001</t>
  </si>
  <si>
    <t>Cheng, ZQ; Fan, WW; Yang, D; Hu, JM</t>
  </si>
  <si>
    <t>Cheng, Zhongquan; Fan, Weiwei; Yang, Dan; Hu, Jiangmiao</t>
  </si>
  <si>
    <t>Two new cadinene-type sesquiterpene glycosides from Dendrobium findlayanum</t>
  </si>
  <si>
    <t>Dendrobium findlayanum; Orchidaceae; cadinene-type esquiterpene glycoside; findlayanoside</t>
  </si>
  <si>
    <t>DERIVATIVES; ALKALOIDS</t>
  </si>
  <si>
    <t>Two new and one known cadinene-type sesquiterpene glycosides, findlayanosides A-B (1-2) and dendronobiloside D (3), were isolated from the stems of Dendrobium findlayanum. This is the first report that cadinene-type sesquiterpene glycosides were isolated from D. findlayanum. The structures of compounds 1 and 2 were elucidated by extensive spectroscopic analyses, and their absolute configurations were confirmed by electronic circular dichroism (ECD) calculations. The obtained compounds were evaluated for their cytotoxicity against HL-60, SMMC-7721, A-549 and MCF-7 human cancer cells, and no obvious cytotoxic activity was observed at the concentration of 25 mu M. [GRAPHICS] .</t>
  </si>
  <si>
    <t>Cheng, Zhongquan</t>
  </si>
  <si>
    <t>[Cheng, Zhongquan] Guangzhou Hlth Sci Coll, Coll Pharm, Guangzhou, Peoples R China; [Fan, Weiwei] Pingdingshan Univ, Coll Med, Henan Engn Res Ctr Funiu Mt Med Resources Utiliza, Pingdingshan, Peoples R China; [Yang, Dan] Guangdong Med Univ, Guangdong Prov Key Lab Res &amp; Dev Nat Drugs, Dongguan, Peoples R China; [Yang, Dan] Guangdong Med Univ, Sch Pharm, Dongguan, Peoples R China; [Hu, Jiangmiao] Chinese Acad Sci, Kunming Inst Bot, State Key Lab Phytochem &amp; Plant Resources West Ch, Kunming, Yunnan, Peoples R China</t>
  </si>
  <si>
    <t>Pingdingshan University; Guangdong Medical University; Guangdong Medical University; Chinese Academy of Sciences; Kunming Institute of Botany, CAS</t>
  </si>
  <si>
    <t>Yang, D (通讯作者)，Guangdong Med Univ, Guangdong Prov Key Lab Res &amp; Dev Nat Drugs, Dongguan, Peoples R China.;Yang, D (通讯作者)，Guangdong Med Univ, Sch Pharm, Dongguan, Peoples R China.;Hu, JM (通讯作者)，Chinese Acad Sci, Kunming Inst Bot, State Key Lab Phytochem &amp; Plant Resources West Ch, Kunming, Yunnan, Peoples R China.</t>
  </si>
  <si>
    <t>214862261@qq.com; hujiangmiao@mail.kib.ac.cn</t>
  </si>
  <si>
    <t>Frank, Viki/GXZ-9902-2022</t>
  </si>
  <si>
    <t>National Natural Science Foundations of China [32170407]; Discipline Construction Project of Guangdong Medical University [4SG21009G]; Natural Science Foundation of Henan Province of China [212300410217]; Pingdingshan University PhD Start-up Fund [PXY-BSQD-2014011]; Key Scientific Research Project in Colleges and Universities of Henan Province of China [19A350007]; Funds for PHD researchers of Guangdong Medical University in 2021 [4SG21269G]</t>
  </si>
  <si>
    <t>National Natural Science Foundations of China(National Natural Science Foundation of China (NSFC)); Discipline Construction Project of Guangdong Medical University; Natural Science Foundation of Henan Province of China; Pingdingshan University PhD Start-up Fund; Key Scientific Research Project in Colleges and Universities of Henan Province of China; Funds for PHD researchers of Guangdong Medical University in 2021</t>
  </si>
  <si>
    <t>This work was financially supported by the National Natural Science Foundations of China (No. 32170407), Discipline Construction Project of Guangdong Medical University (No. 4SG21009G), Funds for PHD researchers of Guangdong Medical University in 2021 (No. 4SG21269G), Natural Science Foundation of Henan Province of China (212300410217), Pingdingshan University PhD Start-up Fund under Grant (PXY-BSQD-2014011), and the Key Scientific Research Project in Colleges and Universities of Henan Province of China (19A350007).</t>
  </si>
  <si>
    <t>10.1080/14786419.2022.2097228</t>
  </si>
  <si>
    <t>2X5MR</t>
  </si>
  <si>
    <t>WOS:000825248400001</t>
  </si>
  <si>
    <t>Han, LL; Huang, KP; Chen, C; Zhu, WT; Ma, YH; Hao, XJ; He, HP; Zhang, Y</t>
  </si>
  <si>
    <t>Han, Lingling; Huang, Kepu; Chen, Chen; Zhu, Wentao; Ma, Yehan; Hao, Xiaojiang; He, Hongping; Zhang, Yu</t>
  </si>
  <si>
    <t>Taberdines L and M, two new alkaloids from Tabernaemontana divaricata</t>
  </si>
  <si>
    <t>Apocynaceae; Tabernaemontana divaricata; monoterpenoid indole alkaloids; taberdine L; taberdine M</t>
  </si>
  <si>
    <t>INDOLE ALKALOIDS; BISINDOLE ALKALOIDS; ASPIDOSPERMA-TYPE; A-I; RESISTANCE; EXTRACTION; IBOGA</t>
  </si>
  <si>
    <t>Two new alkaloids, taberdines L (1) and M (2), together with six known alkaloids, were isolated from the twigs and leaves of Tabernaemontana divaricata. Taberdine L (1) represents the first optically active natural member of the allo iboga class of alkaloids with the ethyl side chain in a bridgehead position. Their structures including absolute configuration were elucidated by a combination of MS, NMR, and ECD calculation. The in vitro cytotoxic activities of 1 and 2 against five human cancer cell lines were also evaluated.</t>
  </si>
  <si>
    <t>Han, Lingling</t>
  </si>
  <si>
    <t>[Han, Lingling; Huang, Kepu; He, Hongping] Yunnan Univ Chinese Med, Sch Chinese Mat Medica, Kunming, Yunnan, Peoples R China; [Han, Lingling; Huang, Kepu; Chen, Chen; Zhu, Wentao; Ma, Yehan; Hao, Xiaojiang; Zhang, Yu] Chinese Acad Sci, Kunming Inst Bot, State Key Lab Phytochemistry &amp; Plant Resources We, Kunming, Yunnan, Peoples R China</t>
  </si>
  <si>
    <t>Yunnan University of Chinese Medicine; Chinese Academy of Sciences; Kunming Institute of Botany, CAS</t>
  </si>
  <si>
    <t>Zhang, Y (通讯作者)，Chinese Acad Sci, Kunming Inst Bot, State Key Lab Phytochemistry &amp; Plant Resources We, Kunming, Yunnan, Peoples R China.</t>
  </si>
  <si>
    <t>zhangyu@mail.kib.ac.cn</t>
  </si>
  <si>
    <t>National Natural Science Foundation of China [81874295]; Top Young Talent of the Ten Thousand Talents Program of Yunnan</t>
  </si>
  <si>
    <t>National Natural Science Foundation of China(National Natural Science Foundation of China (NSFC)); Top Young Talent of the Ten Thousand Talents Program of Yunnan</t>
  </si>
  <si>
    <t>The work was financially supported by the National Natural Science Foundation of China (81874295) and Top Young Talent of the Ten Thousand Talents Program of Yunnan (to Y. Zhang).</t>
  </si>
  <si>
    <t>10.1080/14786419.2021.2015596</t>
  </si>
  <si>
    <t>5U1EE</t>
  </si>
  <si>
    <t>WOS:000734241700001</t>
  </si>
  <si>
    <t>Tedonkeu, AT; Tamokou, JDD; Mpetga, JDS; Nzogong, RT; Kengne, IC; Hao, XJ; Tene, M</t>
  </si>
  <si>
    <t>Tedonkeu, Alex Tchinda; Tamokou, Jean-De-Dieu; Mpetga, James D. Simo; Nzogong, Raissa Tioyem; Kengne, Irene Chinda; Hao, Xiao-Jiang; Tene, Mathieu</t>
  </si>
  <si>
    <t>A new antimicrobial nor-friedelane-type triterpenoid and other constituents from Plectranthus glandulosus Hook. f. (Lamiaceae)</t>
  </si>
  <si>
    <t>Plectranthus glandulosus; Lamiaceae; triterpenoids; nor-friedelane; antimicrobial activity</t>
  </si>
  <si>
    <t>STEM BARK; ACID; FLAVONE; EXTRACT; PLANT</t>
  </si>
  <si>
    <t>Chemical investigation of the ethanol extract from the whole plant of Plectranthus glandulosus led to the isolation of a new nor-triterpenoid (1) along with seventeen known compounds (2-18) including seven triterpenoids, nine flavonoids and one steroid. Their structures were established on the basis of 1D- and 2D-NMR, IR, and MS experiments, and by comparison of their spectroscopic data with those of similar compounds reported in the literature. The EtOH extract and some isolated triterpenoids (1-4 and 13) were subjected to in vitro antimicrobial assays against a panel of pathogenic microorganisms, including Gram-positive and Gram-negative bacteria, and fungi using broth microdilution method. The EtOH extract displayed moderate activity (MIC = 512 mu g/mL) against Staphylococcus aureus MSSA1, Shigella flexneri SDINT and Cryptococcus neoformans H99. Compounds 1, 4 and 13 showed the most potent antimicrobial effect with MICs of 32-256 mu g/mL.</t>
  </si>
  <si>
    <t>Tedonkeu, Alex Tchinda</t>
  </si>
  <si>
    <t>[Tedonkeu, Alex Tchinda; Mpetga, James D. Simo; Nzogong, Raissa Tioyem; Tene, Mathieu] Univ Dschang, Fac Sci, Dept Chem, Nat Prod Chem Res Unit, Dschang, Cameroon; [Tamokou, Jean-De-Dieu; Kengne, Irene Chinda] Univ Dschang, Fac Sci, Dept Biochem, Res Unit Microbiol &amp; Antimicrobial Subst, Dschang, Cameroon; [Hao, Xiao-Jiang] Chinese Acad Sci, Kunming Inst Bot, State Key Lab Phytochem &amp; Plant Resources West Ch, Kunming, Yunnan, Peoples R China</t>
  </si>
  <si>
    <t>Tene, M (通讯作者)，Univ Dschang, Fac Sci, Dept Chem, Nat Prod Chem Res Unit, Dschang, Cameroon.</t>
  </si>
  <si>
    <t>mtene2001@yahoo.fr</t>
  </si>
  <si>
    <t>TAMOKOU, Jean de Dieu/0000-0002-8088-463X; Mathieu, Tene/0000-0002-6420-9087</t>
  </si>
  <si>
    <t>10.1080/14786419.2021.1999946</t>
  </si>
  <si>
    <t>4L5QE</t>
  </si>
  <si>
    <t>WOS:000714260500001</t>
  </si>
  <si>
    <t>Yang, BJ; Wang, J; Zeng, ZQ; Yang, X; Huang, AY; Hao, XJ; Ding, X; Li, SL</t>
  </si>
  <si>
    <t>Yang, Bao-Jia; Wang, Juan; Zeng, Zheng-Quan; Yang, Xu; Huang, Ai-Ying; Hao, Xiao-Jiang; Ding, Xiao; Li, Shun-Lin</t>
  </si>
  <si>
    <t>Sesquiterpene lactones from Carpesium abrotanoides L. and their activity in inducing protective autophagy</t>
  </si>
  <si>
    <t>Carpesium abrotanoides L; sesquiterpene lactone; autophagy; lysosomal biogenesis; cytotoxic activity</t>
  </si>
  <si>
    <t>Fourteen sesquiterpene lactones were isolated from the whole plant of Carpesium abrotanoides L. Their structures were determined on the basis of comprehensive spectroscopic data analysis. All compounds were screened for their cytotoxic activity, and compound 6 showed the strongest activity (IC50 2.73 - 7.21 mu M) against five human cancer cell lines, including A549, HepG2, HCT116, MDA-MB-231, and CNE2. Compound 6 was further investigated. Compound 6 effectively induced G2/M cell cycle arrest and ROS accumulation in a dose-dependent manner, which further led to apoptosis in cancer cells. Interestingly, compounds 1 and 6 could also activate protective autophagy, which was reported for the first time in sesquiterpene isolated from Carpesium abrotanoides. In addition, compounds 1 and 6 could induce lysosomal biogenesis by 173.2% and 163.7%, respectively. In sum, sesquiterpene lactones from Carpesium abrotanoides could induce apoptosis and protective autophagy in cancer cells, which provide a serial of compounds with potential clinical applications.</t>
  </si>
  <si>
    <t>Yang, Bao-Jia</t>
  </si>
  <si>
    <t>[Yang, Bao-Jia; Wang, Juan; Zeng, Zheng-Quan; Yang, Xu; Huang, Ai-Ying; Hao, Xiao-Jiang; Ding, Xiao; Li, Shun-Lin] Chinese Acad Sci, Kunming Inst Bot, State Key Lab Phytochem &amp; Plant Resources West Ch, Kunming, Yunnan, Peoples R China; [Yang, Bao-Jia] Univ Chinese Acad Sci, Beijing, Peoples R China; [Wang, Juan; Zeng, Zheng-Quan] Shaanxi Normal Univ, Xian, Peoples R China</t>
  </si>
  <si>
    <t>Ding, X; Li, SL (通讯作者)，Chinese Acad Sci, Kunming Inst Bot, State Key Lab Phytochem &amp; Plant Resources West Ch, Kunming, Yunnan, Peoples R China.</t>
  </si>
  <si>
    <t>dingxiao@mail.kib.ac.cn; lisl@mail.kib.ac.cn</t>
  </si>
  <si>
    <t>National Natural Science Foundation of China [31770389, 82073740]</t>
  </si>
  <si>
    <t>This research was financially supported by the National Natural Science Foundation of China under Grant [Numbers 31770389 and 82073740].</t>
  </si>
  <si>
    <t>10.1080/14786419.2021.1955881</t>
  </si>
  <si>
    <t>2H1RM</t>
  </si>
  <si>
    <t>WOS:000675701600001</t>
  </si>
  <si>
    <t>Wang, YT; Fan, SR; Cai, JY; Guo, JJ; Zhang, XF; Yang, BJ; Hao, XJ; Chen, DZ</t>
  </si>
  <si>
    <t>Wang, Yi-ting; Fan, Shi-rui; Cai, Jie-yun; Guo, Jing-jing; Zhang, Xin-fang; Yang, Bi-juan; Hao, Xiao-jiang; Chen, Duo-zhi</t>
  </si>
  <si>
    <t>Two new cytotoxic cycloartane triterpenoids from Aphanamixis polystachya (Wall.) R. N. Parker</t>
  </si>
  <si>
    <t>Cytotoxic; cycloartane triterpenoid; Aphanamixis polystachya</t>
  </si>
  <si>
    <t>LEAVES</t>
  </si>
  <si>
    <t>Two new cycloartane triterpenoids, (24 R)-cycloartane-3 beta,24,25,30-tetrol (1) and (24 R)-24,25,30-trihydroxy-9,19-cycloartane-3-one (2), along with three known compounds (3-5) were isolated from leaves and twigs of Aphanamixis polystachya. The new compounds were elucidated based on comprehensive spectroscopic analysis, including 1 D, 2 D NMR and HREIMS. The in vitro cytotoxic activities evaluation of five human cancer cell lines revealed that compound 1 exhibited cytotoxic activity on all of tested human cancer cell lines, while compound 2 only had specific activity on SMMC-7721 cell line.</t>
  </si>
  <si>
    <t>Wang, Yi-ting</t>
  </si>
  <si>
    <t>[Wang, Yi-ting; Fan, Shi-rui; Cai, Jie-yun; Guo, Jing-jing; Zhang, Xin-fang; Yang, Bi-juan; Hao, Xiao-jiang; Chen, Duo-zhi] Chinese Acad Sci, Kunming Inst Bot, State Key Lab Phytochem &amp; Plant Resources West Ch, Kunming, Yunnan, Peoples R China; [Wang, Yi-ting; Fan, Shi-rui; Zhang, Xin-fang] Yunnan Univ, Dept Chem Sci &amp; Engn, Kunming, Yunnan, Peoples R China; [Cai, Jie-yun] Yunnan Tobacco Qual Supervis &amp; Test Stn, Kunming, Yunnan, Peoples R China</t>
  </si>
  <si>
    <t>Chinese Academy of Sciences; Kunming Institute of Botany, CAS; Yunnan University</t>
  </si>
  <si>
    <t>Hao, XJ; Chen, DZ (通讯作者)，Chinese Acad Sci, Kunming Inst Bot, State Key Lab Phytochem &amp; Plant Resources West Ch, Kunming, Yunnan, Peoples R China.</t>
  </si>
  <si>
    <t>National Natural Science Foundation of China [81773610, 81973212]; Central Asian Drug Discovery and Development Centre of Chinese Academy of Sciences [CAM201702]</t>
  </si>
  <si>
    <t>National Natural Science Foundation of China(National Natural Science Foundation of China (NSFC)); Central Asian Drug Discovery and Development Centre of Chinese Academy of Sciences</t>
  </si>
  <si>
    <t>This work was supported by the National Natural Science Foundation of China [grant numbers 81773610 and 81973212], Central Asian Drug Discovery and Development Centre of Chinese Academy of Sciences [grant number CAM201702].</t>
  </si>
  <si>
    <t>10.1080/14786419.2021.1906242</t>
  </si>
  <si>
    <t>1P6IZ</t>
  </si>
  <si>
    <t>WOS:000658923000001</t>
  </si>
  <si>
    <t>Geng, HC; Zhu, HT; Yang, WN; Wang, D; Yang, CR; Zhang, YJ</t>
  </si>
  <si>
    <t>Geng, Hui-Chun; Zhu, Hong-Tao; Yang, Wei-Nong; Wang, Dong; Yang, Chong-Ren; Zhang, Ying-Jun</t>
  </si>
  <si>
    <t>Phyllaciduloids E and F, two new cleistanthane diterpenoids from the leaves of Phyllanthus acidus</t>
  </si>
  <si>
    <t>Phyllanthus acidus; cleistanthane diterpenoids; quantum chemical calculations; cytotoxicity</t>
  </si>
  <si>
    <t>Phyllaciduloids E (1) and F (2), two new cleistanthane diterpenoids, were isolated from the leaves of Phyllanthus acidus (L.) Skeels (Phyllanthaceae). Their planar structures were established by spectroscopic analysis and comparison with literature values. The relative configurations of phyllaciduloids E and F were confirmed by DFT-NMR chemical shift calculations and subsequent CP3 probability methods. Phyllaciduloids E and F were evaluated for their cytotoxicity. However, no significant activities were detected at concentrations up to 40 mu M.</t>
  </si>
  <si>
    <t>Geng, Hui-Chun</t>
  </si>
  <si>
    <t>[Geng, Hui-Chun; Zhu, Hong-Tao; Wang, Dong; Yang, Chong-Ren; Zhang, Ying-Jun] Chinese Acad Sci, Kunming Inst Bot, State Key Lab Phytochem &amp; Plant Resources West Ch, Kunming, Yunnan, Peoples R China; [Geng, Hui-Chun] Univ Chinese Acad Sci, Beijing, Peoples R China; [Geng, Hui-Chun] Yunnan Acad Agr Sci, Qual Standardizing &amp; Testing Technol Inst, Kunming, Yunnan, Peoples R China; [Yang, Wei-Nong] Yunnan Xinxing Greening Engn Co, Kunming, Yunnan, Peoples R China</t>
  </si>
  <si>
    <t>This work was supported by the Key Project of Basic Research Plan of Yunnan Province, China (202001AS070017) and the National Natural Science Foundation of China (82074124).</t>
  </si>
  <si>
    <t>OCT 13</t>
  </si>
  <si>
    <t>10.1080/14786419.2021.1929971</t>
  </si>
  <si>
    <t>5H3SG</t>
  </si>
  <si>
    <t>WOS:000657162400001</t>
  </si>
  <si>
    <t>Luo, BS; Huang, KH; Sui, XJ; Wang, MM; Long, CL</t>
  </si>
  <si>
    <t>Luo, Binsheng; Huang, Kunhui; Sui, Xianjin; Wang, Miaomiao; Long, Chunlin</t>
  </si>
  <si>
    <t>New xanthones from Canscora lucidissima and their antioxidant and NO inhibitory activities</t>
  </si>
  <si>
    <t>Ethnomedicine; Canscora lucidissima; canlucosides A&amp;#8211; C; antioxidant activity; NO inhibitory effects</t>
  </si>
  <si>
    <t>Three new xanthone glycosides, canlucosides A - C (1 - 3), along with three known compounds (4 - 6), have been obtained and identified from the ethanol extract of Canscora lucidissima. Their structures were identified according to HR-ESI-MS, 1D, 2D NMR data, ECD measurements powered by molecular calculations and optical rotation values. Compound 6 (1-hydroxy-3,7,8-trmethoxyxanthone) was isolated from C. lucidissima for the first time. Five compounds (2-6) showed moderate antioxidant and NO inhibitory activities. Canlucosides B and C (2 and 3) showed significant antioxidant activity with IC50 values of 33.64 +/- 5.60 mu M and 36.63 +/- 4.32 mu M, respectively. Canlucoside B (2) possessed a significant NO inhibitory effect with an IC50 value 0.92 mu M.</t>
  </si>
  <si>
    <t>Luo, Binsheng</t>
  </si>
  <si>
    <t>[Luo, Binsheng; Huang, Kunhui; Sui, Xianjin; Wang, Miaomiao; Long, Chunlin] Minzu Univ China, Coll Life &amp; Environm Sci, Beijing, Peoples R China; [Luo, Binsheng; Long, Chunlin] Minzu Univ China, Minist Educ, Key Lab Ethnomed, Beijing, Peoples R China; [Long, Chunlin] Chinese Acad Sci, Kunming Inst Bot, Kunming, Yunnan, Peoples R China</t>
  </si>
  <si>
    <t>Minzu University of China; Chinese Academy of Sciences; Kunming Institute of Botany, CAS</t>
  </si>
  <si>
    <t>Long, CL (通讯作者)，Minzu Univ China, Coll Life &amp; Environm Sci, Beijing, Peoples R China.;Long, CL (通讯作者)，Minzu Univ China, Minist Educ, Key Lab Ethnomed, Beijing, Peoples R China.;Long, CL (通讯作者)，Chinese Acad Sci, Kunming Inst Bot, Kunming, Yunnan, Peoples R China.</t>
  </si>
  <si>
    <t>Long, Chunlin/0000-0002-6573-6049; luo, bin sheng/0000-0002-3169-176X</t>
  </si>
  <si>
    <t>National Natural Science Foundation of China [31870316, 31761143001]; Key Laboratory of Ethnomedicine (Minzu University of China) of Ministry of Education of China [KLEM-ZZ201904, KLEM-ZZ201906]; Ministry of Ecology and Environment [2019HB2096001006]; Jiansheng Fresh Herb Medicine RD Foundation [JSYY-20190101-043]; Minzu University of China (Collaborative Innovation Center for Ethnic Minority Development); Minzu University of China [yldxxk201819]</t>
  </si>
  <si>
    <t>National Natural Science Foundation of China(National Natural Science Foundation of China (NSFC)); Key Laboratory of Ethnomedicine (Minzu University of China) of Ministry of Education of China; Ministry of Ecology and Environment; Jiansheng Fresh Herb Medicine RD Foundation; Minzu University of China (Collaborative Innovation Center for Ethnic Minority Development); Minzu University of China</t>
  </si>
  <si>
    <t>This study was supported by the National Natural Science Foundation of China (31870316, 31761143001), Key Laboratory of Ethnomedicine (Minzu University of China) of Ministry of Education of China (KLEM-ZZ201904, KLEM-ZZ201906), Ministry of Ecology and Environment (2019HB2096001006), Jiansheng Fresh Herb Medicine R&amp;D Foundation (JSYY-20190101-043), and Minzu University of China (Collaborative Innovation Center for Ethnic Minority Development and yldxxk201819).</t>
  </si>
  <si>
    <t>MAR 19</t>
  </si>
  <si>
    <t>10.1080/14786419.2021.1886099</t>
  </si>
  <si>
    <t>ZP5JG</t>
  </si>
  <si>
    <t>WOS:000617638800001</t>
  </si>
  <si>
    <t>Ye, Y; Xu, G; Li, DL</t>
  </si>
  <si>
    <t>Ye, Ye; Xu, Gang; Li, Dong-Liang</t>
  </si>
  <si>
    <t>Acridone alkaloids and flavones from the leaves of Citrus reticulata</t>
  </si>
  <si>
    <t>Citrus reticulata; acridone alkaloids; flavones; cytotoxic activity</t>
  </si>
  <si>
    <t>A new acridone alkaloid, reticarcidone A (1), decorated with an oxygenated isopentenyl group between C-1 and C-2, was isolated from the leaves of Citrus reticulata Blanco, together with nine known acridone alkaloids (2-10) and fifteen flavones compounds (11-25). The structure of those compounds were confirmed by analysis of comprehensive 1D and 2D NMR, and MS data. Reticarcidone A (1) was the first pyrano[2,3-a]acridone isolated from the genus Citrus. Some of these compounds showed moderated cytotoxicity against the five human tumor cell lines MCF-7, SMMC-7721, HL-60, A549 and SW480.</t>
  </si>
  <si>
    <t>Ye, Ye</t>
  </si>
  <si>
    <t>[Ye, Ye; Li, Dong-Liang] China Tobacco Sichuan Ind Co Ltd, Tech Res Ctr, Chengdu, Peoples R China; [Ye, Ye; Xu, Gang] Chinese Acad Sci, Kunming Inst Bot, State Key Lab Phytochem &amp; Plant Resources West Ch, Kunming, Yunnan, Peoples R China</t>
  </si>
  <si>
    <t>China National Tobacco Corporation; Chinese Academy of Sciences; Kunming Institute of Botany, CAS</t>
  </si>
  <si>
    <t>Li, DL (通讯作者)，China Tobacco Sichuan Ind Co Ltd, Tech Res Ctr, Chengdu, Peoples R China.;Xu, G (通讯作者)，Chinese Acad Sci, Kunming Inst Bot, State Key Lab Phytochem &amp; Plant Resources West Ch, Kunming, Yunnan, Peoples R China.</t>
  </si>
  <si>
    <t>xugang008@mail.kib.ac.cn; 360188228@qq.com</t>
  </si>
  <si>
    <t>Xu, Gang/AAJ-7435-2021</t>
  </si>
  <si>
    <t>Technical Program of China Tobacco Sichuan Industrial Co., Ltd. [hx201907]</t>
  </si>
  <si>
    <t>Technical Program of China Tobacco Sichuan Industrial Co., Ltd.</t>
  </si>
  <si>
    <t>This research was funded by the Technical Program of China Tobacco Sichuan Industrial Co., Ltd. [hx201907].</t>
  </si>
  <si>
    <t>10.1080/14786419.2021.1876047</t>
  </si>
  <si>
    <t>2Y5US</t>
  </si>
  <si>
    <t>WOS:000611635700001</t>
  </si>
  <si>
    <t>Xiong, Y; Yi, P; Li, YH; Gao, RM; Chen, JL; Hu, ZX; Lou, HY; Du, CX; Zhang, JY; Zhang, Y; Yuan, CM; Huang, LJ; Hao, XJ; Gu, W</t>
  </si>
  <si>
    <t>Xiong, Yan; Yi, Ping; Li, Yuhuan; Gao, Rongmei; Chen, Junlei; Hu, Zhanxing; Lou, Huayong; Du, Caixia; Zhang, Jiayu; Zhang, Yu; Yuan, Chunmao; Huang, Liejun; Hao, Xiaojiang; Gu, Wei</t>
  </si>
  <si>
    <t>New sesquiterpeniod esters form Blumea balsamifera (L.) DC. and their anti-influenza virus activity</t>
  </si>
  <si>
    <t>Blumea balsamifera (L; ) DC; Asteraceae; sesquiterpeniod esters; anti-influenza virus activity</t>
  </si>
  <si>
    <t>EXTRACTS; FLAVONOIDS</t>
  </si>
  <si>
    <t>Phytochemical studies led to the isolation of five new sesquiterpeniod esters, named balsamiferine N-R, along with ten known compounds (6-15) from the leaves of Blumea balsamifera (L.) DC. The skeletons of nine known sesquiterpeniods belong to guaiane and eudesmane. The structures of the new compounds including their absolute configurations were elucidated by comprehensive spectroscopic analysis, and quantum-chemical electronic circular dichroism (ECD) calculation. Compounds 3 and 4 showed significant inhibitory effects on influenza A virus (H3N2) with IC50 values of 46.23 mu g/mL and 38.49 mu g/mL, respectively. It was the first report on the anti-influenza A virus constituents from B. balsamifera.</t>
  </si>
  <si>
    <t>Xiong, Yan</t>
  </si>
  <si>
    <t>[Xiong, Yan; Yi, Ping; Chen, Junlei; Hu, Zhanxing; Lou, Huayong; Du, Caixia; Zhang, Jiayu; Yuan, Chunmao; Huang, Liejun; Hao, Xiaojiang; Gu, Wei] Guizhou Med Univ, State Key Lab Funct &amp; Applicat Med Plants, Guiyang, Peoples R China; [Xiong, Yan; Yi, Ping; Chen, Junlei; Hu, Zhanxing; Lou, Huayong; Du, Caixia; Zhang, Jiayu; Yuan, Chunmao; Huang, Liejun; Hao, Xiaojiang; Gu, Wei] Key Lab Chem Nat Prod Guizhou Prov, Guiyang, Peoples R China; [Xiong, Yan; Yi, Ping; Chen, Junlei; Hu, Zhanxing; Lou, Huayong; Du, Caixia; Zhang, Jiayu; Yuan, Chunmao; Huang, Liejun; Hao, Xiaojiang; Gu, Wei] Chinese Acad Sci, Guiyang, Peoples R China; [Li, Yuhuan; Gao, Rongmei] Chinese Acad Med Sci, Inst Med Biotechnol, Beijing, Peoples R China; [Xiong, Yan] Guizhou Nursing Vocat Coll, Guiyang, Peoples R China; [Zhang, Yu; Hao, Xiaojiang] Chinese Acad Sci, Kunming Inst Bot, State Key Lab Phytochem &amp; Plant Resources West Ch, Kunming, Yunnan, Peoples R China</t>
  </si>
  <si>
    <t>Guizhou Medical University; Chinese Academy of Sciences; Chinese Academy of Medical Sciences - Peking Union Medical College; Institute of Medicinal Biotechnology - CAMS; Chinese Academy of Sciences; Kunming Institute of Botany, CAS</t>
  </si>
  <si>
    <t>Gu, W (通讯作者)，Guizhou Med Univ, State Key Lab Funct &amp; Applicat Med Plants, Guiyang, Peoples R China.;Gu, W (通讯作者)，Key Lab Chem Nat Prod Guizhou Prov, Guiyang, Peoples R China.;Gu, W (通讯作者)，Chinese Acad Sci, Guiyang, Peoples R China.</t>
  </si>
  <si>
    <t>guwei2009@126.com</t>
  </si>
  <si>
    <t>Science and technology project of Guizhou Province [QKHZC[2018]2799]; National Natural Science Foundation of China [31860074, U1812403]; Guizhou Province Engineering Research Center for Natural Drugs</t>
  </si>
  <si>
    <t>Science and technology project of Guizhou Province; National Natural Science Foundation of China(National Natural Science Foundation of China (NSFC)); Guizhou Province Engineering Research Center for Natural Drugs</t>
  </si>
  <si>
    <t>y This work was supported by grants from the Science and technology project of Guizhou Province (QKHZC[2018]2799), the National Natural Science Foundation of China (31860074, U1812403), and Financial support from Guizhou Province Engineering Research Center for Natural Drugs.</t>
  </si>
  <si>
    <t>10.1080/14786419.2020.1861615</t>
  </si>
  <si>
    <t>DEC 2020</t>
  </si>
  <si>
    <t>ZP4LS</t>
  </si>
  <si>
    <t>WOS:000599649200001</t>
  </si>
  <si>
    <t>Chen, XL; Peng, XR; Gong, XY; Liu, YQ; Qing, Z; Ren, XX; Su, R; Fang, LM; Qiu, MH; Dong, K</t>
  </si>
  <si>
    <t>Chen, Xin-Lan; Peng, Xing-Rong; Gong, Xue-Yang; Liu, Yi-Qiu; Qing, Zhuo; Ren, Xiao-Xiao; Su, Rui; Fang, Li-Ming; Qiu, Ming-Hua; Dong, Kun</t>
  </si>
  <si>
    <t>Flavonoid glycosides from the nectar ofCamellia reticulataLindl.</t>
  </si>
  <si>
    <t>Nectar; Camellia reticulataLindl; flavonoid glycosides; tyrosinase inhibitory activity</t>
  </si>
  <si>
    <t>The nectar ofCamellia reticulataLindl. contains sugar, amino acids and other nutritional components, suggesting that it could be developed for food and food additives. To understand the effects of the nectar on human health, we investigated its chemical constituents. Two new flavonoid glycosides, cameretiins A and B(1and2), and two known flavonoid glycosides, kaempferol 3-O-(2 ''-O-E-p-coumaroyl)-beta-D-glucopyranoside(3)and tiliroside(4)were obtained from the nectar ofCamellia reticulataLindl. Their structures were determined based on analysis of their spectroscopic data and by comparison with 1D NMR spectroscopic data of known compounds reported in the literature. Compounds(1-4)were first isolated from the nectar ofCamellia reticulataLindl.</t>
  </si>
  <si>
    <t>Chen, Xin-Lan</t>
  </si>
  <si>
    <t>[Chen, Xin-Lan; Gong, Xue-Yang; Liu, Yi-Qiu; Qing, Zhuo; Ren, Xiao-Xiao; Dong, Kun] Yunnan Agr Univ, Coll Anim Sci &amp; Technol, Eastern Bee Res Inst, Yunnan Prov Engn &amp; Res Ctr Sustainable Utilizat H, Kunming, Yunnan, Peoples R China; [Chen, Xin-Lan] Tibet Acad Agr &amp; Anim Husb Sci, Agr Res Inst, Lhasa, Peoples R China; [Peng, Xing-Rong; Qiu, Ming-Hua] Chinese Acad Sci, Kunming Inst Bot, State Key Lab Phytochem &amp; Plant Resources West Ch, Kunming, Yunnan, Peoples R China; [Qing, Zhuo; Ren, Xiao-Xiao] Guizhou Prov Acad Agr Sci, Sericultural Inst, Guiyang, Peoples R China; [Su, Rui] Yunnan Acad Agr Sci, Inst Sericulture &amp; Apiculture, Mengzi, Peoples R China; [Fang, Li-Ming] Yunnan Agr Univ, Coll Plant Protect, Kunming, Yunnan, Peoples R China</t>
  </si>
  <si>
    <t>Yunnan Agricultural University; Chinese Academy of Sciences; Kunming Institute of Botany, CAS; Guizhou Academy of Agricultural Sciences; Yunnan Academy of Agricultural Sciences; Yunnan Agricultural University</t>
  </si>
  <si>
    <t>Dong, K (通讯作者)，Yunnan Agr Univ, Coll Anim Sci &amp; Technol, Eastern Bee Res Inst, Yunnan Prov Engn &amp; Res Ctr Sustainable Utilizat H, Kunming, Yunnan, Peoples R China.;Qiu, MH (通讯作者)，Chinese Acad Sci, Kunming Inst Bot, State Key Lab Phytochem &amp; Plant Resources West Ch, Kunming, Yunnan, Peoples R China.</t>
  </si>
  <si>
    <t>mhchiu@mail.kib.ac.cn; dongkun19722004@aliyun.com</t>
  </si>
  <si>
    <t>National Natural Science Foundation of China [31460577, 31572339]; China Agriculture Research System [CARS-44-KXJ13]; Reserve Personnel Training Program for Young and Middle-aged Academic and Technical Leaders in Yunnan Province [2018HB041]</t>
  </si>
  <si>
    <t>National Natural Science Foundation of China(National Natural Science Foundation of China (NSFC)); China Agriculture Research System; Reserve Personnel Training Program for Young and Middle-aged Academic and Technical Leaders in Yunnan Province</t>
  </si>
  <si>
    <t>This study was supported by National Natural Science Foundation of China (Nos. 31460577 and 31572339), China Agriculture Research System (No. CARS-44-KXJ13) and Reserve Personnel Training Program for Young and Middle-aged Academic and Technical Leaders in Yunnan Province (No.2018HB041).</t>
  </si>
  <si>
    <t>APR 3</t>
  </si>
  <si>
    <t>10.1080/14786419.2020.1819269</t>
  </si>
  <si>
    <t>SEP 2020</t>
  </si>
  <si>
    <t>ZZ7QX</t>
  </si>
  <si>
    <t>WOS:000570254700001</t>
  </si>
  <si>
    <t>Xu, W; Xu, SH; Wang, L; Zang, Z; Zhao, Y; Liu, JP; Yang, J; Zhao, Y</t>
  </si>
  <si>
    <t>Xu, Wen; Xu, Shao-Hua; Wang, Li; Zang, Zhen; Zhao, Yan; Liu, Jing-Ping; Yang, Jing; Zhao, Yong</t>
  </si>
  <si>
    <t>Five new phloroglucinol derivatives from Syzygium brachyantherum and their alpha-glucosidase and PTP1B inhibitory activities</t>
  </si>
  <si>
    <t>Syzygium brachyantherum; phloroglucinol derivatives; alpha-glucosidase; PTP1B; antidiabetic agent</t>
  </si>
  <si>
    <t>Five new phloroglucinol derivatives were isolated fromSyzygium brachyantherum, and their structures were elucidated as brachyanones A-E (1-5) on the basis of the extensive spectroscopic analysis. Among them, compounds1and3exhibited significant inhibitory activity against alpha-glucosidase with IC(50)of 2.57 and 0.97 mu M, respectively. Furthermore, compound4showed protein tyrosine phosphatase 1B (PTP1B) inhibitory effect with inhibition ratio of 89.42% at 100 mu M. This discovery indicates that phloroglucinol derivatives with long aliphatic chain possibly play an important role in antidiabetic activity ofSyzygiumplants, and they could function as a promising antidiabetic agent.</t>
  </si>
  <si>
    <t>Xu, Wen</t>
  </si>
  <si>
    <t>[Xu, Wen; Xu, Shao-Hua; Zang, Zhen; Zhao, Yan; Liu, Jing-Ping; Zhao, Yong] Yunnan Normal Univ, Coll Chem &amp; Chem Engn, Kunming, Yunnan, Peoples R China; [Wang, Li; Yang, Jing] Chinese Acad Sci, Kunming Inst Bot, State Key Lab Phytochem &amp; Plant Resources West Ch, Kunming, Yunnan, Peoples R China</t>
  </si>
  <si>
    <t>Zhao, Y (通讯作者)，Yunnan Normal Univ, Coll Chem &amp; Chem Engn, Kunming, Yunnan, Peoples R China.;Yang, J (通讯作者)，Chinese Acad Sci, Kunming Inst Bot, State Key Lab Phytochem &amp; Plant Resources West Ch, Kunming, Yunnan, Peoples R China.</t>
  </si>
  <si>
    <t>angjingc@mail.kib.ac.cn; zhaooy@126.com</t>
  </si>
  <si>
    <t>National Natural Science Foundation of China [31560098, 81522044]; Mid-aged and Young Academic and Technical Leader Raising Foundation of Yunnan Province, China [2010CI040]</t>
  </si>
  <si>
    <t>National Natural Science Foundation of China(National Natural Science Foundation of China (NSFC)); Mid-aged and Young Academic and Technical Leader Raising Foundation of Yunnan Province, China</t>
  </si>
  <si>
    <t>This work was financially supported by the National Natural Science Foundation of China (No. 31560098 and 81522044) and Mid-aged and Young Academic and Technical Leader Raising Foundation of Yunnan Province (No. 2010CI040), China.</t>
  </si>
  <si>
    <t>10.1080/14786419.2020.1809397</t>
  </si>
  <si>
    <t>WOS:000560859700001</t>
  </si>
  <si>
    <t>Shi, QQ; Gao, Y; Lu, J; Zhou, L; Qiu, MH</t>
  </si>
  <si>
    <t>Shi, Qiang-Qiang; Gao, Ya; Lu, Jing; Zhou, Lin; Qiu, Ming-Hua</t>
  </si>
  <si>
    <t>Two new triterpenoid-chromone hybrids from the rhizomes ofActaea cimicifugaL. (syn.Cimicifuga foetidaL.) and their cytotoxic activities</t>
  </si>
  <si>
    <t>Actaea cimicifuga; Triterpenoid-chromone hybrid; Cytotoxicity</t>
  </si>
  <si>
    <t>BLACK COHOSH; ROOTS; CONSTITUENTS; GLYCOSIDES; DAHURICA</t>
  </si>
  <si>
    <t>Two new triterpenoid-chromone hybrids, cimitriteromones H (1) and I (2), along with two known analogues (3,4) were isolated from the phytochemical research on then-butyl alcohol extracts ofActaea cimicifugarhizomes. The new compounds were elucidated by spectroscopic experiments and chemical method. The cytotoxic activities of the isolated compounds were tested on A-549/Taxol cell line. Cimitriteromone I (2) showed cytotoxicity with IC(50)value of 27.14 +/- 1.38 mu M comparable to positive control group cisplatin (IC(50)value of 25.80 +/- 1.15 mu M).</t>
  </si>
  <si>
    <t>Shi, Qiang-Qiang</t>
  </si>
  <si>
    <t>[Shi, Qiang-Qiang; Gao, Ya; Lu, Jing; Zhou, Lin; Qiu, Ming-Hua] Chinese Acad Sci, Kunming Inst Bot, State Key Lab Phytochem &amp; Plant Resources West Ch, Kunming, Yunnan, Peoples R China; [Shi, Qiang-Qiang; Gao, Ya; Lu, Jing; Zhou, Lin; Qiu, Ming-Hua] Univ Chinese Acad Sci, Beijing, Peoples R China; [Shi, Qiang-Qiang; Gao, Ya; Lu, Jing; Qiu, Ming-Hua] Chinese Acad Sci, Yunnan Key Lab Nat Med Chem, Kunming, Yunnan, Peoples R China</t>
  </si>
  <si>
    <t>Chinese Academy of Sciences; Kunming Institute of Botany, CAS; Chinese Academy of Sciences; University of Chinese Academy of Sciences, CAS; Chinese Academy of Sciences</t>
  </si>
  <si>
    <t>Qiu, MH (通讯作者)，Chinese Acad Sci, Kunming Inst Bot, State Key Lab Phytochem &amp; Plant Resources West Ch, Kunming, Yunnan, Peoples R China.</t>
  </si>
  <si>
    <t>Autonomous Deployment Project of Kunming Institute of Botany, CAS [KIB2017010]; Programs of National Natural Science Foundation of China [U1132604, 81302670]; Major Program of CAS [KSZD-EW-Z-004-01]</t>
  </si>
  <si>
    <t>Autonomous Deployment Project of Kunming Institute of Botany, CAS; Programs of National Natural Science Foundation of China(National Natural Science Foundation of China (NSFC)); Major Program of CAS</t>
  </si>
  <si>
    <t>This work was supported by Autonomous Deployment Project of Kunming Institute of Botany, CAS under Grant No. KIB2017010; Programs of National Natural Science Foundation of China under Grant No. U1132604 and 81302670); and The Major Program of CAS under Grant No. KSZD-EW-Z-004-01.</t>
  </si>
  <si>
    <t>JAN 1</t>
  </si>
  <si>
    <t>10.1080/14786419.2020.1775228</t>
  </si>
  <si>
    <t>XX8QN</t>
  </si>
  <si>
    <t>WOS:000542762600001</t>
  </si>
  <si>
    <t>Singh, GM; Goldberg, S; Schaefer, D; Zhang, F; Sharma, S; Mishra, VK; Xu, J</t>
  </si>
  <si>
    <t>Singh, G. M.; Goldberg, S.; Schaefer, D.; Zhang, F.; Sharma, S.; Mishra, V. K.; Xu, J.</t>
  </si>
  <si>
    <t>Biochemical, gas exchange, and chlorophyll fluorescence analysis of maize genotypes under drought stress reveals important insights into their interaction and homeostasis</t>
  </si>
  <si>
    <t>PHOTOSYNTHETICA</t>
  </si>
  <si>
    <t>chlorophyll fluorescence; drought; gas exchange; interaction; maize</t>
  </si>
  <si>
    <t>WATER-USE EFFICIENCY; PHOTOSYSTEM-II; OXIDATIVE STRESS; ACTIVE OXYGEN; SUPEROXIDE-DISMUTASE; HYDROGEN-PEROXIDE; XANTHOPHYLL CYCLE; PHOTOSYNTHESIS; CHLOROPLASTS; PLANTS</t>
  </si>
  <si>
    <t>Many studies have been conducted on maize to study the effect of drought on yield at the flowering stage, but understanding biochemical and photosynthetic response against drought at the seedling stage needs to be well established. Thus, to understand differential changes and interaction of biochemical and photosynthetic parameters at the seedling stage under drought, a greenhouse experiment with twelve maize genotypes under severe drought (30% field capacity) and irrigated (90-100% field capacity) conditions were performed. Drought differentially altered biochemical and photosynthetic parameters in all genotypes. A sharp increase in hydrogen peroxide, malondialdehyde (MDA), and total antioxidant capacity (TAOC) were seen and a positive association between H2O2 and TAOC, and MDA and transpiration rate (E) was observed under drought. Nonphotochemical quenching increased under drought to avoid the photosystem damage. PCA biplot analysis showed that reducing E and increasing photosynthetic efficiency would be a better drought adaptation mechanism in maize at the seedling stage.</t>
  </si>
  <si>
    <t>Singh, G. M.</t>
  </si>
  <si>
    <t>[Singh, G. M.; Zhang, F.] Chinese Acad Agr Sci, Inst Plant Protect, MARA CABI Joint Lab Biosafety, Beijing 100193, Peoples R China; [Singh, G. M.; Goldberg, S.; Schaefer, D.; Xu, J.] Kunming Inst Bot, Ctr Mt Futures CMF, Kunming 650201, Yunnan, Peoples R China; [Goldberg, S.] World Agroforestry, East &amp; Cent Asia Reg Off, Kunming 650201, Yunnan, Peoples R China; [Goldberg, S.; Schaefer, D.; Xu, J.] Chinese Acad Sci, Kunming Inst Bot, CAS Key Lab Plant Divers &amp; Biogeog East Asia, Kunming 650201, Yunnan, Peoples R China; [Zhang, F.] Hexi Univ, Coll Agr &amp; Ecol Engn, Zhangye 734000, Gansu, Peoples R China; [Sharma, S.; Mishra, V. K.] Banaras Hindu Univ, Dept Genet &amp; Plant Breeding, Varanasi 221005, Uttar Pradesh, India</t>
  </si>
  <si>
    <t>Zhang, F (通讯作者)，Chinese Acad Agr Sci, Inst Plant Protect, MARA CABI Joint Lab Biosafety, Beijing 100193, Peoples R China.;Xu, J (通讯作者)，Kunming Inst Bot, Ctr Mt Futures CMF, Kunming 650201, Yunnan, Peoples R China.;Xu, J (通讯作者)，Chinese Acad Sci, Kunming Inst Bot, CAS Key Lab Plant Divers &amp; Biogeog East Asia, Kunming 650201, Yunnan, Peoples R China.;Zhang, F (通讯作者)，Hexi Univ, Coll Agr &amp; Ecol Engn, Zhangye 734000, Gansu, Peoples R China.</t>
  </si>
  <si>
    <t>f.zhang@cabi.org; jxu@mail.kib.ac.cn</t>
  </si>
  <si>
    <t>Gansu Provincial Department of Education Industry Support Programme [2021CYZC-53]; CABI</t>
  </si>
  <si>
    <t>Gansu Provincial Department of Education Industry Support Programme; CABI</t>
  </si>
  <si>
    <t>We sincerely acknowledge the Yunnan Academy of Agricultural Sciences (YAAS), Yunnan, Honghe Hani, and Yi Autonomous Prefecture Academy of Agricultural Sciences, Yunnan, China for providing the maize genotypes used in the study. We are also thankful to the Center for Mountain Futures (CMF), Yunnan, China, the Center for Agriculture and Biosciences International (CABI), and Kunming Institute of Botany (KIB), Yunnan, China for their valuable support and resources. This research was partly funded by China's donation to the CABI Development Fund and Gansu Provincial Department of Education Industry Support Programme (2021CYZC-53). Feng Zhang was supported by CABI with core financial support from its member countries (see https://www.cabi.org/).</t>
  </si>
  <si>
    <t>ACAD SCIENCES CZECH REPUBLIC, INST EXPERIMENTAL BOTANY</t>
  </si>
  <si>
    <t>6 PRAGUE</t>
  </si>
  <si>
    <t>NA KARLOVCE 1A,, 6 PRAGUE, 160 00, CZECH REPUBLIC</t>
  </si>
  <si>
    <t>0300-3604</t>
  </si>
  <si>
    <t>1573-9058</t>
  </si>
  <si>
    <t>Photosynthetica</t>
  </si>
  <si>
    <t>10.32615/ps.2022.024</t>
  </si>
  <si>
    <t>2A6HT</t>
  </si>
  <si>
    <t>WOS:000809601600001</t>
  </si>
  <si>
    <t>Nimalrathna, TS; Solina, ID; Mon, AM; Pomoim, N; Bhadra, S; Zvereva, EL; Sam, K; Nakamura, A</t>
  </si>
  <si>
    <t>Nimalrathna, Thilina S.; Solina, Inda Dwi; Mon, Aye Mya; Pomoim, Nirunrut; Bhadra, Sreetama; Zvereva, Elena L.; Sam, Katerina; Nakamura, Akihiro</t>
  </si>
  <si>
    <t>Estimating predation pressure in ecological studies: controlling bias imposed by using sentinel plasticine prey</t>
  </si>
  <si>
    <t>ENTOMOLOGIA EXPERIMENTALIS ET APPLICATA</t>
  </si>
  <si>
    <t>ants; China; Coleoptera; dummy caterpillars; Finland; monsoonal tropical forest; Papua New Guinea; predator; Tenebrio molitor; Tenebrionidae; Xishuangbanna; Yunnan</t>
  </si>
  <si>
    <t>ARTIFICIAL CATERPILLARS; TROPICAL FORESTS; INSECT PREY; RAIN-FOREST; RISK; LEPIDOPTERAN; DEFENSES; XISHUANGBANNA; HYMENOPTERA; UNDERSTORY</t>
  </si>
  <si>
    <t>Sentinel plasticine prey has been increasingly used to estimate predation pressure. The use of plasticine prey may, however, bias the results, as this method was originally designed to account for predation by organisms that can visually recognize the shapes and colors of their prey. To evaluate the limitations of using sentinel plasticine prey, we compared predator attack rates between real prey - dead and live mealworms, Tenebrio molitor L. (Coleoptera: Tenebrionidae) - and plasticine models in a monsoonal tropical rainforest of southeastern China. The attack rates by invertebrates were highest on dead prey followed by live prey and plasticine models, whereas the attack rates by vertebrates were lowest on dead prey, and did not differ between live prey and plasticine models. These results confirm that bias imposed by using the plasticine models is affected by the type of predators. In addition, we tested the validity and generality of the premise that predators can distinguish the shapes of plasticine model prey and preferentially attack a caterpillar-like shape over other shapes. To test this hypothesis, we conducted three independent experiments in China, Papua New Guinea, and Finland. In the two latter localities, predation rates on plasticine caterpillars were higher than on models of other shapes, whereas in China, these differences were not significant. Taken together, our study suggests that plasticine models may underestimate the predation by invertebrates to a greater extent than predation by vertebrates, and the preference of model shape by predators may be locality-specific, presumably due to differences in the composition of the predator community. We propose that predation be estimated on both live and plasticine prey in future studies to measure the potential bias imposed by using plasticine models and its variation among various habitats and predator groups.</t>
  </si>
  <si>
    <t>Nimalrathna, Thilina S.</t>
  </si>
  <si>
    <t>[Nimalrathna, Thilina S.; Bhadra, Sreetama; Nakamura, Akihiro] Chinese Acad Sci, CAS Key Lab Trop Forest Ecol, Xishuangbanna Trop Bot Garden, Mengla, Yunnan, Peoples R China; [Nimalrathna, Thilina S.; Pomoim, Nirunrut] Univ Chinese Acad Sci, Beijing, Peoples R China; [Nimalrathna, Thilina S.; Solina, Inda Dwi; Mon, Aye Mya; Pomoim, Nirunrut; Nakamura, Akihiro] Chinese Acad Sci, Program Field Studies Trop Asia, Xishuangbanna Trop Bot Garden, Mengla, Yunnan, Peoples R China; [Solina, Inda Dwi] Andalas Univ, Fac Math &amp; Nat Sci, Dept Biol, Padang, Indonesia; [Mon, Aye Mya] Chinese Acad Sci, Kunming Inst Bot, Key Lab Econ Plants &amp; Biotechnol, Kunming, Yunnan, Peoples R China; [Zvereva, Elena L.] Univ Turku, Dept Biol, Turku, Finland; [Sam, Katerina] Czech Acad Sci, Inst Entomol, Biol Ctr, Prague, Czech Republic; [Sam, Katerina] Univ South Bohemia, Fac Sci, Ceske Budejovice, Czech Republic; [Sam, Katerina] New Guinea Binatang Res Ctr, Madang, Papua N Guinea; [Bhadra, Sreetama] German Ctr Integrat Biodivers Res iDiv, Evolut &amp; Adaptat Res Grp, Leipzig, Germany</t>
  </si>
  <si>
    <t>Chinese Academy of Sciences; Xishuangbanna Tropical Botanical Garden, CAS; Chinese Academy of Sciences; University of Chinese Academy of Sciences, CAS; Chinese Academy of Sciences; Xishuangbanna Tropical Botanical Garden, CAS; Universitas Andalas; Chinese Academy of Sciences; Kunming Institute of Botany, CAS; University of Turku; Czech Academy of Sciences; Biology Centre of the Czech Academy of Sciences; University of South Bohemia Ceske Budejovice</t>
  </si>
  <si>
    <t>Nakamura, A (通讯作者)，Chinese Acad Sci, CAS Key Lab Trop Forest Ecol, Xishuangbanna Trop Bot Garden, Mengla, Yunnan, Peoples R China.</t>
  </si>
  <si>
    <t>a.nakamura@xtbg.ac.cn</t>
  </si>
  <si>
    <t>Nakamura, Akihiro/O-8384-2018</t>
  </si>
  <si>
    <t>Nakamura, Akihiro/0000-0001-7349-5102; Solina, Inda/0000-0001-8750-4014</t>
  </si>
  <si>
    <t>National Natural Science Foundation of China; Chinese Academy of Sciences</t>
  </si>
  <si>
    <t>National Natural Science Foundation of China(National Natural Science Foundation of China (NSFC)); Chinese Academy of Sciences(Chinese Academy of Sciences)</t>
  </si>
  <si>
    <t>0013-8703</t>
  </si>
  <si>
    <t>1570-7458</t>
  </si>
  <si>
    <t>ENTOMOL EXP APPL</t>
  </si>
  <si>
    <t>Entomol. Exp. Appl.</t>
  </si>
  <si>
    <t>10.1111/eea.13249</t>
  </si>
  <si>
    <t>7E5JU</t>
  </si>
  <si>
    <t>WOS:000876540000001</t>
  </si>
  <si>
    <t>Cheng, CR; Emori, W; Wei, K; Louis, H; Unimuke, TO; Okonkwo, PC; Njoku, DI; Okafor, PC</t>
  </si>
  <si>
    <t>Cheng, Chun-Ru; Emori, Wilfred; Wei, Kun; Louis, Hitler; Unimuke, Tomsmith O.; Okonkwo, Paul C.; Njoku, Demian, I; Okafor, Peter C.</t>
  </si>
  <si>
    <t>Natural triterpenoids of Ganoderma lucidum as new, green, and effective corrosion inhibitor for steel in acidic medium: characterization, experimental and theoretical investigations</t>
  </si>
  <si>
    <t>JOURNAL OF ADHESION SCIENCE AND TECHNOLOGY</t>
  </si>
  <si>
    <t>Adsorption; triterpenoid; corrosion inhibition; carbon steel; electrochemistry; computational studies</t>
  </si>
  <si>
    <t>MILD-STEEL; CARBON-STEEL; QUALITATIVE-ANALYSIS; XYLOPIA-AETHIOPICA; MOLECULAR-DYNAMICS; Q235 STEEL; EXTRACT; ALUMINUM; BEHAVIOR; CONSTITUENTS</t>
  </si>
  <si>
    <t>Ganoderma lucidum, a wood-decaying fungus, has been at the center of pharmaceutical research for its disease curative and preventive abilities due to its abundant antioxidant-rich phytoconstituents. Herein, we have explored its outstanding inhibition properties in the protection of steel from environmental degradation. Its triterpenoid constituents were extracted, characterized by liquid chromatography/multi-stage mass spectrometry, and applied in both experiments (electrochemical, gravimetric, 3 D optical profiling, SEM, and FTIR tests) and computation (quantum chemical calculations and molecular dynamics simulation) to reveal its metallic corrosion suppression efficacy. 36 constituent triterpenoids were effectively characterized from the extract. In comparison with corresponding electrochemical tests conducted with the crude extract of Ganoderma lucidum, an inhibition efficiency of 83.1% at 1.0 g/L was recorded for the triterpenoid extract against 93.9% for 1.0 g/L crude extract, and both extracts displayed mixed-typed corrosion inhibition properties, exhibiting improved performances with increasing concentrations and exposure time while their effects were gradually decreased with temperature increments. The potential presence of the triterpenoids was confirmed on the carbon steel surface by the surface analytical techniques, and the experimental data were in full compliance with the Langmuir adsorption isotherm model. Computational methods estimated the adsorption performances of some selected triterpenoids on Fe (110) surface. An exclusive study of the corrosion inhibition influence of triterpenoids for metal protection in an acid environment is hereby presented for the first time, and the reported results will benefit future explorations of triterpenoids in inhibitors design and synthesis.</t>
  </si>
  <si>
    <t>Cheng, Chun-Ru</t>
  </si>
  <si>
    <t>[Cheng, Chun-Ru; Wei, Kun] Sichuan Univ Sci &amp; Engn, Coll Chem Engn, Inst Pharmaceut Engn Technol &amp; Applicat, Key Lab Green Chem,Sichuan Inst Higher Educ, Zigong, Sichuan, Peoples R China; [Emori, Wilfred] Sichuan Univ Sci &amp; Engn, Sch Mat Sci &amp; Engn, Zigong 643000, Sichuan, Peoples R China; [Cheng, Chun-Ru; Emori, Wilfred] Key Lab Mat Corros &amp; Protect Sichuan Prov, Zigong, Sichuan, Peoples R China; [Cheng, Chun-Ru] Chinese Acad Sci, Kunming Inst Bot, State Key Lab Phytochem &amp; Plant Resources West Ch, Kunming, Yunnan, Peoples R China; [Louis, Hitler; Unimuke, Tomsmith O.] Univ Calabar, Computat &amp; Biosimulat Res Grp, Calabar, Nigeria; [Okonkwo, Paul C.] Dhofar Univ, Mech &amp; Mechatron Engn, Salalah, Oman; [Njoku, Demian, I] Madonna Univ, Dept Ind Chem, Elele, Nigeria; [Njoku, Demian, I] Fed Univ Technol Owerri, Africa Ctr Excellence Future Energies &amp; Electroch, Owerri, Nigeria; [Okafor, Peter C.] Univ Calabar, Dept Pure &amp; Appl Chem, Corros &amp; Electrochem Res Grp, Calabar, Nigeria</t>
  </si>
  <si>
    <t>Sichuan University of Science &amp; Engineering; Sichuan University of Science &amp; Engineering; Chinese Academy of Sciences; Kunming Institute of Botany, CAS; University of Calabar; Dhofar University; University of Calabar</t>
  </si>
  <si>
    <t>Emori, W (通讯作者)，Sichuan Univ Sci &amp; Engn, Sch Mat Sci &amp; Engn, Zigong 643000, Sichuan, Peoples R China.</t>
  </si>
  <si>
    <t>emoriental@yahoo.com</t>
  </si>
  <si>
    <t>Unimuke, Tomsmith/AAT-8535-2021; Emori, Wilfred/K-8466-2016</t>
  </si>
  <si>
    <t>Unimuke, Tomsmith/0000-0001-8721-2345; Emori, Wilfred/0000-0002-0644-8741</t>
  </si>
  <si>
    <t>Talent Funds of Sichuan University of Science and Engineering [2018RCL13, 2015RC24]; Key Laboratories of Fine Chemicals and Surfactants in Sichuan Provincial Universities [2019JXZ02]; Open Project of Key Laboratory of Green Chemistry of Sichuan Institutes of Higher Education [LZJ18202]; Error! Hyperlink reference not valid [Y2020025]; Science and Technology Programme project of Zigong [2019YYJC32]; Fund of State Key Laboratory of Phytochemistry and Plant Resources in West China [P2020-KF02]</t>
  </si>
  <si>
    <t>Talent Funds of Sichuan University of Science and Engineering; Key Laboratories of Fine Chemicals and Surfactants in Sichuan Provincial Universities; Open Project of Key Laboratory of Green Chemistry of Sichuan Institutes of Higher Education; Error! Hyperlink reference not valid; Science and Technology Programme project of Zigong; Fund of State Key Laboratory of Phytochemistry and Plant Resources in West China</t>
  </si>
  <si>
    <t>This research was supported by the Talent Funds of Sichuan University of Science and Engineering (No. 2018RCL13, and No. 2015RC24), Key Laboratories of Fine Chemicals and Surfactants in Sichuan Provincial Universities (2019JXZ02), the Open Project of Key Laboratory of Green Chemistry of Sichuan Institutes of Higher Education (LZJ18202), Error! Hyperlink reference not valid. (Y2020025), Science and Technology Programme project of Zigong (2019YYJC32), and the Fund of State Key Laboratory of Phytochemistry and Plant Resources in West China (P2020-KF02).</t>
  </si>
  <si>
    <t>0169-4243</t>
  </si>
  <si>
    <t>1568-5616</t>
  </si>
  <si>
    <t>J ADHES SCI TECHNOL</t>
  </si>
  <si>
    <t>J. Adhes. Sci. Technol.</t>
  </si>
  <si>
    <t>DEC 17</t>
  </si>
  <si>
    <t>23-24</t>
  </si>
  <si>
    <t>10.1080/01694243.2022.2042137</t>
  </si>
  <si>
    <t>Engineering, Chemical; Materials Science, Multidisciplinary; Mechanics</t>
  </si>
  <si>
    <t>Engineering; Materials Science; Mechanics</t>
  </si>
  <si>
    <t>6T9LI</t>
  </si>
  <si>
    <t>WOS:000758637600001</t>
  </si>
  <si>
    <t>Wang, SH; Wu, C; Xiao, DR; Wang, J; Cheng, XP; Guo, FB</t>
  </si>
  <si>
    <t>Wang, Si-hai; Wu, Chao; Xiao, De-rong; Wang, Juan; Cheng, Xi-ping; Guo, Fang-bin</t>
  </si>
  <si>
    <t>Temporal changes in wetland plant communities with decades of cumulative water pollution in two plateau lakes in China's Yunnan Province (vol 14, pg 1677, 2017)</t>
  </si>
  <si>
    <t>JOURNAL OF MOUNTAIN SCIENCE</t>
  </si>
  <si>
    <t>Wang, Si-hai</t>
  </si>
  <si>
    <t>[Wang, Si-hai] Yunnan Acad Forestry, Key Lab State Forestry Adm Conservat Rare Endange, Kunming 650201, Yunnan, Peoples R China; [Wang, Si-hai; Wu, Chao; Xiao, De-rong; Wang, Juan] Southwest Forestry Univ, Natl Plateau Wetlands Res Ctr, Kunming 650224, Yunnan, Peoples R China; [Wang, Si-hai] Chinese Acad Sci, State Key Lab Phytochem &amp; Plant Resources West Ch, Kunming 650201, Yunnan, Peoples R China; [Wang, Juan] Yunnan Acad Forestry, Yunnan Prov Key Lab Cultivat &amp; Exploitat Forest P, Kunming 650201, Yunnan, Peoples R China; [Cheng, Xi-ping; Guo, Fang-bin] Southwest Forestry Univ, Fac Ecotourism, Kunming 650224, Yunnan, Peoples R China</t>
  </si>
  <si>
    <t>Southwest Forestry University - China; Chinese Academy of Sciences; Southwest Forestry University - China</t>
  </si>
  <si>
    <t>Wang, J (通讯作者)，Southwest Forestry Univ, Natl Plateau Wetlands Res Ctr, Kunming 650224, Yunnan, Peoples R China.;Wang, J (通讯作者)，Yunnan Acad Forestry, Yunnan Prov Key Lab Cultivat &amp; Exploitat Forest P, Kunming 650201, Yunnan, Peoples R China.</t>
  </si>
  <si>
    <t>wangsh6688@163.com; 1073895932@qq.com; xiaoderong1@163.com; schima@163.com; xipingcheng2012@163.com; guodelinlin@163.com</t>
  </si>
  <si>
    <t>1672-6316</t>
  </si>
  <si>
    <t>1993-0321</t>
  </si>
  <si>
    <t>J MT SCI-ENGL</t>
  </si>
  <si>
    <t>J Mt. Sci.</t>
  </si>
  <si>
    <t>10.1007/s11629-018-4843-3</t>
  </si>
  <si>
    <t>3B2BO</t>
  </si>
  <si>
    <t>WOS:000827751600021</t>
  </si>
  <si>
    <t>Li, TZ; Huang, XY; Sun, JJ; Geng, CA; Zhang, XM; Chen, JJ</t>
  </si>
  <si>
    <t>Li, Tian-Ze; Huang, Xiao-Yan; Sun, Jin-Jin; Geng, Chang-An; Zhang, Xue-Mei; Chen, Ji-Jun</t>
  </si>
  <si>
    <t>Synthesis and biological evaluation of (+)-paeoveitol derivatives as novel antidepressants</t>
  </si>
  <si>
    <t>MEDICINAL CHEMISTRY RESEARCH</t>
  </si>
  <si>
    <t>(+)-Paeoveitol derivatives; Antidepressant; Forced swimming test; Monoamine neurotransmitter</t>
  </si>
  <si>
    <t>The antidepressant activity of (+) and (-)-paeoveitol was first evaluated using the forced swimming test (FST), and (+)-paeoveitol showed potential antidepressant activity by decreasing immobility time of mice (by approximately 26.4%) in the FST at a dose of 20 mg/kg. To explore the structure-activity relationships (SARs) and obtain more potent compounds, twenty derivatives of (+)-paeoveitol were synthesized and evaluated for their agonistic activities on melatonin type I (MT1) and type II (MT2) receptors. As a results, compound 13 with an N-methylpiperazine fragment exhibited obvious effect on MT1 and MT2 receptors with EC50 values of 0.20 and 0.24 mM. Moreover, compound 13 dose-dependently decreased the immobility of mice in the FST and showed an inverted U-shaped dose-effect, and the most efficacious dose (at 40 mg/kg) was comparable to fluoxetine (20 mg/kg) with a reduced immobility time of 29.2% and 34.5%, respectively. In vivo neurochemical assays suggested that compound 13 obviously increased 5-hydroxytryptamine (5-HT), 5-hydroxyindoleacetic acid (5-HIAA) and norepinephrine (NE) levels in the mice brain, indicating that its antidepressant effects might be related to the monoaminergic system. In silico ADMET study revealed that 13 has favorable pharmacokinetic properties. These findings suggest that compound 13 could be a potential antidepressant agent. [GRAPHICS] .</t>
  </si>
  <si>
    <t>[Li, Tian-Ze; Huang, Xiao-Yan; Sun, Jin-Jin; Geng, Chang-An; Zhang, Xue-Mei; Chen, Ji-Jun] Chinese Acad Sci, Kunming Inst Bot, State Key Lab Phytochem &amp; Plant Resources West Ch, Kunming 650201, Yunnan, Peoples R China; [Chen, Ji-Jun] Univ Chinese Acad Sci, Beijing 100049, Peoples R China</t>
  </si>
  <si>
    <t>Chen, JJ (通讯作者)，Chinese Acad Sci, Kunming Inst Bot, State Key Lab Phytochem &amp; Plant Resources West Ch, Kunming 650201, Yunnan, Peoples R China.;Chen, JJ (通讯作者)，Univ Chinese Acad Sci, Beijing 100049, Peoples R China.</t>
  </si>
  <si>
    <t>National Natural Science Foundation of China [81803405]; Xingdian Yingcai Project [YNWR-KJLJ-2019-002]; Youth Innovation Promotion Association, CAS [2020386]; Reserve Talents of Young and Middle-aged Academic and Technical Leaders in Yunnan Province [202105AC160021]; High-Level Talent Program of Yunnan Province [YNQR-QNRC-2020-125]; State Key Laboratory of Phytochemistry and Plant Resources in West China</t>
  </si>
  <si>
    <t>National Natural Science Foundation of China(National Natural Science Foundation of China (NSFC)); Xingdian Yingcai Project; Youth Innovation Promotion Association, CAS; Reserve Talents of Young and Middle-aged Academic and Technical Leaders in Yunnan Province; High-Level Talent Program of Yunnan Province; State Key Laboratory of Phytochemistry and Plant Resources in West China</t>
  </si>
  <si>
    <t>This work was supported by the National Natural Science Foundation of China (81803405), the Xingdian Yingcai Project (YNWR-KJLJ-2019-002), the Youth Innovation Promotion Association, CAS (2020386), the Reserve Talents of Young and Middle-aged Academic and Technical Leaders in Yunnan Province (202105AC160021), the High-Level Talent Program of Yunnan Province (YNQR-QNRC-2020-125), and State Key Laboratory of Phytochemistry and Plant Resources in West China.</t>
  </si>
  <si>
    <t>SPRINGER BIRKHAUSER</t>
  </si>
  <si>
    <t>233 SPRING STREET, 6TH FLOOR, NEW YORK, NY 10013 USA</t>
  </si>
  <si>
    <t>1054-2523</t>
  </si>
  <si>
    <t>1554-8120</t>
  </si>
  <si>
    <t>MED CHEM RES</t>
  </si>
  <si>
    <t>Med. Chem. Res.</t>
  </si>
  <si>
    <t>10.1007/s00044-022-02973-0</t>
  </si>
  <si>
    <t>4W1WU</t>
  </si>
  <si>
    <t>Bronze, Green Published</t>
  </si>
  <si>
    <t>WOS:000855589000002</t>
  </si>
  <si>
    <t>Sun, JJ; Wang, JP; Li, TZ; Ma, YB; Xue, D; Chen, JJ</t>
  </si>
  <si>
    <t>Sun, Jin-Jin; Wang, Jin-Ping; Li, Tian-Ze; Ma, Yun-Bao; Xue, Dong; Chen, Ji-Jun</t>
  </si>
  <si>
    <t>Design and synthesis of ludartin derivatives as potential anticancer agents against hepatocellular carcinoma</t>
  </si>
  <si>
    <t>Ludartin derivatives; Antihepatoma activity; HepG2 cells; Huh7 cells</t>
  </si>
  <si>
    <t>SESQUITERPENE LACTONES; CHEMICAL-CONSTITUENTS; GUAIANOLIDES; ANTITUMOR; ANALOGS</t>
  </si>
  <si>
    <t>Our previous study demonstrated that guaiane-type sesquiterpenoid ludartin showed potent antihepatoma activity against two human hepatocellular carcinoma cell lines, HepG2 and Huh7, with IC50 values of 32.7 and 34.3 mu M, respectively. In this study, 34 ludartin derivatives were designed, synthesized and evaluated for their cytotoxic activities against HepG2 and Huh7 cell lines using an MTT assay in vitro. As a result, 17 compounds increased the activity against HepG2 cells, and 20 compounds enhanced the activity against Huh7 cells; 14 derivatives 2, 4-7, 9, 11, 17, 24, 28-30 and 32-33 were superior to ludartin on both HepG2 and Huh7 cells. In particular, dimeric derivative 33 as the most active compound showed 20-fold and 17-fold enhancement of cytotoxicity against HepG2 and Huh7 cells compared to that of ludartin. These results suggested that compound 33 could serve as a promising lead compound against liver cancer. [GRAPHICS] .</t>
  </si>
  <si>
    <t>Sun, Jin-Jin</t>
  </si>
  <si>
    <t>[Sun, Jin-Jin; Wang, Jin-Ping; Li, Tian-Ze; Ma, Yun-Bao; Chen, Ji-Jun] Chinese Acad Sci, Kunming Inst Bot, State Key Lab Phytochem &amp; Plant Resources West Ch, Kunming 650201, Yunnan, Peoples R China; [Sun, Jin-Jin; Wang, Jin-Ping; Li, Tian-Ze; Ma, Yun-Bao; Chen, Ji-Jun] Yunnan Key Lab Nat Med Chem, Kunming 650201, Yunnan, Peoples R China; [Sun, Jin-Jin; Wang, Jin-Ping; Xue, Dong] Shaanxi Normal Univ, Minist Educ, Key Lab Appl Surface &amp; Colloid Chem, Xian 710062, Peoples R China; [Sun, Jin-Jin; Wang, Jin-Ping; Xue, Dong] Shaanxi Normal Univ, Sch Chem &amp; Chem Engn, Xian 710062, Peoples R China; [Chen, Ji-Jun] Univ Chinese Acad Sci, Beijing 100049, Peoples R China</t>
  </si>
  <si>
    <t>Chinese Academy of Sciences; Kunming Institute of Botany, CAS; Shaanxi Normal University; Shaanxi Normal University; Chinese Academy of Sciences; University of Chinese Academy of Sciences, CAS</t>
  </si>
  <si>
    <t>Chen, JJ (通讯作者)，Chinese Acad Sci, Kunming Inst Bot, State Key Lab Phytochem &amp; Plant Resources West Ch, Kunming 650201, Yunnan, Peoples R China.;Chen, JJ (通讯作者)，Yunnan Key Lab Nat Med Chem, Kunming 650201, Yunnan, Peoples R China.;Xue, D (通讯作者)，Shaanxi Normal Univ, Minist Educ, Key Lab Appl Surface &amp; Colloid Chem, Xian 710062, Peoples R China.;Xue, D (通讯作者)，Shaanxi Normal Univ, Sch Chem &amp; Chem Engn, Xian 710062, Peoples R China.</t>
  </si>
  <si>
    <t>xuedong_welcome@snnu.edu.cn; chenjj@mail.kib.ac.cn</t>
  </si>
  <si>
    <t>Key Program of the National Natural Science Foundation of China [22137008]; Xingdian Rencai Project [YNWR -KJLJ -2019-002]; Youth Innovation Promotion Association, CAS [2020386]; Reserve Talents of Young and Middle-aged Academic and Technical Leaders in Yunnan Province; State Key Laboratory of Phytochemistry and Plant Resources in West China [P2021-ZZ06]</t>
  </si>
  <si>
    <t>Key Program of the National Natural Science Foundation of China(National Natural Science Foundation of China (NSFC)); Xingdian Rencai Project; Youth Innovation Promotion Association, CAS; Reserve Talents of Young and Middle-aged Academic and Technical Leaders in Yunnan Province; State Key Laboratory of Phytochemistry and Plant Resources in West China</t>
  </si>
  <si>
    <t>This work was supported by the Key Program of the National Natural Science Foundation of China (22137008), the Xingdian Rencai Project (YNWR -KJLJ -2019-002) the Youth Innovation Promotion Association, CAS (2020386), the Reserve Talents of Young and Middle-aged Academic and Technical Leaders in Yunnan Province (T-ZL), and the State Key Laboratory of Phytochemistry and Plant Resources in West China (P2021-ZZ06).</t>
  </si>
  <si>
    <t>10.1007/s00044-022-02890-2</t>
  </si>
  <si>
    <t>2H4QE</t>
  </si>
  <si>
    <t>WOS:000801056800002</t>
  </si>
  <si>
    <t>Yang, XT; Li, TZ; Geng, CA; Liu, P; Chen, JJ</t>
  </si>
  <si>
    <t>Yang, Xiao-Tong; Li, Tian-Ze; Geng, Chang-An; Liu, Pei; Chen, Ji-Jun</t>
  </si>
  <si>
    <t>Synthesis and biological evaluation of (20S,24R)-epoxy-dammarane-3 beta,12 beta,25-triol derivatives as alpha-glucosidase and PTP1B inhibitors</t>
  </si>
  <si>
    <t>(20S,24R)-epoxy-dammarane-3 beta,12 beta,25-triol; alpha-glucosidase inhibitors; PTP1B inhibitors; Enzyme kinetics</t>
  </si>
  <si>
    <t>TYROSINE-PHOSPHATASE 1B; DIABETES-MELLITUS; EPIDEMIOLOGY</t>
  </si>
  <si>
    <t>The dammarane triterpenoid (20S,24R)-epoxy-dammarane-3 beta,12 beta,25-triol obtained from Cyclocarya paliurus in our previous study showed inhibitory activity on alpha-glucosidase in vitro with an inhibitory ratio of 32.2% at the concentration of 200 mu M. In order to reveal the structure-activity relationships (SARs) and get more active compounds, 42 derivatives of (20S,24R)-epoxy-dammarane-3 beta,12 beta,25-triol were synthesized by chemical modification on the hydroxyls (C-3 and C-12), rings A and E, and assayed for their alpha-glucosidase and PTP1B inhibitory activities. Two compounds (8, 26) increased activity against alpha-glucosidase, and four compounds (8, 15, 26, 42) significantly inhibited PTP1B. It was noted that compounds 8 and 26 could inhibit both alpha-glucosidase and PTP1B as dual-target inhibitors with IC50 values of 489.8, 467.7 mu M (alpha-glucosidase) and 319.7, 269.1 mu M (PTP1B). Compound 26 was revealed to be a mix-type inhibitor on alpha-glucosidase and a noncompetitive-type inhibitor on PTP1B based on enzyme kinetic study. Furthermore, compound 42 could selectively inhibited PTP1B as a mix-type inhibitor with IC50 value of 134.9 mu M, which was 2.5-fold higher than the positive control, suramin sodium (IC50 339.0 mu M), but not inhibit alpha-glucosidase. [GRAPHICS] .</t>
  </si>
  <si>
    <t>Yang, Xiao-Tong</t>
  </si>
  <si>
    <t>[Yang, Xiao-Tong; Li, Tian-Ze; Geng, Chang-An; Liu, Pei; Chen, Ji-Jun] Chinese Acad Sci, State Key Lab Phytochem &amp; Plant Resources West Ch, Kunming Inst Bot, Kunming 650201, Yunnan, Peoples R China; [Yang, Xiao-Tong; Li, Tian-Ze; Geng, Chang-An; Liu, Pei; Chen, Ji-Jun] Yunnan Key Lab Nat Med Chem, Kunming 650201, Yunnan, Peoples R China; [Chen, Ji-Jun] Univ Chinese Acad Sci, Beijing 100049, Peoples R China</t>
  </si>
  <si>
    <t>Chen, JJ (通讯作者)，Chinese Acad Sci, State Key Lab Phytochem &amp; Plant Resources West Ch, Kunming Inst Bot, Kunming 650201, Yunnan, Peoples R China.;Chen, JJ (通讯作者)，Yunnan Key Lab Nat Med Chem, Kunming 650201, Yunnan, Peoples R China.;Chen, JJ (通讯作者)，Univ Chinese Acad Sci, Beijing 100049, Peoples R China.</t>
  </si>
  <si>
    <t>National Natural Science Foundation of China [81773612]; Yunnan Science Fund for Excellent Young Scholars [2019FI017]; Youth Innovation Promotion Association, CAS [2020386]; Reserve Talents of Young and Middle-aged Academic and Technical Leaders in Yunnan Province (TZLi)</t>
  </si>
  <si>
    <t>National Natural Science Foundation of China(National Natural Science Foundation of China (NSFC)); Yunnan Science Fund for Excellent Young Scholars; Youth Innovation Promotion Association, CAS; Reserve Talents of Young and Middle-aged Academic and Technical Leaders in Yunnan Province (TZLi)</t>
  </si>
  <si>
    <t>This work was supported by the National Natural Science Foundation of China (81773612), the Yunnan Science Fund for Excellent Young Scholars (2019FI017), the Youth Innovation Promotion Association, CAS (2020386), and the Reserve Talents of Young and Middle-aged Academic and Technical Leaders in Yunnan Province (TZLi).</t>
  </si>
  <si>
    <t>10.1007/s00044-021-02836-0</t>
  </si>
  <si>
    <t>YK1YQ</t>
  </si>
  <si>
    <t>WOS:000741244600001</t>
  </si>
  <si>
    <t>Williams, PH; Francoso, E; Martinet, B; Orr, MC; Ren, ZX; Santos, J; Thanoosing, C; Vandame, R</t>
  </si>
  <si>
    <t>Williams, Paul H.; Francoso, Elaine; Martinet, Baptiste; Orr, Michael C.; Ren, Zongxin; Santos Junior, Jose; Thanoosing, Chawatat; Vandame, Remy</t>
  </si>
  <si>
    <t>When did bumblebees reach South America? Unexpectedly old montane species may be explained by Mexican stopover (Hymenoptera: Apidae)</t>
  </si>
  <si>
    <t>SYSTEMATICS AND BIODIVERSITY</t>
  </si>
  <si>
    <t>biogeography; bumblebee; dispersal; Panamanian Isthmus; phylogeny; taxonomy</t>
  </si>
  <si>
    <t>BOMBUS-TERRESTRIS; HISTORICAL BIOGEOGRAPHY; BEES HYMENOPTERA; COMPREHENSIVE PHYLOGENY; BARCODES HYMENOPTERA; SEX DETERMINATION; DNA BARCODES; PATTERNS; DISPERSAL; DIVERSIFICATION</t>
  </si>
  <si>
    <t>A problem for understanding bumblebee biogeography is that if bumblebees dispersed from Asia through North America to South America, if they are poor at long-distance dispersal with establishment over sea, and if the land bridge between North and South America was not established until c. 3Ma BP, then there is an apparent conflict with the divergence among currently endemic South American lineages having been dated as early as 15-17Ma. Using the first complete phylogenetic trees for all known and accepted extant species of the groups involved, we show how this conflict could be resolved. We suggest that characterizing bumblebees as being associated generally with temperate flower-rich meadows conflates divergent habitat specializations between two early lineages, associated with northern lowland grasslands and with southern montane grasslands respectively, which may have driven divergences in behaviour and in biogeographic processes. First, for most of the lowland grassland group of bumblebees, estimated dates of divergence are consistent with dispersal to South America via the land-bridge corridor that opened at c. 3Ma, followed by extant endemic lineages diverging in situ within South America. In contrast, for the second group that occupies montane grassland habitats (and for a few montane lineages of the 'lowland' group), we suggest that dispersal to South America at c. 3Ma could be consistent with older divergence for currently endemic species if: (1) many of the extant South American lineages had already diverged outside the region before 3Ma in neighbouring Mesoamerica; and (2) they had been constrained within the high mountains there, dispersing southwards into South America only once the isthmus corridor had become established; and (3) some of those ancestral montane lineages had become extirpated from Mesoamerica during subsequent warm climatic fluctuations. This interpretation re-emphasizes that biogeographic studies need to consider habitat-specific dispersal models that change through time.</t>
  </si>
  <si>
    <t>Williams, Paul H.</t>
  </si>
  <si>
    <t>[Williams, Paul H.; Thanoosing, Chawatat] Nat Hist Museum, Cromwell Rd, London SW7 5BD, England; [Francoso, Elaine] Royal Holloway Univ London, Dept Biol Sci, Egham TW20 0EX, Surrey, England; [Martinet, Baptiste] Univ Libre Bruxelles, Ave FD,Roosevelt 50, B-1050 Brussels, Belgium; [Orr, Michael C.] Chinese Acad Sci, Inst Zool, 1 Beichen West Rd, Beijing 100101, Peoples R China; [Ren, Zongxin] Chinese Acad Sci, Kunming Inst Bot, 132 Lanhei Rd, Kunming 650201, Yunnan, Peoples R China; [Santos Junior, Jose] Univ Fed Minas Gerais, Inst Ciencias Biol, Belo Horizonte, MG, Brazil; [Vandame, Remy] Colegio Frontera Sur, San Cristobal de las Casa 29290, Chiapas, Mexico</t>
  </si>
  <si>
    <t>Natural History Museum London; University of London; Royal Holloway University London; Universite Libre de Bruxelles; Chinese Academy of Sciences; Institute of Zoology, CAS; Chinese Academy of Sciences; Kunming Institute of Botany, CAS; Universidade Federal de Minas Gerais; El Colegio de la Frontera Sur (ECOSUR)</t>
  </si>
  <si>
    <t>Williams, PH (通讯作者)，Nat Hist Museum, Cromwell Rd, London SW7 5BD, England.</t>
  </si>
  <si>
    <t>paw@nhm.ac.uk</t>
  </si>
  <si>
    <t>SADER-CONACYT [291333]</t>
  </si>
  <si>
    <t>SADER-CONACYT</t>
  </si>
  <si>
    <t>The work in Mexico was supported by SADER-CONACYT [grant number 291333].</t>
  </si>
  <si>
    <t>1477-2000</t>
  </si>
  <si>
    <t>1478-0933</t>
  </si>
  <si>
    <t>SYST BIODIVERS</t>
  </si>
  <si>
    <t>Syst. Biodivers.</t>
  </si>
  <si>
    <t>10.1080/14772000.2022.2092229</t>
  </si>
  <si>
    <t>http://dx.doi.org/10.1080/14772000.2022.2092229</t>
  </si>
  <si>
    <t>Biodiversity Conservation; Biology</t>
  </si>
  <si>
    <t>Biodiversity &amp; Conservation; Life Sciences &amp; Biomedicine - Other Topics</t>
  </si>
  <si>
    <t>8S2MG</t>
  </si>
  <si>
    <t>WOS:000928417600001</t>
  </si>
  <si>
    <t>Wan, J; Wang, LL; Xiao, GZ</t>
  </si>
  <si>
    <t>Wan, Jie; Wang, Leilei; Xiao, Guozhi</t>
  </si>
  <si>
    <t>Total Synthesis of Phellinus ribis Glycans with Immunostimulating Activities by an Orthogonal One-Pot Glycosylation Strategy</t>
  </si>
  <si>
    <t>SYNLETT</t>
  </si>
  <si>
    <t>Phellinus ribis; glycans; one-pot reaction; glycosylation; total synthesis; oligosaccharides</t>
  </si>
  <si>
    <t>POLYSACCHARIDE; ALKYNYLBENZOATES; CATALYSIS; DONORS</t>
  </si>
  <si>
    <t>A total synthesis of nonasaccharide repeating units and shorter sequences from Phellinus ribis glycans with strong immunostimulating activities was achieved by an orthogonal one-pot glycosylation strategy based on an N-phenyltrifluoroacetimidate glycosylation, a Yu glycosylation, and an ortho-(1-phenylvinyl)benzoate glycosylation. The issues inherent to thioglycosides-based orthogonal one-pot glycosylations, such as aglycone transfer, are eliminated by this one-pot glycosylation strategy, which streamlines the chemical synthesis of glycans.</t>
  </si>
  <si>
    <t>Wan, Jie</t>
  </si>
  <si>
    <t>[Wan, Jie; Wang, Leilei; Xiao, Guozhi] Chinese Acad Sci, Univ Chinese Acad Sci, Kunming Inst Bot, State Key Lab Phytochem &amp; Plant Resources West Chi, 132 Lanhei Rd, Kunming 650201, Peoples R China</t>
  </si>
  <si>
    <t>Chinese Academy of Sciences; Kunming Institute of Botany, CAS; University of Chinese Academy of Sciences, CAS</t>
  </si>
  <si>
    <t>Xiao, GZ (通讯作者)，Chinese Acad Sci, Univ Chinese Acad Sci, Kunming Inst Bot, State Key Lab Phytochem &amp; Plant Resources West Chi, 132 Lanhei Rd, Kunming 650201, Peoples R China.</t>
  </si>
  <si>
    <t>National Natural Science Foundation of China; Key Project of the Natural Science Foundation of Yunnan Province [22271294]; CAS Pioneer Hundred Talents Program [202101AS070030]; Young Talents Project of High-level Talent Introduction Program of Yunnan Province [2017-128]</t>
  </si>
  <si>
    <t>National Natural Science Foundation of China(National Natural Science Foundation of China (NSFC)); Key Project of the Natural Science Foundation of Yunnan Province; CAS Pioneer Hundred Talents Program; Young Talents Project of High-level Talent Introduction Program of Yunnan Province</t>
  </si>
  <si>
    <t>The research was supported by National Natural Science Foundation of China (22271294), the Key Project of the Natural Science Foundation of Yunnan Province (No. 202101AS070030), the CAS Pioneer Hundred Talents Program (No. 2017-128), the Young Talents Project of High-level Talent Introduction Program of Yunnan Province.</t>
  </si>
  <si>
    <t>GEORG THIEME VERLAG KG</t>
  </si>
  <si>
    <t>RUDIGERSTR 14, D-70469 STUTTGART, GERMANY</t>
  </si>
  <si>
    <t>0936-5214</t>
  </si>
  <si>
    <t>1437-2096</t>
  </si>
  <si>
    <t>Synlett</t>
  </si>
  <si>
    <t>10.1055/a-1969-3992</t>
  </si>
  <si>
    <t>6O1SD</t>
  </si>
  <si>
    <t>WOS:000890024400006</t>
  </si>
  <si>
    <t>Chen, Z; Guo, YJ; Yang, J; Ge, J; Li, LY; Chen, G</t>
  </si>
  <si>
    <t>Chen, Zhi; Guo, Yongjie; Yang, Juan; Ge, Jia; LI, Lianyi; Chen, Gao</t>
  </si>
  <si>
    <t>Frugivorous birds disperse seeds of Ligustrum lucidum, seed-feeding weevils, and parasitic wasps of weevils via endozoochory</t>
  </si>
  <si>
    <t>INTEGRATIVE ZOOLOGY</t>
  </si>
  <si>
    <t>SUBTROPICAL FOREST RELICT; REPRODUCTIVE SUCCESS; OCHYROMERA-LIGUSTRI; INVASIVE TREE; 1ST RECORD; PRIVET; GERMINATION; COLEOPTERA; OLEACEAE; INSECTS</t>
  </si>
  <si>
    <t>Chen, Zhi</t>
  </si>
  <si>
    <t>[Chen, Zhi; Ge, Jia; Chen, Gao] Yunnan Key Lab Integrat Conservat Plant Species E, Kunming 650204, Yunnan, Peoples R China; [Chen, Zhi; Guo, Yongjie] Univ Chinese Acad Sci, Beijing, Peoples R China; [Guo, Yongjie; Yang, Juan; LI, Lianyi] Chinese Acad Sci, Germplasm Bank Wild Species, Kunming Inst Bot, Kunming, Yunnan, Peoples R China</t>
  </si>
  <si>
    <t>Chinese Academy of Sciences; University of Chinese Academy of Sciences, CAS; Chinese Academy of Sciences; Kunming Institute of Botany, CAS</t>
  </si>
  <si>
    <t>Chen, G (通讯作者)，Yunnan Key Lab Integrat Conservat Plant Species E, Kunming 650204, Yunnan, Peoples R China.</t>
  </si>
  <si>
    <t>Key Project of Basic Research of Yunnan Province, China [202101AS070035]; Yunnan Ten Thousand Talents Plan Young &amp; Elite Talents Project [YNWR-QNBJ-2018-017]; National Natural Science Foundation of China [32071653]</t>
  </si>
  <si>
    <t>Key Project of Basic Research of Yunnan Province, China; Yunnan Ten Thousand Talents Plan Young &amp; Elite Talents Project; National Natural Science Foundation of China(National Natural Science Foundation of China (NSFC))</t>
  </si>
  <si>
    <t>We are grateful to Chunyan Jiang and Chaodong Zhu for identification of the weevils and wasps. We thank Guillaume Chomicki for modification of the manuscript. Support for this study was provided by grants from the Key Project of Basic Research of Yunnan Province, China (202101AS070035), the Yunnan Ten Thousand Talents Plan Young &amp; Elite Talents Project (YNWR-QNBJ-2018-017), and the National Natural Science Foundation of China (32071653). Kunming Botanical Garden supports the Ligustrum plant materials and the research place.</t>
  </si>
  <si>
    <t>1749-4877</t>
  </si>
  <si>
    <t>1749-4869</t>
  </si>
  <si>
    <t>INTEGR ZOOL</t>
  </si>
  <si>
    <t>Integr. Zool.</t>
  </si>
  <si>
    <t>10.1111/1749-4877.12606</t>
  </si>
  <si>
    <t>4O7PA</t>
  </si>
  <si>
    <t>WOS:000725960400001</t>
  </si>
  <si>
    <t>Liang, Y; Zheng, YY; Shen, Y; Li, Q; Lu, YL; Ye, SY; Li, XN; Li, DY; Chen, CM; Zhu, HC; Zhang, YH</t>
  </si>
  <si>
    <t>Liang, Yu; Zheng, Yuyi; Shen, Yong; Li, Qin; Lu, Yuling; Ye, Saiyi; Li, Xiao-Nian; Li, Dongyan; Chen, Chunmei; Zhu, Hucheng; Zhang, Yonghui</t>
  </si>
  <si>
    <t>Two new depsidones from the fungus Lasiodiplodia pseudotheobromae</t>
  </si>
  <si>
    <t>TETRAHEDRON LETTERS</t>
  </si>
  <si>
    <t>Lasiodiplodia pseudotheobromae; Depsidone; 2; 3-butanediol; X-ray crystallography; Mosher?s method</t>
  </si>
  <si>
    <t>Lasiodiplodiaones A (1) and B (2), two new depsidones, along with five known depsidone compounds (3- 7), were isolated from the fungus Lasiodiplodia pseudotheobromae. Their structures and absolute configu-rations were demonstrated based on NMR, HRESIMS, X-ray crystallography, and modified Mosher's method. Especially, compounds 1 and 2 are the first examples of depsidones decorating with a 2,3-butanediol group.(c) 2022 Published by Elsevier Ltd.</t>
  </si>
  <si>
    <t>[Liang, Yu; Zheng, Yuyi; Shen, Yong; Li, Qin; Lu, Yuling; Ye, Saiyi; Chen, Chunmei; Zhu, Hucheng; Zhang, Yonghui] Huazhong Univ Sci &amp; Technol, Tongji Med Coll, Hubei Key Lab Nat Med Chem &amp; Resource Evaluat, Wuhan 430030, Hubei, Peoples R China; [Li, Xiao-Nian] Chinese Acad Sci, Kunming Inst Bot, State Key Lab Phytochemistry &amp; Plant Resources Wes, Kunming 650204, Peoples R China; [Li, Dongyan] Huazhong Univ Sci &amp; Technol, Tongji Hosp, Tongji Med Coll, Wuhan 430030, Peoples R China</t>
  </si>
  <si>
    <t>Chen, CM; Zhu, HC; Zhang, YH (通讯作者)，Huazhong Univ Sci &amp; Technol, Tongji Med Coll, Hubei Key Lab Nat Med Chem &amp; Resource Evaluat, Wuhan 430030, Hubei, Peoples R China.</t>
  </si>
  <si>
    <t>Program for Chang- jiang Scholars of Ministry of Education of the Peoples Republic of China [T2016088]; National Natural Science Foundation for Distinguished Young Scholars [81725021]; National Natural Science Foundation for Excellent Young Scholars [81922065]; Innovative Research Groups of the National Natural Science Foundation [81721005]; Science and Technology Major Project of Hubei Province [2021ACA012]; Research and Development Program of Hubei Province [2020BCA058]; Natural Science Foundation of Hubei Province [2021CFB362]; Tongji- Rongcheng Center for Biomedicine, Huazhong University of Science and Technology</t>
  </si>
  <si>
    <t>Program for Chang- jiang Scholars of Ministry of Education of the Peoples Republic of China; National Natural Science Foundation for Distinguished Young Scholars(National Natural Science Foundation of China (NSFC)National Science Fund for Distinguished Young Scholars); National Natural Science Foundation for Excellent Young Scholars; Innovative Research Groups of the National Natural Science Foundation(National Natural Science Foundation of China (NSFC)); Science and Technology Major Project of Hubei Province; Research and Development Program of Hubei Province; Natural Science Foundation of Hubei Province(Natural Science Foundation of Hubei Province); Tongji- Rongcheng Center for Biomedicine, Huazhong University of Science and Technology</t>
  </si>
  <si>
    <t>This work was financially supported by the Program for Chang- jiang Scholars of Ministry of Education of the People?s Republic of China (No. T2016088) ; the National Natural Science Foundation for Distinguished Young Scholars (81725021) ; the National Natural Science Foundation for Excellent Young Scholars (81922065) ; Innovative Research Groups of the National Natural Science Foundation of China (81721005) ; the Science and Technology Major Project of Hubei Province (2021ACA012) ; the Research and Devel- opment Program of Hubei Province (2020BCA058) ; the Natural Science Foundation of Hubei Province (2021CFB362) ; and Tongji- Rongcheng Center for Biomedicine, Huazhong University of Science and Technology. We thank the Analytical and Testing Center at Huazhong University of Science and Technology for assistance in the acquisition of the ECD, UV, and IR spectra.</t>
  </si>
  <si>
    <t>0040-4039</t>
  </si>
  <si>
    <t>1873-3581</t>
  </si>
  <si>
    <t>TETRAHEDRON LETT</t>
  </si>
  <si>
    <t>Tetrahedron Lett.</t>
  </si>
  <si>
    <t>10.1016/j.tetlet.2022.154046</t>
  </si>
  <si>
    <t>4F6SO</t>
  </si>
  <si>
    <t>WOS:000848640000008</t>
  </si>
  <si>
    <t>Two new dimeric benzofuran diastereomers from the roots of Eupatorium heterophyllum</t>
  </si>
  <si>
    <t>Eupatorium heterophyllum; Asteraceae; Benzofuran dimers; DFT calculation</t>
  </si>
  <si>
    <t>A pair of novel epimers of benzofuran dimers (1 and 2), together with two known compounds that were considered to be their monomeric precursor, was isolated from the methanol extract of the roots of Eupatorium heterophyllum. The structures of 1 and 2 were elucidated by 1D and 2D NMR, HRFABMS, and DFT calculations of their NMR data, including DP4+ and CP3 analysis, which assisted in determining of their relative configurations. The absolute configurations of the dimers were determined by TDDFT cal-culations of their ECD spectra. (c) 2022 Elsevier Ltd. All rights reserved.</t>
  </si>
  <si>
    <t>[Hu, Yiming; Saito, Yoshinori; Matsuo, Yosuke; Tanaka, Takashi] Nagasaki Univ, Grad Sch Biomed Sci, 1-14 Bunkyo Machi, Nagasaki 8528521, Japan; [Gong, Xun] Chinese Acad Sci, Kunming Inst Bot, Kunming 650201, Peoples R China; [Saito, Yoshinori; Tanaka, Takashi] Nagasaki Univ, Grad Sch Biomed Sci, Dept Nat Prod Chem, 1-14 Bunkyo machi, Nagasaki 8528521, Japan</t>
  </si>
  <si>
    <t>Nagasaki University; Chinese Academy of Sciences; Kunming Institute of Botany, CAS; Nagasaki University</t>
  </si>
  <si>
    <t>Saito, Y; Tanaka, T (通讯作者)，Nagasaki Univ, Grad Sch Biomed Sci, Dept Nat Prod Chem, 1-14 Bunkyo machi, Nagasaki 8528521, Japan.</t>
  </si>
  <si>
    <t>Matsuo, Yosuke/I-1968-2018</t>
  </si>
  <si>
    <t>JSPS [16K18897]; MEXT [JPMXS0422500320]</t>
  </si>
  <si>
    <t>JSPS(Ministry of Education, Culture, Sports, Science and Technology, Japan (MEXT)Japan Society for the Promotion of Science); MEXT(Ministry of Education, Culture, Sports, Science and Technology, Japan (MEXT))</t>
  </si>
  <si>
    <t>This work was partly supported by a Grant-in-Aid for Scientific Research from JSPS (No. 16K18897). This work was the result using research equipment shared in the MEXT Project for promoting public utilization of advanced research infrastructure (Program for supporting introduction of the new sharing system) Grant Number JPMXS0422500320. The authors thank Prof. Chiaki Kuroda (Rikkyo University), Prof. Ryo Hanai (Rikkyo University), Dr. Katsuyuki Nakashima (Tokushima Bunri University), and Dr. Takayuki Kawahara (Japan Forest Technology Association) for their help sample collection and plant identification. The authors are grateful to Nobuaki Tsuda (Center for Industry, University and Government Cooperation, Nagasaki University) for collecting the MS data and Dr. Masakazu Tanaka (Graduate School of Biomedical Sciences, Nagasaki University) for providing access to the ECD spectrometer. We would like to thank Editage ( www.editage.com ) for English language editing.</t>
  </si>
  <si>
    <t>JUL 20</t>
  </si>
  <si>
    <t>10.1016/j.tetlet.2022.153924</t>
  </si>
  <si>
    <t>3E6RM</t>
  </si>
  <si>
    <t>WOS:000830109800015</t>
  </si>
  <si>
    <t>Xue, Z; Zhang, YK; Yi, P; Yang, FM; Huo, XM; Wang, TT; Zhang, HY; Zhao, BY; Zeng, YR; Wang, YH; Tan, CJ</t>
  </si>
  <si>
    <t>Xue, Zhan; Zhang, Ya-Kun; Yi, Ping; Yang, Fu-Mei; Huo, Xiao-Min; Wang, Ting-Ting; Zhang, Hong-Yan; Zhao, Bao-Yu; Zeng, Yan-Rong; Wang, Yue-Hu; Tan, Cheng-Jian</t>
  </si>
  <si>
    <t>Ochrocephalamines E and F, two new alkaloids from Oxytropis ochrocephala bung</t>
  </si>
  <si>
    <t>Fabaceae; Oxytropis ochrocephala Bunge; Quinolizidine alkaloids; Anti-HBV activity</t>
  </si>
  <si>
    <t>SWAINSONINE; ALGORITHM; PLANTS</t>
  </si>
  <si>
    <t>Two new quinolizidine-based alkaloids, ochrocephalamines E (1) and F (2) were isolated from Oxytropis ochrocephala Bunge (Fabaceae). Their structures were elucidated by extensive spectroscopic analysis and electronic circular dichroism (ECD) calculations. Compound 1 represented the first 14-nor matrine with 6/6/6/5 ring system, while compound 2 shared the aloperine-type scaffold including the carbonyl group at C-10 postition. The inhibitory activities of 2 against the secretion of HBsAg and HBeAg were respectively 22.34 +/- 4.38% and 18.00 +/- 5.01% at the noncytotoxic concentration of 1 x 10-5 mol/L, which were more active than the positive control hyperoside (16.09% and 12.23%). The binding mode between compound 2 and HBV core protein was illustrated by molecular docking. (c) 2022 Elsevier Ltd. All rights reserved.</t>
  </si>
  <si>
    <t>Xue, Zhan</t>
  </si>
  <si>
    <t>[Xue, Zhan; Zhang, Ya-Kun; Yang, Fu-Mei; Huo, Xiao-Min; Wang, Ting-Ting; Zhang, Hong-Yan; Zeng, Yan-Rong; Tan, Cheng-Jian] Guizhou Minzu Univ, Sch Ethn Med, Guiyang 550025, Peoples R China; [Xue, Zhan; Zhang, Ya-Kun; Yang, Fu-Mei; Huo, Xiao-Min; Wang, Ting-Ting; Zhang, Hong-Yan] Guizhou Minzu Univ, Sch Chem Engn, Guiyang 550025, Peoples R China; [Yi, Ping] Key Lab Chem Nat Prod Guizhou Prov, Guiyang 550002, Peoples R China; [Yi, Ping] Chinese Acad Sci, Guiyang 550002, Peoples R China; [Zhao, Bao-Yu] Northwest A&amp;F Univ, Coll Vet Med, Yangling 712100, Peoples R China; [Wang, Yue-Hu] Chinese Acad Sci, Key Lab Econ Plants &amp; Biotechnol, Kunming 650201, Peoples R China; [Wang, Yue-Hu] Chinese Acad Sci, Yunnan Key Lab Wild Plant Resources, Kunming 650201, Peoples R China</t>
  </si>
  <si>
    <t>Guizhou Minzu University; Guizhou Minzu University; Chinese Academy of Sciences; Northwest A&amp;F University - China; Chinese Academy of Sciences; Chinese Academy of Sciences</t>
  </si>
  <si>
    <t>Zeng, YR; Tan, CJ (通讯作者)，Guizhou Minzu Univ, Sch Ethn Med, Guiyang 550025, Peoples R China.;Wang, YH (通讯作者)，Chinese Acad Sci, Key Lab Econ Plants &amp; Biotechnol, Kunming 650201, Peoples R China.;Wang, YH (通讯作者)，Chinese Acad Sci, Yunnan Key Lab Wild Plant Resources, Kunming 650201, Peoples R China.</t>
  </si>
  <si>
    <t>yrong1992@163.com; wangyuehu@mail.kib.ac.cn; tcj1229@163.com</t>
  </si>
  <si>
    <t>WANG, YUE/GWQ-9256-2022</t>
  </si>
  <si>
    <t>National Natural Science Foundation of China [32160110, 31660103]; Science and Technology Project of Guizhou Province [[2019] 2414]</t>
  </si>
  <si>
    <t>National Natural Science Foundation of China(National Natural Science Foundation of China (NSFC)); Science and Technology Project of Guizhou Province</t>
  </si>
  <si>
    <t>This study was supported by the National Natural Science Foundation of China (32160110 and 31660103) , the Science and Technology Project of Guizhou Province ( [2019] 2414) .</t>
  </si>
  <si>
    <t>10.1016/j.tetlet.2022.153943</t>
  </si>
  <si>
    <t>WOS:000830109800003</t>
  </si>
  <si>
    <t>Jiang, TJ; Dai, XL; Gao, T; Wang, LL; Yang, F; Zhang, Y; Wang, NN; Huang, GZ; Cao, JG</t>
  </si>
  <si>
    <t>Jiang, Tianju; Dai, Xiling; Gao, Ting; Wang, Lili; Yang, Fan; Zhang, Yu; Wang, Nina; Huang, Guozheng; Cao, Jianguo</t>
  </si>
  <si>
    <t>Ancepsone A, a new cheilanthane sesterterpene from Aleuritopteris anceps</t>
  </si>
  <si>
    <t>Cheilanthane; Aleuritopteris anceps; Ancepsone A; Cytotoxicity</t>
  </si>
  <si>
    <t>FERN CONSTITUENTS; FRONDS</t>
  </si>
  <si>
    <t>Ancepsone A, a new sesterterpene with 13,19-epoxycheilanthane skeleton, i.e (17Z)-13,19-epoxy-cheilanth-1,17-diene-2-ol-3-one (1), together with eight known natural products (2 similar to 9) were isolated from Aleuritopteris anceps. The structure of the new compound was established by means of 1D and 2D NMR, MS, and single-crystal X-ray diffraction methods. All compounds were isolated from A. anceps for the first time. Ancepsone A and the isolated flavonoids can moderately inhibit the proliferation of cancer cells. (C) 2022 Elsevier Ltd. All rights reserved.</t>
  </si>
  <si>
    <t>Jiang, Tianju</t>
  </si>
  <si>
    <t>[Jiang, Tianju; Dai, Xiling; Gao, Ting; Wang, Lili; Yang, Fan; Huang, Guozheng; Cao, Jianguo] Shanghai Normal Univ, Coll Life Sci, Shanghai 201418, Peoples R China; [Zhang, Yu] Chinese Acad Sci, Kunming Inst Bot, State Key Lab Phytochem &amp; Plant Resources West Ch, Kunming, Yunnan, Peoples R China; [Wang, Nina; Huang, Guozheng] Anhui Univ Technol, Sch Chem &amp; Chem Engn, Maanshan 243002, Peoples R China</t>
  </si>
  <si>
    <t>Shanghai Normal University; Chinese Academy of Sciences; Kunming Institute of Botany, CAS; Anhui University of Technology</t>
  </si>
  <si>
    <t>Cao, JG (通讯作者)，Shanghai Normal Univ, Coll Life Sci, Shanghai 201418, Peoples R China.;Huang, GZ (通讯作者)，Anhui Univ Technol, Sch Chem &amp; Chem Engn, Maanshan 243002, Peoples R China.</t>
  </si>
  <si>
    <t>guozheng.huang@ahut.edu.cn; cao101@shnu.edu.cn</t>
  </si>
  <si>
    <t>Huang, Guozheng/AAA-7081-2021; Yang, Fan/GYU-4249-2022</t>
  </si>
  <si>
    <t xml:space="preserve">Huang, Guozheng/0000-0002-5730-9549; </t>
  </si>
  <si>
    <t>Anhui University of Technology</t>
  </si>
  <si>
    <t>We are grateful for financial support from start-up funds of Anhui University of Technology.</t>
  </si>
  <si>
    <t>10.1016/j.tetlet.2022.153869</t>
  </si>
  <si>
    <t>2H2MD</t>
  </si>
  <si>
    <t>WOS:000814131700008</t>
  </si>
  <si>
    <t>Wang, MM; Wang, SL; Li, YA; Wu, PF; Yi, P; Huang, LJ; Gu, W; Zhou, CY; Hao, XJ; Yuan, CM</t>
  </si>
  <si>
    <t>Wang, Miaomiao; Wang, Shuliang; Li, Yanan; Wu, Panfeng; Yi, Ping; Huang, Liejun; Gu, Wei; Zhou, Chengyan; Hao, Xiaojiang; Yuan, Chunmao</t>
  </si>
  <si>
    <t>A rare sesquiterpenoid-alkaloid hydrid with selective BuChE tory activity from Valeriana officinalis var. latifolia Miqinhibi</t>
  </si>
  <si>
    <t>Valeriana officinalis var. latifolia Miq; Rare Sesquiterpenoid-alkaloid hydrid; Volvalerenic acid A; Structure revision; BuChE inhibitory activity</t>
  </si>
  <si>
    <t>ROOTS</t>
  </si>
  <si>
    <t>Valerianofal A (2), a rare sesquiterpenoid-alkaloid hydrid, as well as two biosynthetic related compounds (1 and 3) was isolated from the roots of Valeriana officinalis var. latifolia Miq. Compound 2 represented the first germacrane-type sesquiterpenoid and tecostidine hydrid. Their structures as well as absolute configurations were elucidated by spectroscopic analysis, an alkaline hydrolysis method, and X-ray diffraction. The structure of volvalerenic acid A was revised by single-crystal X-ray diffraction. Compounds 2 and 3 displayed selective BuChE inhibitory activities with IC50 values ranging from 0.4 mu g/ml to 2.8 mu g/ml. The possible recognition mechanism between compound 2 and BuChE was predicted by molecular docking analysis. (C) 2022 Elsevier Ltd. All rights reserved.</t>
  </si>
  <si>
    <t>Wang, Miaomiao</t>
  </si>
  <si>
    <t>[Wang, Miaomiao; Wang, Shuliang; Li, Yanan; Wu, Panfeng; Yi, Ping; Huang, Liejun; Gu, Wei; Hao, Xiaojiang; Yuan, Chunmao] Guizhou Med Univ, State Key Lab Funct &amp; Applicat Med Plants, Guiyang 550014, Peoples R China; [Wang, Miaomiao; Wang, Shuliang; Li, Yanan; Wu, Panfeng; Yi, Ping; Huang, Liejun; Gu, Wei; Hao, Xiaojiang; Yuan, Chunmao] Key Lab Chem Nat Prod Guizhou Prov, Guiyang 550014, Peoples R China; [Wang, Miaomiao; Wang, Shuliang; Li, Yanan; Wu, Panfeng; Yi, Ping; Huang, Liejun; Gu, Wei; Hao, Xiaojiang; Yuan, Chunmao] Chinese Acad Sci, Guiyang 550014, Peoples R China; [Wang, Miaomiao; Wu, Panfeng; Yi, Ping; Huang, Liejun; Gu, Wei; Hao, Xiaojiang; Yuan, Chunmao] Guizhou Med Univ, Sch Pharmacuet Sci, Guiyang 550025, Peoples R China; [Hao, Xiaojiang] Chinese Acad Sci, Kunming Inst Bot, State Key Lab Phytochem &amp; Plant Resources West Ch, Kunming 650201, Yunnan, Peoples R China; [Zhou, Chengyan] Hebei Univ, Coll Pharmaceut Sci, Baoding 071002, Peoples R China</t>
  </si>
  <si>
    <t>Guizhou Medical University; Chinese Academy of Sciences; Guizhou Medical University; Chinese Academy of Sciences; Kunming Institute of Botany, CAS; Hebei University</t>
  </si>
  <si>
    <t>Hao, XJ; Yuan, CM (通讯作者)，Guizhou Med Univ, State Key Lab Funct &amp; Applicat Med Plants, Guiyang 550014, Peoples R China.</t>
  </si>
  <si>
    <t>Outstanding Young Scientific and Technological Talents in Guizhou Province [QKHPTRC [2021] 5633]; National Natural Science Foundation of China (NSFC) [81760630, U1812403]; Science and Technology Plan of Guizhou Province [QKHZC [2018] 2824]; Science and Technology Project of Traditional Chinese Medicine and National Medicine of Guizhou Administration of Traditional Chinese Medicine [QZYY-2019-066]; State Key Laboratory of Functions and Applications of Medicinal Plants, Guiz-hou Medical University [FAMP202006K]; High-level Innovative Talents in Guizhou Province (Thousand Levels of Talent for Chun-mao Yuan in 2018); Light of the West Talent Cultivation Program of Chinese Academy of Sciences [RZ [2020] 82]; Guizhou Provincial Engineering Research Center for Natural Drugs</t>
  </si>
  <si>
    <t>Outstanding Young Scientific and Technological Talents in Guizhou Province; National Natural Science Foundation of China (NSFC)(National Natural Science Foundation of China (NSFC)); Science and Technology Plan of Guizhou Province; Science and Technology Project of Traditional Chinese Medicine and National Medicine of Guizhou Administration of Traditional Chinese Medicine; State Key Laboratory of Functions and Applications of Medicinal Plants, Guiz-hou Medical University; High-level Innovative Talents in Guizhou Province (Thousand Levels of Talent for Chun-mao Yuan in 2018); Light of the West Talent Cultivation Program of Chinese Academy of Sciences; Guizhou Provincial Engineering Research Center for Natural Drugs</t>
  </si>
  <si>
    <t>This research was financially supported by the Outstanding Young Scientific and Technological Talents in Guizhou Province (QKHPTRC [2021] 5633) , the National Natural Science Foundation of China (NSFC) (Grant No. 81760630, U1812403) , the Science and Technology Plan of Guizhou Province (Grant No. QKHZC [2018] 2824) , Science and Technology Project of Traditional Chi-nese Medicine and National Medicine of Guizhou Administration of Traditional Chinese Medicine (QZYY-2019-066) , the State Key Laboratory of Functions and Applications of Medicinal Plants, Guiz-hou Medical University (FAMP202006K) , High-level Innovative Talents in Guizhou Province (Thousand Levels of Talent for Chun-mao Yuan in 2018) , Light of the West Talent Cultivation Program of Chinese Academy of Sciences for Chunmao Yuan (RZ [2020] 82) , and Guizhou Provincial Engineering Research Center for Natural Drugs.</t>
  </si>
  <si>
    <t>10.1016/j.tetlet.2022.153679</t>
  </si>
  <si>
    <t>ZH2NI</t>
  </si>
  <si>
    <t>WOS:000760780500005</t>
  </si>
  <si>
    <t>Bai, ZQ; Hu, KF</t>
  </si>
  <si>
    <t>Bai, Zhi-Qiang; Hu, Kaifeng</t>
  </si>
  <si>
    <t>Expression, purification, and characterization of c-FLIP tandem death effector domains from Escherichia coli</t>
  </si>
  <si>
    <t>PROTEIN EXPRESSION AND PURIFICATION</t>
  </si>
  <si>
    <t>c-FLIP; Death effector domains; Expression; Purification; Escherichia coli</t>
  </si>
  <si>
    <t>CRYSTAL-STRUCTURE; ACTIVATION; CASPASE-8; BINDING</t>
  </si>
  <si>
    <t>Cellular FLICE-like inhibitory protein (c-FLIP) regulates extrinsic apoptosis by controlling procaspase-8 activa-tion through its tandem N-terminal death effector domains (DEDs). Here, we present the expression and puri-fication of c-FLIP tandem DEDs (tDED) from Escherichia coli. We observed that the c-FLIPtDED maintains monomeric form under near-physiological pH condition in vitro. Our results also reveal a significant correlation between the pH conditions and the structure of c-FLIPtDED (F114A). The described methods and results would be helpful for follow-up study on the structural and functional of c-FLIP.</t>
  </si>
  <si>
    <t>[Bai, Zhi-Qiang; Hu, Kaifeng] Univ Tradit Chinese Med, Innovat Inst Chinese Med &amp; Pharm, Chengdu 611137, Peoples R China; [Bai, Zhi-Qiang] Yunnan Agr Univ, Coll Sci, Kunming 650201, Peoples R China; [Bai, Zhi-Qiang; Hu, Kaifeng] Chinese Acad Sci, Kunming Inst Bot, State Key Lab Phytochemistry &amp; Plant Resources Wes, Kunming 650201, Peoples R China; [Hu, Kaifeng] Chengdu Univ Tradit Chinese Med, Innovat Inst Chinese Med &amp; Pharm, 1166 Liutai Ave, Chengdu 611137, Sichuan, Peoples R China</t>
  </si>
  <si>
    <t>Yunnan Agricultural University; Chinese Academy of Sciences; Kunming Institute of Botany, CAS; Chengdu University of Traditional Chinese Medicine</t>
  </si>
  <si>
    <t>Hu, KF (通讯作者)，Chengdu Univ Tradit Chinese Med, Innovat Inst Chinese Med &amp; Pharm, 1166 Liutai Ave, Chengdu 611137, Sichuan, Peoples R China.</t>
  </si>
  <si>
    <t>bai, Zhi-Qiang Bai/0000-0002-7182-4977</t>
  </si>
  <si>
    <t>We are grateful to Dr. Kwen-JenChang (Kunming University of Science and Technology, Kunming) for c-FLIPs plasmid. This work was supported by the National Natural Science Foundation of China (No. 32171440, 21573258), Chengdu University of Traditional Chinese Medicine, the Open Research Fund of Key Laboratory of Systematic Research of Distinctive Chinese Medicine Resources in Southwest China, and Shanghai E-Research Institute of Bioactive Constituent in TCM Plan.</t>
  </si>
  <si>
    <t>1046-5928</t>
  </si>
  <si>
    <t>1096-0279</t>
  </si>
  <si>
    <t>PROTEIN EXPRES PURIF</t>
  </si>
  <si>
    <t>Protein Expr. Purif.</t>
  </si>
  <si>
    <t>10.1016/j.pep.2022.106168</t>
  </si>
  <si>
    <t>Biochemical Research Methods; Biochemistry &amp; Molecular Biology; Biotechnology &amp; Applied Microbiology</t>
  </si>
  <si>
    <t>Biochemistry &amp; Molecular Biology; Biotechnology &amp; Applied Microbiology</t>
  </si>
  <si>
    <t>5M4RE</t>
  </si>
  <si>
    <t>WOS:000871083600003</t>
  </si>
  <si>
    <t>Chen, XX; Hu, JM; Wu, SY; Zhao, HS; Peng, DY; Wu, DL; Xu, FQ</t>
  </si>
  <si>
    <t>Chen, Xiaoxiao; Hu, Jiaomiao; Wu, Siyu; Zhao, Hongsu; Peng, Daiyin; Wu, Deling; Xu, Fengqing</t>
  </si>
  <si>
    <t>Cytotoxic Picrotoxane-type Sesquiterpenoid Lactones from Dendrobium huoshanense</t>
  </si>
  <si>
    <t>RECORDS OF NATURAL PRODUCTS</t>
  </si>
  <si>
    <t>Dendrobium huoshanense; picrotoxane-type sesquiterpene; cytotoxicity</t>
  </si>
  <si>
    <t>CHEMICAL-CONSTITUENTS</t>
  </si>
  <si>
    <t>Bioassay-guided led to the isolation of five compounds, including a new picrotoxane-type sesquiterpene lactone, aduncin C (1), together with four known ones (2-5) from Dendrobium huoshanense. Their structures were elucidated by means of extensive spectroscopic analysis. Biological evaluation of the isolates against four human cancer cell lines indicated broad-spectrum and cytotoxic activities with IC50 values ranging from 4.08 to 26.75 mu M. Among them, alpha-dihydropicrotoxinin (3) exhibited significant cell proliferation inhibitory activity, especially for HL-60 (IC50 5.81 mu M), MCF- 7 (IC50 6.49 mu M), SW-480 (IC50 6.80 mu M), respectively.</t>
  </si>
  <si>
    <t>Chen, Xiaoxiao</t>
  </si>
  <si>
    <t>[Chen, Xiaoxiao; Wu, Siyu; Zhao, Hongsu; Peng, Daiyin; Wu, Deling; Xu, Fengqing] Anhui Univ Chinese Med, Hefei 230012, Peoples R China; [Hu, Jiaomiao] Chinese Acad Sci, Kunming Inst Bot, State Key Lab Phytochem &amp; Plant Resource West Chi, Kunming 650201, Yunnan, Peoples R China; [Wu, Deling; Xu, Fengqing] Anhui Prov Key Lab Res &amp; Dev Chinese Med, Hefei 230012, Peoples R China; [Chen, Xiaoxiao] Luan City Hosp Tradit Chinese Med, Luan 237000, Peoples R China</t>
  </si>
  <si>
    <t>Anhui University of Chinese Medicine; Chinese Academy of Sciences; Kunming Institute of Botany, CAS</t>
  </si>
  <si>
    <t>Wu, DL; Xu, FQ (通讯作者)，Anhui Univ Chinese Med, Hefei 230012, Peoples R China.;Wu, DL; Xu, FQ (通讯作者)，Anhui Prov Key Lab Res &amp; Dev Chinese Med, Hefei 230012, Peoples R China.</t>
  </si>
  <si>
    <t>dlwu7375@ahtcm.edu.cn; xufengqing@ahtcm.edu.cn</t>
  </si>
  <si>
    <t>Chen, xiaoxiao/GRS-0925-2022</t>
  </si>
  <si>
    <t>Natural Science Foundation of China [U19A2009]; University Natural Science Foundation of Anhui University of Chinese Medicine [2020zrzd14]</t>
  </si>
  <si>
    <t>Natural Science Foundation of China(National Natural Science Foundation of China (NSFC)); University Natural Science Foundation of Anhui University of Chinese Medicine</t>
  </si>
  <si>
    <t>This work was financially supported by the Natural Science Foundation of China (U19A2009), and the University Natural Science Foundation of Anhui University of Chinese Medicine (2020zrzd14). We also thank the analytical group of the State Key Laboratory of Phytochemistry and Plant Resources in West China, Kunming Institute of Botany, Chinese Academy of Sciences for all spectra test.</t>
  </si>
  <si>
    <t>ACG PUBLICATIONS</t>
  </si>
  <si>
    <t>GEBZE-KOCAELI</t>
  </si>
  <si>
    <t>YENIKENT MAHALLESI, FIRAT CADDESI, 1-3, GEBZE-KOCAELI, 41400, TURKEY</t>
  </si>
  <si>
    <t>1307-6167</t>
  </si>
  <si>
    <t>REC NAT PROD</t>
  </si>
  <si>
    <t>Rec. Nat. Prod.</t>
  </si>
  <si>
    <t>MAR-APR</t>
  </si>
  <si>
    <t>10.25135/rnp.260.21.04.2048</t>
  </si>
  <si>
    <t>Plant Sciences; Chemistry, Applied; Chemistry, Medicinal</t>
  </si>
  <si>
    <t>Plant Sciences; Chemistry; Pharmacology &amp; Pharmacy</t>
  </si>
  <si>
    <t>UI1VE</t>
  </si>
  <si>
    <t>WOS:000690403000004</t>
  </si>
  <si>
    <t>Lin, J; He, ZC; Liu, SB</t>
  </si>
  <si>
    <t>Lin Jian; He Zhicheng; Liu Shubai</t>
  </si>
  <si>
    <t>Polysaccharide Peptide Induced Colorectal Cancer Cells Apoptosis by Down-Regulating EGFR and PD-L1 Expression</t>
  </si>
  <si>
    <t>IRANIAN JOURNAL OF PHARMACEUTICAL RESEARCH</t>
  </si>
  <si>
    <t>Colorectal Cancer; Trametes Versicolor; EGFR; PD-L1; Polysaccharide Peptide</t>
  </si>
  <si>
    <t>CORIOLUS-VERSICOLOR; SIGNALING PATHWAY; COLON-CANCER; T-CELLS; STATISTICS; THERAPY</t>
  </si>
  <si>
    <t>Background: Colorectal cancer (CRC) is the most frequent death-causing disease in the world. The Trametes versicolor mushroom, a traditional Chinese medicine, has beenused as anti-cancer medicine with long history. Its cultured mycelia extracts, namelypolysaccharide peptide (PSP) as the major active component in Trametes versicolor, is widely used in eastern countries to stimulate the immune system and treat deadly cancers, including CRC. Methods: This study aimed to explore the mechanism through which PSP inhibits CRC cells proliferation. In vitro, cell proliferation and cytotoxicity of PSP were assessed using human CRC cell lines (HCT116 and HT29). The real-time polymerase chain reaction (PCR), western blot, and immunofluorescence methods were used to examine the expression of epidermal growth factor receptor (EGFR), programmed cell death-ligand 1 (PD-L1), activator of transcription 3 (STAT3), c-Jun, and NF-kappa B in the PSP treated CRC cells. Human peripheral blood mononuclear cells (PBMC), which were activated with CD3/CD28/CD2 T cell activator and interleukin 2 (IL-2), were co-cultured with HCT116, which was pre-treated with PSP to reduce PD-L1 expression. The synergic effect of T-cells killing was evaluated using the terminal-deoxynucleotidyl transferase-mediated nick-end labeling (TUNEL) method. Results: Polysaccharide peptide significantly inhibited proliferation of HCT116 and HT29 cell line in vitro. Polysaccharide peptide strongly reduced the expression and phosphorylation level of EGFR. In addition, PSP pretreatment significantly decreased the expression of downstream molecules PD-L1 and EGFR signaling pathways (c-Jun and STAT3) in HCT116. Polysaccharide peptide pretreatment enhanced the T-cells killing effect induced by co-culture PBMC on HCT116 cells. Conclusions: Polysaccharide peptide may be used as a prophylactic and therapeutic agent against CRC via down-regulating PD-L1 and EGFR signaling pathway.</t>
  </si>
  <si>
    <t>Lin Jian</t>
  </si>
  <si>
    <t>[Lin Jian; He Zhicheng; Liu Shubai] Chinese Acad Sci, Kunming Inst Bot, State Key Lab Phytochem &amp; Plant Resources West Ch, Kunming, Peoples R China; [Lin Jian; He Zhicheng; Liu Shubai] Univ Chinese Acad Sci, Beijing, Peoples R China</t>
  </si>
  <si>
    <t>Liu, SB (通讯作者)，Chinese Acad Sci, Kunming Inst Bot, State Key Lab Phytochem &amp; Plant Resources West Ch, POB 650201, Kunming, Yunnan, Peoples R China.</t>
  </si>
  <si>
    <t>liushubai@mail.kib.ac.cn</t>
  </si>
  <si>
    <t>Kunming Institute of Botany, Chinese Academy of Science [Y8677211K1, Y8690211Z1]; CAS Pioneer Hundred Talents Program [E0241211H1]</t>
  </si>
  <si>
    <t>Kunming Institute of Botany, Chinese Academy of Science; CAS Pioneer Hundred Talents Program</t>
  </si>
  <si>
    <t>This work was partially supported by Kunming Institute of Botany, Chinese Academy of Science (Y8677211K1, Y8690211Z1) and CAS Pioneer Hundred Talents Program (E0241211H1).</t>
  </si>
  <si>
    <t>BRIEFLAND</t>
  </si>
  <si>
    <t>Shertogenbosch</t>
  </si>
  <si>
    <t>25 Derde Morgen, Shertogenbosch, NETHERLANDS</t>
  </si>
  <si>
    <t>1735-0328</t>
  </si>
  <si>
    <t>1726-6890</t>
  </si>
  <si>
    <t>IRAN J PHARM RES</t>
  </si>
  <si>
    <t>Iran. J. Pharm. Res.</t>
  </si>
  <si>
    <t>e123909</t>
  </si>
  <si>
    <t>10.5812/ijpr-123909</t>
  </si>
  <si>
    <t>6Q9MJ</t>
  </si>
  <si>
    <t>WOS:000891933200001</t>
  </si>
  <si>
    <t>Zhang, Z; Wang, Y; Yuan, XL; Luo, YN; Luo, MN; Zheng, Y</t>
  </si>
  <si>
    <t>Zhang, Zhang; Wang, Yi; Yuan, Xiao-Long; Luo, Ya-Na; Luo, Ma-Niya; Zheng, Yuan</t>
  </si>
  <si>
    <t>Effects of Culture Mechanism of Cinnamomum kanehirae and C. camphora on the Expression of Genes Related to Terpene Biosynthesis in Antrodia cinnamomea</t>
  </si>
  <si>
    <t>MYCOBIOLOGY</t>
  </si>
  <si>
    <t>Antrodia cinnamomea; de novo transcriptome; biosynthesis; terpenoid</t>
  </si>
  <si>
    <t>IDENTIFICATION; ERGOSTANE</t>
  </si>
  <si>
    <t>The rare edible and medicinal fungus Antrodia cinnamomea has a substantial potential for development. In this study, Illumina HiSeq 2000 was used to sequence its transcriptome. The results were assembled de novo, and 66,589 unigenes with an N50 of 4413 bp were obtained. Compared with public databases, 6,061, 3,257, and 2,807 unigenes were annotated to the Non-Redundant, Gene Ontology, and Kyoto Encyclopedia of Genes and Genomes databases, respectively. The genes related to terpene biosynthesis in the mycelia of A. cinnamomea were analyzed, and acetyl CoA synthase (ACS2 and ACS4), hydroxymethylglutaryl CoA reductase (HMGR), farnesyl transferase (FTase), and squalene synthase (SQS) were found to be upregulated in XZJ (twig of C. camphora) and NZJ (twig of C. kanehirae). Moreover, ACS5 and 2,3-oxidized squalene cyclase (OCS) were highly expressed in NZJ, while heme IX farnesyl transferase (IX-FIT) and ACS3 were significantly expressed in XZJ. The differential expression of ACS1, ACS2, HMGR, IX-FIT, SQS, and OCS was confirmed by real-time quantitative reverse transcription PCR. This study provides a new concept for the additional exploration of the molecular regulatory mechanism of terpenoid biosynthesis and data for the biotechnology of terpenoid production.</t>
  </si>
  <si>
    <t>Zhang, Zhang</t>
  </si>
  <si>
    <t>[Zhang, Zhang; Luo, Ya-Na; Luo, Ma-Niya; Zheng, Yuan] Southwest Forestry Univ, Coll Forestry, Kunming, Yunnan, Peoples R China; [Zhang, Zhang; Wang, Yi; Yuan, Xiao-Long] Yunnan Acad Forestry &amp; Grassland, State Forestry Adm, Key Lab Rare &amp; Endangered Forest Plants, Lab Forest Plant Cultivat &amp; Utilizat, Kunming, Yunnan, Peoples R China; [Zhang, Zhang; Wang, Yi] Yunnan Key Lab Fungal Div &amp; Green Dev, Kunming, Yunnan, Peoples R China</t>
  </si>
  <si>
    <t>Southwest Forestry University - China</t>
  </si>
  <si>
    <t>Zheng, Y (通讯作者)，Southwest Forestry Univ, Coll Forestry, Kunming, Yunnan, Peoples R China.;Wang, Y (通讯作者)，Yunnan Acad Forestry &amp; Grassland, State Forestry Adm, Key Lab Rare &amp; Endangered Forest Plants, Lab Forest Plant Cultivat &amp; Utilizat, Kunming, Yunnan, Peoples R China.;Wang, Y (通讯作者)，Yunnan Key Lab Fungal Div &amp; Green Dev, Kunming, Yunnan, Peoples R China.</t>
  </si>
  <si>
    <t>dog_608@qq.com; zhengyuan_001@126.com</t>
  </si>
  <si>
    <t>Wang, Yi/0000-0003-3089-8184</t>
  </si>
  <si>
    <t>National Natural Science Foundation of China [32160736, 31860177]; Edible Fungi Project of Major Scientific and Technological Project of Yunnan Province [202002AE320003]; General Project of Basic Research Program of Yunnan Province [202101AT070218, 202101AT070044]; Yunnan Key Laboratory for Fungal Diversity and Green Development [E03A311261-3]</t>
  </si>
  <si>
    <t>National Natural Science Foundation of China(National Natural Science Foundation of China (NSFC)); Edible Fungi Project of Major Scientific and Technological Project of Yunnan Province; General Project of Basic Research Program of Yunnan Province; Yunnan Key Laboratory for Fungal Diversity and Green Development</t>
  </si>
  <si>
    <t>This work was financially supported by the National Natural Science Foundation of China (No. 32160736, 31860177); Edible Fungi Project of Major Scientific and Technological Project of Yunnan Province (202002AE320003); General Project of Basic Research Program of Yunnan Province (202101AT070218, 202101AT070044); Yunnan Key Laboratory for Fungal Diversity and Green Development (E03A311261-3).</t>
  </si>
  <si>
    <t>1229-8093</t>
  </si>
  <si>
    <t>2092-9323</t>
  </si>
  <si>
    <t>Mycobiology</t>
  </si>
  <si>
    <t>10.1080/12298093.2022.2059156</t>
  </si>
  <si>
    <t>Agronomy; Mycology</t>
  </si>
  <si>
    <t>Agriculture; Mycology</t>
  </si>
  <si>
    <t>0X4PJ</t>
  </si>
  <si>
    <t>WOS:000784483400001</t>
  </si>
  <si>
    <t>Zhu, WQ; Wang, JR; Wu, Q; Wang, N; Guo, JW; Yang, ZL; Sha, Y; Liu, L; Li, CY</t>
  </si>
  <si>
    <t>Zhu Wenqiang; Wang Jingran; Wu Qi; Wang Na; Guo Jianwei; Yang Zilin; Sha Yun; Liu Lin; Li Chengyun</t>
  </si>
  <si>
    <t>Investigation on types of corn rust in eastern Yunnan ecology and analysis of population genetic structure of its rusts</t>
  </si>
  <si>
    <t>ACTA AGRICULTURAE SCANDINAVICA SECTION B-SOIL AND PLANT SCIENCE</t>
  </si>
  <si>
    <t>Puccinia polysora Unedrw; Puccinia sorghi Schw; identification of pathogen; population genetic structure; specific molecular marker primers</t>
  </si>
  <si>
    <t>Corn rust disease can be classified into four types: common corn rust, southern corn rust, tropical corn rust and stem corn rust. In this paper, 270 samples of corn rust gathered from Yunnan province were identified by observation of symptom and pathogen morphology, detection of specific molecular markers between Puccinia sorghi Schw and Puccinia polysora Unedrw. The results showed that 180 samples of corn rust collected form Qujing, Zhaotong, Kunming, Honghe (Mile, Kaiyuan and Jianshui) were common corn rust caused by Puccinia sorghi Schw; and 90 samples of corn rust collected form Wenshan and Honghe (Pinbian) were southern corn rust. Morphology and aspect ratio compared Puccinia sorghi Schw with Puccinia polysora Unedrw. The uredospores of Puccinia polysora Unedrw were oval and the aspect ratio of 81.6% of all uredospores from Puccinia polysora Unedrw was greater than 1.2. The uredospores of Puccinia sorghi Schw were nearly round, and their aspect ratio was 1.0-1.3. In addition, the population genetic structure of all corn rust samples was analyzed by ISSR molecular marker. Concerning Puccinia polysora Unedrw, the genetic diversity was larger in Wenshan than in Honghe. In Puccinia sorghi Schw, the population genetic diversity was larger in Zhaotong and the lowest in Kunming.</t>
  </si>
  <si>
    <t>Zhu Wenqiang</t>
  </si>
  <si>
    <t>[Zhu Wenqiang; Wang Jingran; Wu Qi; Liu Lin; Li Chengyun] Yunnan Agr Univ, State Key Lab Conservat &amp; Utilizat Bioresources Y, Kunming, Yunnan, Peoples R China; [Wang Na; Liu Lin] Yunnan Agr Univ, Coll Tobacco Sci, Kunming, Yunnan, Peoples R China; [Guo Jianwei] Chinese Acad Sci, Kunming Inst Bot, Kunming, Yunnan, Peoples R China; [Yang Zilin] Lincang Plant Protect &amp; Quarant Stn, Lincang, Peoples R China; [Sha Yun] Lincang Agr Sci Res Inst, Lincang, Peoples R China</t>
  </si>
  <si>
    <t>Yunnan Agricultural University; Yunnan Agricultural University; Chinese Academy of Sciences; Kunming Institute of Botany, CAS</t>
  </si>
  <si>
    <t>Liu, L; Li, CY (通讯作者)，Yunnan Agr Univ, State Key Lab Conservat &amp; Utilizat Bioresources Y, Kunming, Yunnan, Peoples R China.;Liu, L (通讯作者)，Yunnan Agr Univ, Coll Tobacco Sci, Kunming, Yunnan, Peoples R China.</t>
  </si>
  <si>
    <t>chengyun.li@aol.com; Li.chengyun@163.com</t>
  </si>
  <si>
    <t>wang, jing ran/0000-0003-3527-3968; ZHU, Wenqiang/0000-0003-4617-7007</t>
  </si>
  <si>
    <t>Yunnan Natural Science Foundation from the Yunnan Science and Technology Department of China [202101AT070270]; State Key RD Program [2018YFD0200500]; State Key Laboratory for Conservation and Utilization of Bio-Resources in Yunnan [2016-001]</t>
  </si>
  <si>
    <t>Yunnan Natural Science Foundation from the Yunnan Science and Technology Department of China; State Key RD Program; State Key Laboratory for Conservation and Utilization of Bio-Resources in Yunnan</t>
  </si>
  <si>
    <t>Wang Jingran, and Liu Lin as the main force of the experiment have made the same contribution to this paper. Many thanks to the Yunnan Natural Science Foundation (202101AT070270) from the Yunnan Science and Technology Department of China, the State Key R&amp;D Program (2018YFD0200500) and State Key Laboratory for Conservation and Utilization of Bio-Resources in Yunnan (2016-001) that has granted this experiment.</t>
  </si>
  <si>
    <t>TAYLOR &amp; FRANCIS AS</t>
  </si>
  <si>
    <t>OSLO</t>
  </si>
  <si>
    <t>KARL JOHANS GATE 5, NO-0154 OSLO, NORWAY</t>
  </si>
  <si>
    <t>0906-4710</t>
  </si>
  <si>
    <t>1651-1913</t>
  </si>
  <si>
    <t>ACTA AGR SCAND B-S P</t>
  </si>
  <si>
    <t>Acta Agric. Scand. Sect. B-Soil Plant Sci.</t>
  </si>
  <si>
    <t>10.1080/09064710.2021.2012250</t>
  </si>
  <si>
    <t>Agronomy; Soil Science</t>
  </si>
  <si>
    <t>ZC6QF</t>
  </si>
  <si>
    <t>WOS:000739735100001</t>
  </si>
  <si>
    <t>Li, XH; Zhang, JH; Zhang, Y; Di, YT; Gu, YC; Cao, MM; Hao, XJ</t>
  </si>
  <si>
    <t>Li, Xiao-Hui; Zhang, Jia-Hui; Zhang, Yu; Di, Ying-Tong; Gu, Yu-Cheng; Cao, Mingming; Hao, Xiao-Jiang</t>
  </si>
  <si>
    <t>Four new Myrioneuron alkaloids from Mycetia effusa (Myrioneuron effusum)</t>
  </si>
  <si>
    <t>PHYTOCHEMISTRY LETTERS</t>
  </si>
  <si>
    <t>Mycetia effuse; Myrioneuron effusum; Rubiaceae; Myrioneuron alkaloids</t>
  </si>
  <si>
    <t>SKELETON</t>
  </si>
  <si>
    <t>Four new Myrioneuron alkaloids, named mysumamines A-D (1-4), together with six known compounds (5-10), were isolated from the aerial parts of Mycetia effusa (syn. Myrioneuron effusum (Rubiaceae)). Among these natural products, compounds 1-3 are undescribed tricyclic Myrioneuron alkaloids and compound 4 is a new hexacyclic Myrioneuron alkaloid. The structures of these new compounds were elucidated by MS, 1D-and 2D NMR spectral analysis.</t>
  </si>
  <si>
    <t>Li, Xiao-Hui</t>
  </si>
  <si>
    <t>[Li, Xiao-Hui; Zhang, Jia-Hui; Zhang, Yu; Di, Ying-Tong; Cao, Mingming; Hao, Xiao-Jiang] Chinese Acad Sci, Kunming Inst Bot, State Key Lab Phytochem &amp; Plant Resources West Chi, Kunming 650201, Peoples R China; [Hao, Xiao-Jiang] Key Lab Chem Nat Prod Guizhou Prov, Guiyang 550014, Peoples R China; [Hao, Xiao-Jiang] Chinese Acad Sci, Guiyang 550014, Peoples R China; [Hao, Xiao-Jiang] Chinese Acad Med Sci, Res Unit Chem Biol Nat Antivirus Prod, Beijing 100730, Peoples R China; [Li, Xiao-Hui] Yunnan Inst Mat Med, Kunming 650111, Peoples R China; [Zhang, Jia-Hui] Southwest Univ, Chongqing 400715, Peoples R China; [Gu, Yu-Cheng] Syngenta, Jealotts Hill Int Res Ctr, Bracknell RG42 6EY, Berks, England</t>
  </si>
  <si>
    <t>Chinese Academy of Sciences; Kunming Institute of Botany, CAS; Chinese Academy of Sciences; Chinese Academy of Medical Sciences - Peking Union Medical College; Southwest University - China; Syngenta</t>
  </si>
  <si>
    <t>Cao, MM; Hao, XJ (通讯作者)，Chinese Acad Sci, Kunming Inst Bot, State Key Lab Phytochem &amp; Plant Resources West Chi, Kunming 650201, Peoples R China.</t>
  </si>
  <si>
    <t>caomingming@mail.kib.ac.cn; haoxj@mail.kib.ac.cn</t>
  </si>
  <si>
    <t>National Science Foundation of China [U1812403, 81573323, 31770392, 22177050]; Foundation of Central Asian Drug Discovery and Development Center of Chinese Academy of Sciences, China [CAM202103]; Yunnan Provincial Science and Technology Department [202003AD150012, 202003AS070040]; Youth Innovation Promotion Association CAS; Syngenta Postgraduate Studentship</t>
  </si>
  <si>
    <t>National Science Foundation of China(National Natural Science Foundation of China (NSFC)); Foundation of Central Asian Drug Discovery and Development Center of Chinese Academy of Sciences, China; Yunnan Provincial Science and Technology Department; Youth Innovation Promotion Association CAS; Syngenta Postgraduate Studentship(Syngenta)</t>
  </si>
  <si>
    <t>This research was supported financially by grants from the National Science Foundation of China (U1812403 to X.-J. Hao, 81573323 and 31770392 to Y.-T. Di, and 22177050 to M. Cao), Foundation of Central Asian Drug Discovery and Development Center of Chinese Academy of Sciences (CAM202103, China), Yunnan Provincial Science and Technology Department (No. 202003AD150012 and No. 202003AS070040), and Youth Innovation Promotion Association CAS to M. Cao (2022-2026). The Syngenta Postgraduate Studentship awarded to J.-H. Zhang (2014 -2016) is appreciated.</t>
  </si>
  <si>
    <t>1874-3900</t>
  </si>
  <si>
    <t>1876-7486</t>
  </si>
  <si>
    <t>PHYTOCHEM LETT</t>
  </si>
  <si>
    <t>Phytochem. Lett.</t>
  </si>
  <si>
    <t>10.1016/j.phytol.2022.12.007</t>
  </si>
  <si>
    <t>Plant Sciences; Chemistry, Medicinal</t>
  </si>
  <si>
    <t>7R1ZE</t>
  </si>
  <si>
    <t>WOS:000909876000001</t>
  </si>
  <si>
    <t>Pu, XX; Ran, XQ; Yan, Y; Lu, QY; Li, JC; Li, YY; Guan, SP; Cao, MM; Liu, J; Hao, XJ; Luo, RC; Di, YT</t>
  </si>
  <si>
    <t>Pu, Xue-Xue; Ran, Xiao-Qian; Yan, Ying; Lu, Qing-Yun; Li, Jin-Cun; Li, Ying-Yao; Guan, Shi-Peng; Cao, Ming-Ming; Liu, Jie; Hao, Xiao-Jiang; Luo, Rong-Can; Di, Ying-Tong</t>
  </si>
  <si>
    <t>Three new jatrophane diterpenoids from Euphorbia peplus Linn. with activity towards autophagic flux</t>
  </si>
  <si>
    <t>Euphorbiaceae; Euphorbia peplus; Jatrophane diterpenoid; Autophagic flux</t>
  </si>
  <si>
    <t>MULTIDRUG-RESISTANCE; CYTOTOXICITY; MODULATORS</t>
  </si>
  <si>
    <t>Three undescribed jatrophane diterpenoids, named euphpepluones P-R (1-3), were isolated from the whole plant Euphorbia peplus. The structures of these compounds were elucidated by spectroscopic methods. The absolute configuration of 1 was further assigned by X-ray crystallographic analysis. All compounds were evaluated for bioactivity towards autophagic flux by flow cytometry using HM mCherry-GFP-LC3 cells. Compounds 2 and 6 exhibited significant inhibition of autophagic flux.</t>
  </si>
  <si>
    <t>Pu, Xue-Xue</t>
  </si>
  <si>
    <t>[Pu, Xue-Xue; Li, Jin-Cun; Guan, Shi-Peng; Hao, Xiao-Jiang; Di, Ying-Tong] Yunnan Univ Tradit Chinese Med, Sch Chinese Mat Med, Kunming 650500, Peoples R China; [Pu, Xue-Xue; Lu, Qing-Yun; Li, Jin-Cun; Li, Ying-Yao; Guan, Shi-Peng; Cao, Ming-Ming; Di, Ying-Tong] Chinese Acad Sci, Kunming Inst Bot, State Key Lab Phytochem &amp; Plant Resources West Chi, Kunming 650201, Peoples R China; [Ran, Xiao-Qian; Luo, Rong-Can] Chinese Acad Sci, Kunming Inst Zool, Key Lab Anim Models &amp; Human Dis Mech Chinese Acad, KIZ CUHK Joint Lab Bioresources &amp; Mol Res Common D, Kunming 650223, Peoples R China; [Ran, Xiao-Qian; Lu, Qing-Yun; Luo, Rong-Can] Univ Chinese Acad Sci, Kunming Coll Life Sci, Kunming 650204, Yunnan, Peoples R China; [Liu, Jie] Chinese Acad Sci, Kunming Inst Bot, CAS Key Lab Plant Divers &amp; Biogeog East Asia, Kunming 650201, Yunnan, Peoples R China; [Yan, Ying; Hao, Xiao-Jiang] Guizhou Med Univ, Guizhou Chem Drug Res &amp; Dev Engn Tech Ctr, Guiyang 550004, Peoples R China; [Li, Ying-Yao] Yunnan Univ, Coll Life Sci, Kunming 650091, Yunnan, Peoples R China; [Di, Ying-Tong] Chinese Acad Sci, Kunming Inst Bot, Kunming, Peoples R China; [Luo, Rong-Can] Chinese Acad Sci, Kunming Inst Zool, Kunming, Peoples R China</t>
  </si>
  <si>
    <t>Yunnan University of Chinese Medicine; Chinese Academy of Sciences; Kunming Institute of Botany, CAS; Chinese Academy of Sciences; Kunming Institute of Zoology; Chinese Academy of Sciences; University of Chinese Academy of Sciences, CAS; Chinese Academy of Sciences; Kunming Institute of Botany, CAS; Guizhou Medical University; Yunnan University; Chinese Academy of Sciences; Kunming Institute of Botany, CAS; Chinese Academy of Sciences; Kunming Institute of Zoology</t>
  </si>
  <si>
    <t>Di, YT (通讯作者)，Chinese Acad Sci, Kunming Inst Bot, Kunming, Peoples R China.;Luo, RC (通讯作者)，Chinese Acad Sci, Kunming Inst Zool, Kunming, Peoples R China.</t>
  </si>
  <si>
    <t>luorongcan@mail.kiz.ac.cn; diyt@mail.kib.ac.cn</t>
  </si>
  <si>
    <t>Natural Science Foundation of Yunnan Province [202101AS070139, 202201AW070010, 202001AT070107]; Science and Technology Program of Guizhou Province [gzwkj2022-222]; Guizhou Provincial Science and Technology Project [ZK [2022] 393]; State Key Laboratory of Phytochemistry and Plant Resources in West China [P2020-KF06]; Yunnan Key Research and Development Program [202003AD150012]; Central Asian Center of Drug Discovery and Development Center of Chinese Academy of Sciences [CAM202103]</t>
  </si>
  <si>
    <t>Natural Science Foundation of Yunnan Province(Natural Science Foundation of Yunnan Province); Science and Technology Program of Guizhou Province; Guizhou Provincial Science and Technology Project; State Key Laboratory of Phytochemistry and Plant Resources in West China; Yunnan Key Research and Development Program; Central Asian Center of Drug Discovery and Development Center of Chinese Academy of Sciences</t>
  </si>
  <si>
    <t>Financial support for this study was provided by Natural Science Foundation of Yunnan Province (Grant No. 202101AS070139 to Ying-Tong Di, Grant No. 202201AW070010 and 202001AT070107 to Rong-Can Luo); Science and Technology Program of Guizhou Province (Grant No. gzwkj2022-222 to Ying Yan); Guizhou Provincial Science and Technology Project (Grant No. ZK [2022] 393 to Ying Yan); State Key Laboratory of Phytochemistry and Plant Resources in West China (Grant No. P2020-KF06); Yunnan Key Research and Development Program (Grant No. 202003AD150012 to Xiao-Jjiang Hao); Central Asian Center of Drug Discovery and Development Center of Chinese Academy of Sciences (Grant No. CAM202103 to Xxiao-Jiang Hao). The authors also thank the analytical group at the Laboratory of Phytochemistry of KIB for performing the structural analysis.</t>
  </si>
  <si>
    <t>10.1016/j.phytol.2022.06.007</t>
  </si>
  <si>
    <t>4Y9SU</t>
  </si>
  <si>
    <t>WOS:000861862000008</t>
  </si>
  <si>
    <t>Zi, CT; Xie, YR; Niu, Y; Liu, ZH; Yang, L; Xi, YK; Li, ZJ; Zhang, FM; Xiang, ZM; Sheng, J</t>
  </si>
  <si>
    <t>Zi, Cheng-Ting; Xie, Yin-Rong; Niu, Yun; Liu, Zhen-Hao; Yang, Liu; Xi, Yong -Kai; Li, Zhen-Jie; Zhang, Feng-Mei; Xiang, Ze-Min; Sheng, Jun</t>
  </si>
  <si>
    <t>New cannabidiol (CBD) derivatives: Synthesis, anti-inflammatory activity, and molecular docking</t>
  </si>
  <si>
    <t>Cannabidiol(CBD); Synthesis; Anti-inflammatory activity; Molecular docking; Solubility</t>
  </si>
  <si>
    <t>INFLAMMATION; THERAPY; ALPHA</t>
  </si>
  <si>
    <t>A series of new cannabidiol (CBD) derivatives were synthesized by employing hydrogenation reaction and click chemistry. Then, the cytotoxicity and anti-inflammatory activities of cannabinoid derivatives were determined. Compound 14 was found to have low cytotoxicity and high anti-inflammatory activity, and the anti-inflammatory mechanism of compound 14 was preliminarily explored, which inhibited the synthesis and release of the pro-inflammatory cytokine TNF-alpha. The experimental results were confirmed by docking analysis. The water solubility of compound 14 was determined. Based on the results, the structure-activity relationships (SARs) of the CBD derivatives were discussed for exploring novel anti-inflammatory drugs.</t>
  </si>
  <si>
    <t>Zi, Cheng-Ting</t>
  </si>
  <si>
    <t>[Zi, Cheng-Ting; Xie, Yin-Rong; Niu, Yun; Liu, Zhen-Hao; Xi, Yong -Kai; Xiang, Ze-Min; Sheng, Jun] Yunnan Agr Univ, Coll Sci, Key Lab Puer Tea Sci, Minist Educ, Kunming 650201, Peoples R China; [Xie, Yin-Rong; Niu, Yun; Liu, Zhen-Hao; Xiang, Ze-Min; Sheng, Jun] Yunnan Agr Univ, Coll Food Sci &amp; Technol, Kunming 650201, Peoples R China; [Yang, Liu] Chinese Acad Sci, Kunming Inst Bot, State Key Lab Phytochem &amp; Plant Resources West Chi, Kunming 650201, Peoples R China; [Li, Zhen-Jie; Zhang, Feng-Mei] R&amp;D Ctr China Tobacco Yunnan Ind Co Ltd, Yunnan Key Lab Tobacco Chem, Kunming 650231, Peoples R China</t>
  </si>
  <si>
    <t>Yunnan Agricultural University; Yunnan Agricultural University; Chinese Academy of Sciences; Kunming Institute of Botany, CAS; China Tobacco Yunnan Industrial Co Ltd</t>
  </si>
  <si>
    <t>Zi, CT (通讯作者)，Yunnan Agr Univ, Coll Sci, Key Lab Puer Tea Sci, Minist Educ, Kunming 650201, Peoples R China.</t>
  </si>
  <si>
    <t>zichengting@126.com</t>
  </si>
  <si>
    <t>National Nature Science Foundation of China [21602196, 31960075, 31760226]; Science and Technology Project of Yunnan Province [202101BD070001-028]; Yunnan Provincial Key Programs of Yunnan Eco-friendly Food International Cooperation Research Center Project [2019ZG00904, 2019ZG00909]</t>
  </si>
  <si>
    <t>National Nature Science Foundation of China(National Natural Science Foundation of China (NSFC)); Science and Technology Project of Yunnan Province; Yunnan Provincial Key Programs of Yunnan Eco-friendly Food International Cooperation Research Center Project</t>
  </si>
  <si>
    <t>Acknowledgements This work was financially supported by grants from the National Nature Science Foundation of China (Nos. 21602196, 31960075, and 31760226) , the Science and Technology Project of Yunnan Province (No. 202101BD070001-028) , and the Yunnan Provincial Key Programs of Yunnan Eco-friendly Food International Cooperation Research Center Project (Nos. 2019ZG00904 and 2019ZG00909) .</t>
  </si>
  <si>
    <t>10.1016/j.phytol.2022.08.004</t>
  </si>
  <si>
    <t>3Y7QD</t>
  </si>
  <si>
    <t>WOS:000843916200019</t>
  </si>
  <si>
    <t>Wang, YJ; Yang, J; Li, XN; Bai, H; Luo, JF; He, ZR; Wang, YH</t>
  </si>
  <si>
    <t>Wang, Yan-Jie; Yang, Jun; Li, Xiao-Nian; Bai, Hua; Luo, Ji-Feng; He, Zhao-Rong; Wang, Yue-Hu</t>
  </si>
  <si>
    <t>Cucurbitane-type triterpenoids from the branches and leaves of Elaeocarpus sylvestris</t>
  </si>
  <si>
    <t>Elaeocarpaceae; Elaeocarpus sylvestris; Cucurbitane-type triterpenoids; Cytotoxicity</t>
  </si>
  <si>
    <t>CYTOTOXIC CONSTITUENTS; GLYCOSIDES; FLOWERS; FRUIT</t>
  </si>
  <si>
    <t>The chemical structures of nine cucurbitane-type triterpenoids from the branches and leaves of Elaeocarpus sylvestris (Elaeocarpaceae), including undescribed 29-hydroxymogroside I E-2, epimogroside I E-2, epimogroside I E-1, 24-oxomogroside I E-1, and 11-O-acetylmogroside I E-1, were determined using mass spectrometry (MS) and nuclear magnetic resonance (NMR) spectroscopy. The absolute configuration of 29-hydroxymogroside I E-2 was confirmed by performing an X-ray diffraction analysis. Cucurbitacin D and 11-O-acetylmogroside I E(1 )showed cytotoxicity toward human leukemia HL-60, human lung adenocarcinoma A549, human hepatoma SMMC-7721, human breast cancer MCF-7, and human colon cancer SW480 cell lines. The presence of a 11 -O-acetyl group might increase the cytotoxicity of this type of triterpenoids.</t>
  </si>
  <si>
    <t>Wang, Yan-Jie</t>
  </si>
  <si>
    <t>[Wang, Yan-Jie; Yang, Jun; Li, Xiao-Nian; Luo, Ji-Feng; Wang, Yue-Hu] Chinese Acad Sci, Kunming Inst Bot, Key Lab Econ Plants &amp; Biotechnol, Yunnan Key Lab Wild Plant Resources, Kunming 650201, Peoples R China; [Wang, Yan-Jie; He, Zhao-Rong] Yunnan Univ, Sch Life Sci, Kunming 650500, Peoples R China; [Bai, Hua] Hongta Tobacco Grp Co Ltd, Yuxi Cigarette Factory, Yuxi 653100, Peoples R China</t>
  </si>
  <si>
    <t>Chinese Academy of Sciences; Kunming Institute of Botany, CAS; Yunnan University; China National Tobacco Corporation</t>
  </si>
  <si>
    <t>Wang, YH (通讯作者)，Chinese Acad Sci, Kunming Inst Bot, Key Lab Econ Plants &amp; Biotechnol, Yunnan Key Lab Wild Plant Resources, Kunming 650201, Peoples R China.;He, ZR (通讯作者)，Yunnan Univ, Sch Life Sci, Kunming 650500, Peoples R China.</t>
  </si>
  <si>
    <t>zhrhe@ynu.edu.cn; wangyuehu@mail.kib.ac.cn</t>
  </si>
  <si>
    <t>National Natural Science Founda- tion of China [32070361]</t>
  </si>
  <si>
    <t>This research was funded by the National Natural Science Founda- tion of China (No. 32070361) .</t>
  </si>
  <si>
    <t>10.1016/j.phytol.2022.06.012</t>
  </si>
  <si>
    <t>WOS:000843916200008</t>
  </si>
  <si>
    <t>Li, YY; Yang, Y; Sun, M; Lu, QY; Pu, XX; Ran, XQ; Li, DM; Wan, JJ; Huang, JY; Guan, SP; Luo, RC; Cheng, YY; Di, YT; Hao, XJ</t>
  </si>
  <si>
    <t>Li, Ying-Yao; Yang, Ying; Sun, Mao; Lu, Qing-Yun; Pu, Xue-Xue; Ran, Xiaoqian; Li, Dong-Mei; Wan, Jia-Jia; Huang, Jian-Yi; Guan, Shi-Peng; Luo, Rongcan; Cheng, Yuan-Yuan; Di, Ying-Tong; Hao, Xiao-Jiang</t>
  </si>
  <si>
    <t>Jatrophane polyesters from the leaves of Euphorbia peplus with anti-inflammatory activity</t>
  </si>
  <si>
    <t>Euphorbiaceae; Euphorbia peplus; Jatrophane polyester; Anti-inflammatory activity; Dexamethasone; Diterpenoid</t>
  </si>
  <si>
    <t>MULTIDRUG-RESISTANCE; BIOLOGICAL-ACTIVITY; CRYSTAL-STRUCTURE; DITERPENOIDS; MODULATORS</t>
  </si>
  <si>
    <t>Three new jatrophane polyesters, Euphopepluanones M-O (1-3), along with eight known ones (4-11), were isolated from the leaves of Euphorbia peplus Linn. Their chemical structures were established based on extensive spectroscopic analysis. The absolute configurations of compound 1 were assigned by X-ray crystallographic analysis. In addition, their anti-inflammatory effects on lipopolysaccharide-induced RAW264.7 macrophages were evaluated in vitro. Among them, 2 and 7 exhibited significant anti-inflammatory activity.</t>
  </si>
  <si>
    <t>Li, Ying-Yao</t>
  </si>
  <si>
    <t>[Li, Ying-Yao; Li, Dong-Mei] Yunnan Univ, Coll Life Sci, Kunming 650091, Yunnan, Peoples R China; [Li, Ying-Yao; Sun, Mao; Lu, Qing-Yun; Pu, Xue-Xue; Li, Dong-Mei; Wan, Jia-Jia; Huang, Jian-Yi; Guan, Shi-Peng; Di, Ying-Tong; Hao, Xiao-Jiang] Chinese Acad Sci, Kunming Inst Bot, State Key Lab Phytochem &amp; Plant Resources West Ch, Kunming 650201, Yunnan, Peoples R China; [Yang, Ying; Cheng, Yuan-Yuan] Guangzhou Univ Chinese Med, Sch Pharmaceut Sci, Int Inst Translat Chinese Med, Guangzhou 510006, Guangdong, Peoples R China; [Sun, Mao] An Shun City Peoples Hosp, Anshun 561000, Peoples R China; [Pu, Xue-Xue; Huang, Jian-Yi; Guan, Shi-Peng] Yunnan Univ Tradit Chinese Med, Kunming 650500, Yunnan, Peoples R China; [Ran, Xiaoqian; Luo, Rongcan] Chinese Acad Sci, Key Lab Anim Models &amp; Human Dis Mech Chinese Acad, Kunming Inst Zool, KIZ CUHK Joint Lab Bioresources &amp; Mol Res Common, Kunming 650223, Yunnan, Peoples R China</t>
  </si>
  <si>
    <t>Yunnan University; Chinese Academy of Sciences; Kunming Institute of Botany, CAS; Guangzhou University of Chinese Medicine; Yunnan University of Chinese Medicine; Chinese Academy of Sciences; Kunming Institute of Zoology</t>
  </si>
  <si>
    <t>Di, YT (通讯作者)，Chinese Acad Sci, Kunming Inst Bot, State Key Lab Phytochem &amp; Plant Resources West Ch, Kunming 650201, Yunnan, Peoples R China.;Cheng, YY (通讯作者)，Guangzhou Univ Chinese Med, Sch Pharmaceut Sci, Int Inst Translat Chinese Med, Guangzhou 510006, Guangdong, Peoples R China.</t>
  </si>
  <si>
    <t>chengyuanyuan@gzucm.edu.cn; diyt@mail.kib.ac.cn</t>
  </si>
  <si>
    <t>Fund of State Key Laboratory of Phytochemistry and Plant Resources in West China [P2020KF06]; Science and Technology Program of Guizhou Province [QKHJC-ZK[2021]YB557]; Key Research and Development Project of Yunnan Province [202003AD150012]; Foundation of Central Asian Drug Discovery and Development Center of Chinese Academy of Sciences [CAM202103]</t>
  </si>
  <si>
    <t>Fund of State Key Laboratory of Phytochemistry and Plant Resources in West China; Science and Technology Program of Guizhou Province; Key Research and Development Project of Yunnan Province; Foundation of Central Asian Drug Discovery and Development Center of Chinese Academy of Sciences</t>
  </si>
  <si>
    <t>This work was financially supported by the Fund of State Key Laboratory of Phytochemistry and Plant Resources in West China (P2020KF06); the Science and Technology Program of Guizhou Province (QKHJC-ZK[2021]YB557); Key Research and Development Project of Yunnan Province to X.-J. Hao (202003AD150012) and Foundation of Central Asian Drug Discovery and Development Center of Chinese Academy of Sciences to X.-J. Hao (CAM202103).</t>
  </si>
  <si>
    <t>10.1016/j.phytol.2022.03.017</t>
  </si>
  <si>
    <t>1D3TK</t>
  </si>
  <si>
    <t>WOS:000793726100002</t>
  </si>
  <si>
    <t>Huang, Q; Pan, Y; Wu, SL; Huang, XY; Hu, J; Ma, YB; Zhang, XM; Geng, CA</t>
  </si>
  <si>
    <t>Huang, Qian; Pan, Yang; Wu, Sheng-Li; Huang, Xiao-Yan; Hu, Jing; Ma, Yun-Bao; Zhang, Xue-Mei; Geng, Chang-An</t>
  </si>
  <si>
    <t>Antidiabetic triterpenoids from the leaves of Paeonia suffruticosa and Paeonia delavayi</t>
  </si>
  <si>
    <t>Paeonenoides I-K; Paeonia suffruticosa; Paeonia delavayi; PTP1B and GPa inhibition; GLP-1 stimulation</t>
  </si>
  <si>
    <t>CHEMICAL-CONSTITUENTS; PTP1B</t>
  </si>
  <si>
    <t>Three new nor-oleanane triterpenoids, paeonenoides I-K (1-3), together with 13 known triterpenoids including nor-oleanane, oleanane, ursane, and cycloartane types, were isolated from the leaves of Paeonia suffruticosa and P. delavayi. The structures of the new compounds were elucidated with the aid of HRESIMS, 1D and 2D NMR, IR, and [alpha](D) spectroscopic methods. Nine compounds (5-6, 8-11, 13-14 and 16) showed inhibition against PTP1B with IC50 values ranging from 36.5 to 192.6 mu M, six compounds (5-6, 8-10 and 14) exhibited inhibitory activity against GPa with IC50 values ranging from 39.8 to 108.0 mu M, and five compounds (1, 6, 10, 15 and 16) could significantly stimulate GLP-1 secretion by 100.2-313.4% (20 mu M). Docking study demonstrated that compounds 5 and 6 strongly bonded with Gpa and PTP1B by salt bridges, hydrogen bonds and hydrophobic interactions, verifying the importance of carboxyl and hydroxyl groups. Especially, compounds 5 and 14 could simultaneously inhibit PTP1B and GPa with IC50 values of 57.8, 47.9 mu M and 39.8, 45.2 mu M, and compounds 6 and 10 could stimulate GLP-1 secretion by 293.6% and 313.4% at 20 mu M.</t>
  </si>
  <si>
    <t>Huang, Qian</t>
  </si>
  <si>
    <t>[Huang, Qian; Pan, Yang; Wu, Sheng-Li; Huang, Xiao-Yan; Hu, Jing; Ma, Yun-Bao; Zhang, Xue-Mei; Geng, Chang-An] Chinese Acad Sci, Kunming Inst Bot, State Key Lab Phytochem &amp; Plant Resources West Ch, 132 Lanhei Rd, Kunming 650201, Yunnan, Peoples R China; [Huang, Qian; Pan, Yang; Wu, Sheng-Li; Huang, Xiao-Yan; Hu, Jing; Ma, Yun-Bao; Zhang, Xue-Mei; Geng, Chang-An] Yunnan Key Lab Nat Med Chem, Kunming 650201, Yunnan, Peoples R China; [Wu, Sheng-Li] Yunnan Univ, Sch Life Sci, Kunming 650500, Yunnan, Peoples R China</t>
  </si>
  <si>
    <t>Geng, CA (通讯作者)，Chinese Acad Sci, Kunming Inst Bot, State Key Lab Phytochem &amp; Plant Resources West Ch, 132 Lanhei Rd, Kunming 650201, Yunnan, Peoples R China.;Geng, CA (通讯作者)，Yunnan Key Lab Nat Med Chem, Kunming 650201, Yunnan, Peoples R China.</t>
  </si>
  <si>
    <t>National Natural Science Foundation of China [81773609]; Natural Science Foundation of Yunnan Province [2019FI017]; Yunnan Wanren Project [YNWR-QNBJ-2018-061, YNWRKJLJ-2019-002]; Reserve Talents of Young and Middleaged Academic and Technical Leaders in Yunnan Province [2018HB067]</t>
  </si>
  <si>
    <t>National Natural Science Foundation of China(National Natural Science Foundation of China (NSFC)); Natural Science Foundation of Yunnan Province(Natural Science Foundation of Yunnan Province); Yunnan Wanren Project; Reserve Talents of Young and Middleaged Academic and Technical Leaders in Yunnan Province</t>
  </si>
  <si>
    <t>This work was funded by the National Natural Science Foundation of China (81773609), the Natural Science Foundation of Yunnan Province (2019FI017), the Yunnan Wanren Project (YNWR-QNBJ-2018-061 and YNWRKJLJ-2019-002), and the Reserve Talents of Young and Middleaged Academic and Technical Leaders in Yunnan Province (2018HB067).</t>
  </si>
  <si>
    <t>10.1016/j.phytol.2022.02.009</t>
  </si>
  <si>
    <t>ZP7OE</t>
  </si>
  <si>
    <t>WOS:000766608600017</t>
  </si>
  <si>
    <t>Xiao, HW; Liu, QS; Huang, YB; Ma, YP; Classen-Bockhoff, R; Tian, RN; Wei, YK</t>
  </si>
  <si>
    <t>Xiao, Han-Wen; Liu, Qing-Shan; Huang, Yan-Bo; Ma, Yong-Peng; Classen-Bockhoff, Regine; Tian, Ru-Nan; Wei, Yu-Kun</t>
  </si>
  <si>
    <t>Effective hawkmoth pollination in the primarily bee-pollinated Salvia daiguii-an example of adaptive generalization</t>
  </si>
  <si>
    <t>PLANT SPECIES BIOLOGY</t>
  </si>
  <si>
    <t>adaptive generalization; bee; hawkmoth pollination; pollen transport; deposition; Salvia; style movement</t>
  </si>
  <si>
    <t>FLORAL TRAITS; LAMIACEAE; DIVERSITY; PLANTS</t>
  </si>
  <si>
    <t>Many plants exhibit floral traits that are directed to specific pollinator groups. Nevertheless, they can also attract less-adapted pollinators and gain benefits under certain conditions, resulting in adapted generalization. This may be the case in Salvia daiguii (Lamiaceae), an endangered, bee-pollinated species native to the Tianmenshan National Forest Park, China. The flower appears phenotypically specialized to bees but is also visited by Macroglossum bombylans. In the present study, we test whether the moth is an effective pollinator of S. daiguii. We quantified and compared the frequency of flower visits by bees and moths and the number of pollen grains deposited on the stigma after a single visit. We also recorded the movements of pistils and stamens of S. daiguii and the behavior of the hawkmoth at the flowers. We found that Apis cerana was the predominant pollinator, depositing an average of 4.74 pollen grains on the stigma after a single visit. However, as the style bends downward during anthesis and reaches the same level as the anthers, Macroglossum individuals hovering around the flowers were also able to effectively transfer pollen to the stigma. On average, 1.38 pollen grains were deposited on the stigma during a single visit. We demonstrate for the first time that the hawkmoth is an effective secondary pollinator in the primarily bee-pollinated S. daiguii. Style bending allows a nectar thief to become a secondary pollinator. The extent of pollinator generalization is thus increased without affecting the fundamental phenotype adapted to bees as the main pollinators.</t>
  </si>
  <si>
    <t>Xiao, Han-Wen</t>
  </si>
  <si>
    <t>[Xiao, Han-Wen; Tian, Ru-Nan] Nanjing Forestry Univ, Coll Landscape Architecture, Nanjing 210037, Peoples R China; [Xiao, Han-Wen; Liu, Qing-Shan; Huang, Yan-Bo] Eastern China Conservat Ctr Wild Endangered Plant, Shanghai Chenshan Bot Garden, Shanghai, Peoples R China; [Liu, Qing-Shan] Zhejiang Sci Tech Univ, Hangzhou, Zhejiang, Peoples R China; [Ma, Yong-Peng] Chinese Acad Sci, Kunming Inst Bot, Kunming, Yunnan, Peoples R China; [Classen-Bockhoff, Regine] Johannes Gutenberg Univ Mainz, Inst Organism &amp; Mol Evolut IomE, Mainz, Germany; [Wei, Yu-Kun] Shanghai Bot Garden, Shanghai 200231, Peoples R China</t>
  </si>
  <si>
    <t>Nanjing Forestry University; Chinese Academy of Sciences; Zhejiang Sci-Tech University; Chinese Academy of Sciences; Kunming Institute of Botany, CAS; Johannes Gutenberg University of Mainz; Chinese Academy of Sciences</t>
  </si>
  <si>
    <t>Tian, RN (通讯作者)，Nanjing Forestry Univ, Coll Landscape Architecture, Nanjing 210037, Peoples R China.;Wei, YK (通讯作者)，Shanghai Bot Garden, Shanghai 200231, Peoples R China.</t>
  </si>
  <si>
    <t>tianrunan@njfu.edu.cn; ykwei76@hotmail.com</t>
  </si>
  <si>
    <t>WEI, YuKun/0000-0001-7967-3846; Xiao, Hanwen/0000-0003-4527-696X</t>
  </si>
  <si>
    <t>Chenshan Special Foundations from Shanghai Municipal Administration of Forestation and City Appearances [G222402]; Science and Technology Program of Shanghai Science and Technology Committee [20392000600]; Specific Project for Strategic Biological Resources and the Technology Supporting System from the Chinese Academy of Sciences [ZSZY-001]</t>
  </si>
  <si>
    <t>Chenshan Special Foundations from Shanghai Municipal Administration of Forestation and City Appearances; Science and Technology Program of Shanghai Science and Technology Committee; Specific Project for Strategic Biological Resources and the Technology Supporting System from the Chinese Academy of Sciences</t>
  </si>
  <si>
    <t>Chenshan Special Foundations from Shanghai Municipal Administration of Forestation and City Appearances, Grant/Award Number: G222402; Science and Technology Program of Shanghai Science and Technology Committee, Grant/Award Number: 20392000600; Specific Project for Strategic Biological Resources and the Technology Supporting System from the Chinese Academy of Sciences, Grant/Award Number: ZSZY-001</t>
  </si>
  <si>
    <t>0913-557X</t>
  </si>
  <si>
    <t>1442-1984</t>
  </si>
  <si>
    <t>PLANT SPEC BIOL</t>
  </si>
  <si>
    <t>Plant Spec. Biol.</t>
  </si>
  <si>
    <t>10.1111/1442-1984.12390</t>
  </si>
  <si>
    <t>7P4VB</t>
  </si>
  <si>
    <t>WOS:000865286000001</t>
  </si>
  <si>
    <t>Wang, Z; Liu, X; Zhu, ZM; Ma, WZ; Bao, WK</t>
  </si>
  <si>
    <t>Wang, Zhe; Liu, Xin; Zhu, Zhangming; Ma, Wenzhang; Bao, Weikai</t>
  </si>
  <si>
    <t>Comparisons of photosynthesis-related traits among understory lichens, mosses and vascular plant leaves in a high-elevation subalpine forest</t>
  </si>
  <si>
    <t>JOURNAL OF PLANT ECOLOGY</t>
  </si>
  <si>
    <t>chlorophyll; functional trait; lichen; moss; nutrient; understory</t>
  </si>
  <si>
    <t>TRADE-OFFS; SCALING RELATIONSHIPS; EPIPHYTIC BRYOPHYTES; FUNCTIONAL TRAITS; ECONOMIC SPECTRUM; CO2 EXCHANGE; CAPACITY; NITROGEN; SHADE</t>
  </si>
  <si>
    <t>Many mosses and lichens thrive in high-elevation subalpine forests and even become dominant species on the forest floor. Although they play an irreplaceable ecological role in the forest, less is known about their eco-physiological status, and how their photosynthesis-related functional traits differ from those of co-occurring vascular plants. We determined the carbon, nitrogen and phosphorus concentrations and stoichiometric ratios, tissue mass per area, chlorophyll concentrations and photosynthetic light-response curves of three lichens, three mosses and four vascular plants in a subalpine forest in the eastern Tibetan Plateau of China. Trait values were compared among and within each group. The lichens possessed a higher nitrogen concentration than that of mosses. In addition, the two poikilohydric groups exhibited lower concentrations of nitrogen, phosphorus and chlorophyll, light-saturated assimilation rates and photosynthetic nutrient use efficiencies, and higher light compensation points than those of vascular plant leaves. Furthermore, variations in photosynthesis-related traits for lichen species reflect their different adaptation strategies to their corresponding environments. In contrast, the differences were weak among the three forest-floor mosses and the three herb species. These results demonstrate that the high abundance of understory lichens and mosses in the high-elevation subalpine forest cannot be explained by the photosynthesis-related traits.</t>
  </si>
  <si>
    <t>Wang, Zhe</t>
  </si>
  <si>
    <t>[Wang, Zhe] Shanghai Normal Univ, Coll Life Sci, Shanghai 200234, Peoples R China; [Wang, Zhe; Liu, Xin; Bao, Weikai] Chinese Acad Sci, CAS Key Lab Mt Ecol Restorat &amp; Bioresource Utili, Chengdu 610041, Peoples R China; [Wang, Zhe; Liu, Xin; Bao, Weikai] Chinese Acad Sci, Ecol Restorat &amp; Biodivers Conservat Key Lab Sichu, Chengdu Inst Biol, Chengdu 610041, Peoples R China; [Zhu, Zhangming] Yunnan Univ, Sch Ecol &amp; Environm Sci, Kunming 650091, Yunnan, Peoples R China; [Ma, Wenzhang] Chinese Acad Sci, Kunming Inst Bot, CAS Key Lab Plant Div &amp; Biogeog East Asia, Kunming 650201, Yunnan, Peoples R China</t>
  </si>
  <si>
    <t>Shanghai Normal University; Chinese Academy of Sciences; Chinese Academy of Sciences; Chengdu Institute of Biology, CAS; Yunnan University; Chinese Academy of Sciences; Kunming Institute of Botany, CAS</t>
  </si>
  <si>
    <t>Wang, Z (通讯作者)，Shanghai Normal Univ, Coll Life Sci, Shanghai 200234, Peoples R China.;Wang, Z (通讯作者)，Chinese Acad Sci, CAS Key Lab Mt Ecol Restorat &amp; Bioresource Utili, Chengdu 610041, Peoples R China.;Wang, Z (通讯作者)，Chinese Acad Sci, Ecol Restorat &amp; Biodivers Conservat Key Lab Sichu, Chengdu Inst Biol, Chengdu 610041, Peoples R China.</t>
  </si>
  <si>
    <t>wangzhe@shnu.edu.cn</t>
  </si>
  <si>
    <t>Wang, Zhe/0000-0001-5530-6566</t>
  </si>
  <si>
    <t>National Natural Science Foundation of China [31600316]</t>
  </si>
  <si>
    <t>This study was funded by National Natural Science Foundation of China (31600316).</t>
  </si>
  <si>
    <t>1752-9921</t>
  </si>
  <si>
    <t>1752-993X</t>
  </si>
  <si>
    <t>J PLANT ECOL</t>
  </si>
  <si>
    <t>J. Plant Ecol.</t>
  </si>
  <si>
    <t>10.1093/jpe/rtab109</t>
  </si>
  <si>
    <t>Plant Sciences; Ecology; Forestry</t>
  </si>
  <si>
    <t>Plant Sciences; Environmental Sciences &amp; Ecology; Forestry</t>
  </si>
  <si>
    <t>2S8RT</t>
  </si>
  <si>
    <t>WOS:000822055500002</t>
  </si>
  <si>
    <t>Ling, TC; Wang, LL; Yang, YP; Duan, YW</t>
  </si>
  <si>
    <t>Ling, Tial C.; Wang, Lin-Lin; Yang, Yong-Ping; Duan, Yuan-Wen</t>
  </si>
  <si>
    <t>Differences in floral traits and flower visitation rates in mating systems in Prunella vulgaris (Lamiaceae)</t>
  </si>
  <si>
    <t>autonomous selfing; floral traits; inbreeding depression; visitors; Prunella vulgaris; reproductive assurance</t>
  </si>
  <si>
    <t>INBREEDING DEPRESSION; REPRODUCTIVE ASSURANCE; SELF-FERTILIZATION; CROSS-FERTILIZATION; BREEDING SYSTEM; EVOLUTION; PLANTS; SIZE; POPULATION; POLLINATION</t>
  </si>
  <si>
    <t>Floral traits and the number of visitors are expected to change with different mating systems. We tested this hypothesis by comparing flowers of Prunella vulgaris (Lamiaceae) with inserted and exserted styles across a strongly exserted style biased, an exserted style biased, and a strongly inserted style biased subalpine population. We examined flowering phenology, floral morphology, flower visitation rate, capacity for autonomous self-pollination and visitor contribution to seed production for each style type and in each population. We also examined inbreeding depression (ID) by comparing the relative performance of progeny from self- and cross-pollination. Exserted style plants had larger and more open flowers, increased pollen production, higher amounts of nectar rewards and higher visitation and outcrossing rates than inserted style plants. Similarly on the population level, the visitation rates were higher in the exserted style-biased populations than in the inserted style-biased population. Inserted style plants provided a stronger reproductive assurance (RA) through autonomous selfing than exserted style plants. RA and outcrossing rates did not differ among populations, showing low visitation rates may be sufficient for adequate seed production in P. vulgaris. Although inserted style plants had a lower ID level than exserted style plants, the ID of both was less than 0.5, suggesting that an ID should not counteract the evolution of selfing in this species. Inserted style plants provide RA through autonomous selfing, and exserted style plants ensure outcrossing through pollinator services, supporting a stable mixed mating system in this subalpine plant.</t>
  </si>
  <si>
    <t>[Ling, Tial C.; Wang, Lin-Lin; Yang, Yong-Ping; Duan, Yuan-Wen] Chinese Acad Sci, Kunming Inst Bot, CAS Key Lab Plant Divers &amp; Biogeog East Asia, Kunming 650201, Yunnan, Peoples R China; [Ling, Tial C.; Wang, Lin-Lin; Yang, Yong-Ping; Duan, Yuan-Wen] Chinese Acad Sci, Kunming Inst Bot, Inst Tibetan Plateau Res Kunming, Kunming 650201, Yunnan, Peoples R China; [Ling, Tial C.; Wang, Lin-Lin] Univ Chinese Acad Sci, Beijing 100049, Peoples R China; [Ling, Tial C.] Chinese Acad Sci, Xishuangbanna Trop Bot Garden, CAS Key Lab Trop Forest Ecol, Menglun 666303, Peoples R China</t>
  </si>
  <si>
    <t>Chinese Academy of Sciences; Kunming Institute of Botany, CAS; Chinese Academy of Sciences; Kunming Institute of Botany, CAS; Chinese Academy of Sciences; University of Chinese Academy of Sciences, CAS; Chinese Academy of Sciences; Xishuangbanna Tropical Botanical Garden, CAS</t>
  </si>
  <si>
    <t>Yang, YP; Duan, YW (通讯作者)，Chinese Acad Sci, Kunming Inst Bot, CAS Key Lab Plant Divers &amp; Biogeog East Asia, Kunming 650201, Yunnan, Peoples R China.;Yang, YP; Duan, YW (通讯作者)，Chinese Acad Sci, Kunming Inst Bot, Inst Tibetan Plateau Res Kunming, Kunming 650201, Yunnan, Peoples R China.</t>
  </si>
  <si>
    <t>yangyp@vmail.kib.ac.cn; duanyw@mail.kib.ac.cn</t>
  </si>
  <si>
    <t>Second Tibetan Plateau Scientific Expedition and Research (STEP) program [2019QZKK0502]; National Natural Science Foundation of China [31570385]; Postdoctoral Fellowship of Xishuangbanna Tropical Botanical Garden, CAS; China Postdoctoral Science Foundation [2019M653513]</t>
  </si>
  <si>
    <t>Second Tibetan Plateau Scientific Expedition and Research (STEP) program; National Natural Science Foundation of China(National Natural Science Foundation of China (NSFC)); Postdoctoral Fellowship of Xishuangbanna Tropical Botanical Garden, CAS; China Postdoctoral Science Foundation(China Postdoctoral Science Foundation)</t>
  </si>
  <si>
    <t>This work was supported by the Second Tibetan Plateau Scientific Expedition and Research (STEP) program (2019QZKK0502), the National Natural Science Foundation of China (31570385), Postdoctoral Fellowship of Xishuangbanna Tropical Botanical Garden, CAS and China Postdoctoral Science Foundation Funding (2019M653513).</t>
  </si>
  <si>
    <t>10.1093/jpe/rtab063</t>
  </si>
  <si>
    <t>ZE7TZ</t>
  </si>
  <si>
    <t>WOS:000759083500004</t>
  </si>
  <si>
    <t>Huang, YJ; Zhu, H; Hu, JJ; Jia, LB; Zhou, ZK</t>
  </si>
  <si>
    <t>Huang, Yong-Jiang; Zhu, Hai; Hu, Jin-Jin; Jia, Lin-Bo; Zhou, Zhe-Kun</t>
  </si>
  <si>
    <t>New fossil evidence from the late Pliocene of Yunnan, South China, sheds light on the distribution and diversification of Sambucus L. (Adoxaceae) in the northern low latitudes</t>
  </si>
  <si>
    <t>PALAEOBIODIVERSITY AND PALAEOENVIRONMENTS</t>
  </si>
  <si>
    <t>Adoxaceae; Sambucus; Endocarp; Late Pliocene; South China</t>
  </si>
  <si>
    <t>MIDDLE MIOCENE; SHOREA DIPTEROCARPACEAE; EARLY PLEISTOCENE; WINGED FRUITS; CLIMATE; VEGETATION; EOCENE; RECONSTRUCTION; DIPSACALES; BASIN</t>
  </si>
  <si>
    <t>Sambucus L. (Adoxaceae) has a rich fossil record with a major concentration in Europe and North Asia but a scarcity in relatively low latitudes of the Northern Hemisphere. Herein, we report fossil endocarps of the genus from the late Pliocene Heqing Basin of northwestern Yunnan, South China, which are assigned to two species, namely S. alveolatisemina and S. heqingensis Huang et Zhou sp. nov. Sambucus alveolatisemina has been formerly described from the similar geological horizon of the nearby Lanping Basin in northwestern Yunnan and possibly represents the fossil equivalent of S. adnata, an extant species commonly seen in this and neighboring regions. Sambucus heqingensis is newly erected due to its exceptionally slender endocarp shape together with the irregularly ridged endocarp surface and straight lateral margins. Our fossil discovery, in combination with the two fossil taxa from the late Pliocene Lanping Basin, suggests that the diversity of Sambucus might have risen in South China by the late Pliocene. We conclude that, as compared to Europe and North Asia, the distribution and diversification of the genus in South China with much lower latitudes is likely to be a recent event. This can be properly explained by the fact that Sambucus is generally a temperate element while the climate in South China in prior to the Pliocene might be too warm for its inhabitation. We propose a hypothesis that the colonization and diversification of the genus in other low-latitude regions of the Northern Hemisphere might have been similarly late in time.</t>
  </si>
  <si>
    <t>[Huang, Yong-Jiang; Hu, Jin-Jin; Jia, Lin-Bo; Zhou, Zhe-Kun] Chinese Acad Sci, Kunming Inst Bot, Key Lab Plant Biodivers &amp; Biogeog East Asia, Kunming 650201, Yunnan, Peoples R China; [Zhu, Hai] Shangrao Normal Univ, Coll Life Sci, Shangrao 334001, Jiangxi, Peoples R China; [Zhou, Zhe-Kun] Chinese Acad Sci, Key Lab Trop Forest Ecol, Xishuangbanna Trop Bot Garden, Mengla 666303, Yunnan, Peoples R China</t>
  </si>
  <si>
    <t>Chinese Academy of Sciences; Kunming Institute of Botany, CAS; Shangrao Normal University; Chinese Academy of Sciences; Xishuangbanna Tropical Botanical Garden, CAS</t>
  </si>
  <si>
    <t>Huang, YJ (通讯作者)，Chinese Acad Sci, Kunming Inst Bot, Key Lab Plant Biodivers &amp; Biogeog East Asia, Kunming 650201, Yunnan, Peoples R China.</t>
  </si>
  <si>
    <t>Zhou, Zhekun/0000-0002-0710-2128; Huang, Yong-Jiang/0000-0003-1898-6501</t>
  </si>
  <si>
    <t>National Natural Science Foundation of China [31670216, 41972023]; Ten-thousand Talents Program of Yunnan Province [YNWR-QNBJ-2019-261]; West Light Foundation of the Chinese Academy of Sciences</t>
  </si>
  <si>
    <t>National Natural Science Foundation of China(National Natural Science Foundation of China (NSFC)); Ten-thousand Talents Program of Yunnan Province; West Light Foundation of the Chinese Academy of Sciences(Chinese Academy of Sciences)</t>
  </si>
  <si>
    <t>This work is supported by the National Natural Science Foundation of China (Nos. 31670216, 41972023), the Ten-thousand Talents Program of Yunnan Province (YNWR-QNBJ-2019-261), and the West Light Foundation of the Chinese Academy of Sciences to Y.-J. Huang.</t>
  </si>
  <si>
    <t>1867-1594</t>
  </si>
  <si>
    <t>1867-1608</t>
  </si>
  <si>
    <t>PALAEOBIO PALAEOENV</t>
  </si>
  <si>
    <t>Palaeobiodiversity Palaeoenvironments</t>
  </si>
  <si>
    <t>10.1007/s12549-021-00519-7</t>
  </si>
  <si>
    <t>Biodiversity Conservation; Paleontology</t>
  </si>
  <si>
    <t>Biodiversity &amp; Conservation; Paleontology</t>
  </si>
  <si>
    <t>YE6IL</t>
  </si>
  <si>
    <t>WOS:000741226800001</t>
  </si>
  <si>
    <t>Cao, YR; Ma, YP; Li, ZH; Liu, XF; Liu, DT; Qu, SP; Ma, H</t>
  </si>
  <si>
    <t>Cao, Yurong; Ma, Yongpeng; Li, Zhenghong; Liu, Xiongfang; Liu, Detuan; Qu, Suping; Ma, Hong</t>
  </si>
  <si>
    <t>Genetic Diversity and Population Structure of Rhododendron longipedicellatum, an Endangered Species</t>
  </si>
  <si>
    <t>TROPICAL CONSERVATION SCIENCE</t>
  </si>
  <si>
    <t>conservation genetics; molecular markers; EST-SSR; endangered species; bottleneck effect</t>
  </si>
  <si>
    <t>HETEROZYGOTE-EXCESS; NULL ALLELES; ERICACEAE; FREQUENCY; CONSEQUENCES; CONSERVATION; ADAPTATION; HISTORY; BIOLOGY; MARKERS</t>
  </si>
  <si>
    <t>Rhododendron longipedicellatum is an endangered species endemic to southeastern Yunnan, China. Assessment of genetic variation is critical for protecting endangered species. Therefore, we used EST-SSR markers to analyze the genetic characteristics of R. longipedicellatum. The results revealed high genetic diversity at the species level (He = 0.559, N-A = 9.529) and within populations (He = 0.507, N-A = 5.910) and moderate genetic differentiation between populations (F-ST = 0.083). In addition, more genetic variation existed within populations (91.25%) compared with variation among populations (8.75%). The STRUCTURE analysis showed that 150 individuals from five existing populations could best be divided into two genetic groups. At the population level, the neighbor-joining (NJ) tree and principal coordinates analysis (PCoA) analyses also divided them into two groups. In addition, Bottleneck analyses using the Two-Phase Model (TPM) and Stepwise Mutation Model (SMM) as well as the Garza-Williamson Index revealed widespread signatures of bottleneck events. These results provide vital information for scientifically formulating conservation strategies for the endangered R. longipedicellatum.</t>
  </si>
  <si>
    <t>Cao, Yurong</t>
  </si>
  <si>
    <t>[Cao, Yurong; Li, Zhenghong; Liu, Xiongfang; Ma, Hong] Chinese Acad Forestry, Inst Highland Forest Sci, Kunming, Yunnan, Peoples R China; [Ma, Yongpeng; Liu, Detuan] Chinese Acad Sci, Kunming Inst Bot, Yunnan Key Lab Integrat Conservat Plant Species E, Kunming, Yunnan, Peoples R China; [Qu, Suping] Yunnan Acad Agr Sci, Flower Res Inst, Kunming, Yunnan, Peoples R China; [Ma, Hong] Natl Forestry &amp; Grassland Adm, Key Lab Breeding &amp; Utilizat Resource Insects, Kunming, Yunnan, Peoples R China</t>
  </si>
  <si>
    <t>Chinese Academy of Forestry; Chinese Academy of Sciences; Kunming Institute of Botany, CAS; Yunnan Academy of Agricultural Sciences</t>
  </si>
  <si>
    <t>Ma, H (通讯作者)，Chinese Acad Forestry, Inst Highland Forest Sci, Kunming, Yunnan, Peoples R China.;Qu, SP (通讯作者)，Yunnan Acad Agr Sci, Flower Res Inst, Kunming, Yunnan, Peoples R China.</t>
  </si>
  <si>
    <t>qsp@yaas.org.cn; hortscience@163.com</t>
  </si>
  <si>
    <t>Fundamental Research Funds for the Central Non-profit Research Institution of the Chinese Academy of Forestry [CAFYBB2019ZB007]; Biodiversity Survey and Assessment Project of the Ministry of Ecology and Environment, China [2019HJ2096001006]; Ten Thousand Talent Program of Yunnan Province [YNWR-QNBJ-2019-010, YNWR-QNBJ-2018-174]; Young and middle-aged academic and technical leaders in Yunnan Province reserve talents [2018HB066]</t>
  </si>
  <si>
    <t>Fundamental Research Funds for the Central Non-profit Research Institution of the Chinese Academy of Forestry; Biodiversity Survey and Assessment Project of the Ministry of Ecology and Environment, China; Ten Thousand Talent Program of Yunnan Province; Young and middle-aged academic and technical leaders in Yunnan Province reserve talents</t>
  </si>
  <si>
    <t>The author(s) disclosed receipt of the following financial support for the research, authorship, and/or publication of this article: This work was supported by the Fundamental Research Funds for the Central Non-profit Research Institution of the Chinese Academy of Forestry (CAFYBB2019ZB007); the Biodiversity Survey and Assessment Project of the Ministry of Ecology and Environment, China (2019HJ2096001006); the Ten Thousand Talent Program of Yunnan Province (YNWR-QNBJ-2019-010; YNWR-QNBJ-2018-174) and the Young and middle-aged academic and technical leaders in Yunnan Province reserve talents (2018HB066).</t>
  </si>
  <si>
    <t>SAGE PUBLICATIONS INC</t>
  </si>
  <si>
    <t>THOUSAND OAKS</t>
  </si>
  <si>
    <t>2455 TELLER RD, THOUSAND OAKS, CA 91320 USA</t>
  </si>
  <si>
    <t>1940-0829</t>
  </si>
  <si>
    <t>TROP CONSERV SCI</t>
  </si>
  <si>
    <t>Trop. Conserv. Sci.</t>
  </si>
  <si>
    <t>10.1177/19400829221078112</t>
  </si>
  <si>
    <t>Biodiversity Conservation</t>
  </si>
  <si>
    <t>Biodiversity &amp; Conservation</t>
  </si>
  <si>
    <t>ZQ5ZZ</t>
  </si>
  <si>
    <t>WOS:000767184000001</t>
  </si>
  <si>
    <t>Zhu, X; Na, X; Zeng, YQ; Xu, YAT; Chai, DY; Yang, HZ; Miao, JQ; Zhang, Y; Yang, FH; Wang, YH; Zhou, YP</t>
  </si>
  <si>
    <t>Zhu, Xiang; Na, Xin; Zeng, Yueqin; Xu, Yangantai; Chai, Dongya; Yang, Huanzhi; Miao, Jingqian; Zhang, Yuan; Yang, Fenghua; Wang, Yuehu; Zhou, Yiping</t>
  </si>
  <si>
    <t>Polyphyllin I combined with doxorubicin shows chemosensitization effect in vivo and reduces immunotoxicity of doxorubicin</t>
  </si>
  <si>
    <t>MOLECULAR &amp; CELLULAR TOXICOLOGY</t>
  </si>
  <si>
    <t>Polyphyllin I; Chemosensitization; Doxorubicin; Immunotoxicity; Hemolysis</t>
  </si>
  <si>
    <t>BREAST-CANCER CELLS; SAPONIN; INHIBITION; RESISTANCE; CISPLATIN</t>
  </si>
  <si>
    <t>Background Polyphyllin I (PPI), a steroidal saponin, exhibits antitumor activity and chemosensitization effect for a broad spectrum of cancer cells, however, its toxicity and chemosensitization effect in vivo is still unknown. Objective We investigated PPI's cytotoxic activity, toxicity and chemosensitization effect and in vitro and in vivo. Results The IC50 values of PPI on MCF-7, H22, and S180 tumor cells were 4.37 mu mol/L, 1.71 mu mol/L, and 0.92 mu mol/L, respectively. The LD50 of PPI was found to be 47.9 mg/kg using ip. injection. PPI at concentrations of 0.3 mg/kg, 0.6 mg/kg, 1.2 mg/kg, and 2.4 mg/kg (1/80 LD50-1/20 LD50) were synergized with DOX of 0.5 mg/kg to inhibit the H22 and S180 tumor growth in vivo by inducing apoptosis without obvious immunotoxicity. PPI exhibited a remarkable hemolytic effect on rabbit erythrocytes (EC50 = 4.3 mu M), while it had no impact in mice. Conclusion Our study revealed that the PPI-sensitized chemotherapeutic effect, when used in safe doses, circumvents immunotoxic side effects of DOX in vivo; thus, helping future clinical research.</t>
  </si>
  <si>
    <t>Zhu, Xiang</t>
  </si>
  <si>
    <t>[Zhu, Xiang; Na, Xin; Xu, Yangantai; Chai, Dongya; Miao, Jingqian; Zhang, Yuan; Yang, Fenghua; Zhou, Yiping] Kunming Med Univ, Sch Pharmaceut Sci, Yunnan Key Lab Pharmacol Nat Prod, Kunming 650500, Yunnan, Peoples R China; [Zhu, Xiang] Third Peoples Hosp Kunming, Dept Pharm, Kunming 650041, Yunnan, Peoples R China; [Zeng, Yueqin] Kunming Med Univ, Yunnan Key Lab Stem Cells &amp; Regenerat Med, Inst Mol &amp; Clin Med, Kunming 650500, Yunnan, Peoples R China; [Yang, Huanzhi] Kunming Med Univ, Calmette Affiliated Hosp, Peoples Hosp Kunming City 1, Kunming 650034, Yunnan, Peoples R China; [Wang, Yuehu] Chinese Acad Sci, Kunming Inst Bot, Key Lab Econ Plants &amp; Biotechnol, Yunnan Key Lab Wild Plant Resources, Kunming 650201, Yunnan, Peoples R China</t>
  </si>
  <si>
    <t>Kunming Medical University; Kunming Medical University; Kunming Medical University; Chinese Academy of Sciences; Kunming Institute of Botany, CAS</t>
  </si>
  <si>
    <t>Zhou, YP (通讯作者)，Kunming Med Univ, Sch Pharmaceut Sci, Yunnan Key Lab Pharmacol Nat Prod, Kunming 650500, Yunnan, Peoples R China.;Wang, YH (通讯作者)，Chinese Acad Sci, Kunming Inst Bot, Key Lab Econ Plants &amp; Biotechnol, Yunnan Key Lab Wild Plant Resources, Kunming 650201, Yunnan, Peoples R China.</t>
  </si>
  <si>
    <t>wangyuehu@mail.kib.ac.cn; zhouypym@foxmail.com</t>
  </si>
  <si>
    <t>National Natural Science Foundation of China [81960739, 32070361]; Joint Application and Basic Research Foundation of Kunming Medical University &amp; Science and Technology Department of Yunnan Province of China [2019FE001(-193), 202001AY070001-180]; Yunnan Major Biopharmaceutical Project [2018ZF002]; Digitalization, development, and application of biotic resources of Kunming Medical University [202002AA100007]; seventh batch of Yunnan specialty plant polysaccharide engineering research center construction plan [2019-57]; Innovative Research Team Program in Science and Technology in Kunming Medical University [CXTD202003]</t>
  </si>
  <si>
    <t>National Natural Science Foundation of China(National Natural Science Foundation of China (NSFC)); Joint Application and Basic Research Foundation of Kunming Medical University &amp; Science and Technology Department of Yunnan Province of China; Yunnan Major Biopharmaceutical Project; Digitalization, development, and application of biotic resources of Kunming Medical University; seventh batch of Yunnan specialty plant polysaccharide engineering research center construction plan; Innovative Research Team Program in Science and Technology in Kunming Medical University</t>
  </si>
  <si>
    <t>This work was supported by grants from the National Natural Science Foundation of China (No. 81960739 and 32070361), by grants from the Joint Application and Basic Research Foundation of Kunming Medical University &amp; Science and Technology Department of Yunnan Province of China (grant no. 2019FE001(-193) and 202001AY070001-180), Yunnan Major Biopharmaceutical Project (grant no. 2018ZF002), Digitalization, development, and application of biotic resources of Kunming Medical University (202002AA100007), the seventh batch of Yunnan specialty plant polysaccharide engineering research center construction plan (2019-57) and Innovative Research Team Program in Science and Technology in Kunming Medical University (CXTD202003).</t>
  </si>
  <si>
    <t>KOREAN SOCIETY TOXICOGENOMICS &amp; TOXICOPROTEOMICS-KSTT</t>
  </si>
  <si>
    <t>GYEONGGI-DO</t>
  </si>
  <si>
    <t>HANYANG UNIV, SCI &amp; TECHNOL BLDG 1, RM 423, SA-DONG, SANGROK-GU, ANSAN, GYEONGGI-DO, 426 791, SOUTH KOREA</t>
  </si>
  <si>
    <t>1738-642X</t>
  </si>
  <si>
    <t>2092-8467</t>
  </si>
  <si>
    <t>MOL CELL TOXICOL</t>
  </si>
  <si>
    <t>Mol. Cell. Toxicol.</t>
  </si>
  <si>
    <t>10.1007/s13273-021-00206-w</t>
  </si>
  <si>
    <t>Biochemistry &amp; Molecular Biology; Toxicology</t>
  </si>
  <si>
    <t>2C9ZN</t>
  </si>
  <si>
    <t>WOS:000741933200001</t>
  </si>
  <si>
    <t>Cavalcante, RN; Santos, ACS; Rodrigues, RAS; Napoleao, ACB; Balogun, SO; de Andrade, BRM; Fett, CA; Zavala, AAZ; Arunachalam, K; de Oliveira, RG</t>
  </si>
  <si>
    <t>Cavalcante, Ramirie N.; Santos, Adeliana C. S.; Rodrigues, Rosilene Andrade Silva; Napoleao, Amanda Colichio Bini; Balogun, Sikiru O.; de Andrade, Benedito R. M.; Fett, Carlos A.; Zavala, Arturo A. Z.; Arunachalam, Karuppusamy; de Oliveira, Ruberlei G.</t>
  </si>
  <si>
    <t>Wheelchair basketball improves the treatment of urinary tract infection in people with motor disabilities: a clinical trial</t>
  </si>
  <si>
    <t>REVISTA DA ASSOCIACAO MEDICA BRASILEIRA</t>
  </si>
  <si>
    <t>C-reactive protein; Klebsiella pneumoniae; Interleukin-6; Escherichia coli; Sports medicine; Quality of life</t>
  </si>
  <si>
    <t>RENAL-FUNCTION; EXERCISE; MARKERS</t>
  </si>
  <si>
    <t>OBJECTIVE: Few studies on physical medicine and rehabilitation analyze the benefit of wheelchair basketball in people with motor disabilities. Given these, this study aimed to investigate the effect of the intervention of wheelchair basketball on urinary tract infection in people with motor disabilities. METHODS: A 12-month experimental follow-up was conducted in a single-center study. A total of 48 male individuals aged 18-55 years were allocated to the control group and experimental group. The experimental group practiced wheelchair basketball for 2 h, twice a week. Intra- and intergroup comparisons were made pre- and post-interventions over urinary tract infection. RESULTS: There was a significant improvement in urinary tract infection and urine culture in pre- and post-intervention antibiograms, respectively. Moreover, the intergroup comparison presented a decrease in infection caused by Klebsiella pneumoniae, as well as an increase in the time variability of partially activated thromboplastin, average corpuscular hemoglobin, and hemoglobin and platelets. In the experimental group, there was an increase in hemoglobin and hematocrit and a decrease in glycated hemoglobin (%HbA1(C)). On the intragroup comparison, there was a reduction of triiodothyronine (T3), %HbA1(C), interleukin-6 pre-intervention, and C-reactive protein post-intervention. CONCLUSIONS: There was a decrease in urinary tract infection and improvement in biochemical, immunological, and microbiological biomarkers evaluated with physical exercise practice by wheelchair basketball, as well as by multiprofessional follow-up and health guidance.</t>
  </si>
  <si>
    <t>Cavalcante, Ramirie N.</t>
  </si>
  <si>
    <t>[Cavalcante, Ramirie N.; Santos, Adeliana C. S.; Rodrigues, Rosilene Andrade Silva; de Andrade, Benedito R. M.; de Oliveira, Ruberlei G.] Univ Fed Mato Grosso, Programa Posgrad Educ Fis, Cuiaba, MT, Brazil; [Santos, Adeliana C. S.] Chinese Acad Sci, Kunming Inst Bot, Key Lab Econ Plants &amp; Biotechnol, Yunnan Key Lab Wild Plant Resources, Kunming, Yunnan, Peoples R China; [Rodrigues, Rosilene Andrade Silva; Balogun, Sikiru O.; Fett, Carlos A.; de Oliveira, Ruberlei G.] Univ Fed Mato Grosso, Fac Med, Programa Posgrad Ciencias Saude, Cuiaba, MT, Brazil; [Napoleao, Amanda Colichio Bini; de Oliveira, Ruberlei G.] Hosp Univ Julio Muller, Programa Posgrad Ciencias Aplicadas &amp; Atencao Hos, Cuiaba, MT, Brazil; [Balogun, Sikiru O.] Fundacao Univ Fed Grande Dourados, Fac Ciencias Saude, Programa Posgrad Ciencias Saude, Dourados, MS, Brazil; [Fett, Carlos A.; Arunachalam, Karuppusamy] Univ Fed Mato Grosso, Programa Posgrad Propriedade Intelectual Traferen, Cuiaba, MT, Brazil; [Zavala, Arturo A. Z.] Univ Fed Mato Grosso, Fac Econ, Cuiaba, MT, Brazil</t>
  </si>
  <si>
    <t>Universidade Federal de Mato Grosso; Chinese Academy of Sciences; Kunming Institute of Botany, CAS; Universidade Federal de Mato Grosso; Universidade Federal da Grande Dourados; Universidade Federal de Mato Grosso; Universidade Federal de Mato Grosso</t>
  </si>
  <si>
    <t>de Oliveira, RG (通讯作者)，Univ Fed Mato Grosso, Programa Posgrad Educ Fis, Cuiaba, MT, Brazil.;de Oliveira, RG (通讯作者)，Univ Fed Mato Grosso, Fac Med, Programa Posgrad Ciencias Saude, Cuiaba, MT, Brazil.;de Oliveira, RG (通讯作者)，Hosp Univ Julio Muller, Programa Posgrad Ciencias Aplicadas &amp; Atencao Hos, Cuiaba, MT, Brazil.</t>
  </si>
  <si>
    <t>ruberlei_godinho@hotmail.com</t>
  </si>
  <si>
    <t>de Oliveira, Ruberlei Godinho/S-8828-2019; Arunachalam, Karuppusamy/G-5023-2018</t>
  </si>
  <si>
    <t>de Oliveira, Ruberlei Godinho/0000-0003-2823-7459; , AMANDA C. BINI NAPOLEAO/0000-0001-7547-986X; Zavala Zavala, Arturo Alejandro/0000-0002-8057-6135; Rodrigues, Rosilene/0000-0002-5164-2199; Arunachalam, Karuppusamy/0000-0001-9146-7068; Balogun, Sikiru Olaitan/0000-0002-4797-6129</t>
  </si>
  <si>
    <t>Programa Pesquisa para o SUS: gestao compartilhada em saude (PPSUS) [003/2017]; Fundacao de Amparo a Pesquisa e Inovacao do Estado de Mato Grosso (FAPEMAT); Ministerio da Saude (MS); Departamento de Ciencia e Tecnologia da Secretaria de Ciencia, Tecnologia e Insumos Estrategicos (Decit/SCTIE/MS); Conselho Nacional de Desenvolvimento Cientifico e Tecnologico (CNPq); Secretaria de Estado da Saude de Mato Grosso (SES); National Post-Doctoral Fellowship (CAPES/PNPD)</t>
  </si>
  <si>
    <t>Programa Pesquisa para o SUS: gestao compartilhada em saude (PPSUS); Fundacao de Amparo a Pesquisa e Inovacao do Estado de Mato Grosso (FAPEMAT); Ministerio da Saude (MS); Departamento de Ciencia e Tecnologia da Secretaria de Ciencia, Tecnologia e Insumos Estrategicos (Decit/SCTIE/MS); Conselho Nacional de Desenvolvimento Cientifico e Tecnologico (CNPq)(Conselho Nacional de Desenvolvimento Cientifico e Tecnologico (CNPQ)); Secretaria de Estado da Saude de Mato Grosso (SES); National Post-Doctoral Fellowship (CAPES/PNPD)</t>
  </si>
  <si>
    <t>This study was financially supported by the Programa Pesquisa para o SUS: gestao compartilhada em saude (PPSUS) - Edital no 003/2017 da Fundacao de Amparo a Pesquisa e Inovacao do Estado de Mato Grosso (FAPEMAT), em parceria com o Ministerio da Saude (MS), por meio do Departamento de Ciencia e Tecnologia da Secretaria de Ciencia, Tecnologia e Insumos Estrategicos (Decit/SCTIE/MS), com o Conselho Nacional de Desenvolvimento Cientifico e Tecnologico (CNPq) e com a Secretaria de Estado da Saude de Mato Grosso (SES). RGO was recipient of National Post-Doctoral Fellowship (CAPES/PNPD).</t>
  </si>
  <si>
    <t>ASSOC MEDICA BRASILEIRA</t>
  </si>
  <si>
    <t>SAO PAULO</t>
  </si>
  <si>
    <t>RUA SAO CARLOS DO PINHAL 324, CAIXA POSTAL 8904, SAO PAULO, SP, BRAZIL</t>
  </si>
  <si>
    <t>1806-9282</t>
  </si>
  <si>
    <t>REV ASSOC MED BRAS</t>
  </si>
  <si>
    <t>Rev. Assoc. Med. Bras.</t>
  </si>
  <si>
    <t>10.1590/1806-9282.20210896</t>
  </si>
  <si>
    <t>1N0PR</t>
  </si>
  <si>
    <t>WOS:000800366600005</t>
  </si>
  <si>
    <t>de Paula, CC; Shimoya-Bittencourt, W; Passos, JPC; Paula, CAVD; Arunachalam, K; Fontes, CJF; de Oliveira, RG</t>
  </si>
  <si>
    <t>de Paula, Cristiane Coimbra; Shimoya-Bittencourt, Walkiria; Passos, Joao Pedro Castoldo; Paula, Caroline Aquino Vieira De Lamare; Arunachalam, Karuppusamy; Fontes, Cor Jesus Fernandes; de Oliveira, Ruberlei Godinho</t>
  </si>
  <si>
    <t>Prevalence of molecular and serological tests of the new coronavirus (SARS-CoV-2) in Carlos Chagas laboratory - Sabin group in Cuiaba</t>
  </si>
  <si>
    <t>Coronavirus; Reverse Transcriptase PCR; Serology; Immunoglobulin G; Immunoglobulin M</t>
  </si>
  <si>
    <t>BACKGROUND: Coronavirus disease 2019, which is caused by the new severe acute respiratory syndrome coronavirus 2, became a pandemic in 2020 with a mortality rate of 2% and high transmissibility, thus making studies with an epidemiological profile essential. OBJECTIVES: The aim of this study was to characterize the population that performed the severe acute respiratory syndrome coronavirus 2 molecular and serological tests in Carlos Chagas Laboratory - Sabin Group in Cuiaba. METHODS: A retrospective cross-sectional study was carried out with all the samples collected from nasal swab tested by RT-PCR and serological for severe acute respiratory syndrome coronavirus 2 IgM/IgG from the population served between April and December 2020. FINDINGS: In the analysis period, 23,631 PCR-coronavirus disease 2019 examinations were registered. Of this total number of cases, 7,649 (32.37%) tested positive, while 15,982 (66.31%) did not detect viral RNA and 374 of the results as undetermined. The peak of positive RT-PCR performed in July (n=5,878), with 35.65% (n=2,096). A total of 8,884 tests were performed on serological test SOROVID-19, with a peak of 1,169 (57.16%) of the positive tests for severe acute respiratory syndrome coronavirus 2 in July. MAIN CONCLUSIONS: Molecular positivity and serological tests, both peaked in July 2020, were mostly present in women aged 20-59 years, characterizing Cuiaba as the epicenter of the Midwest region in this period due to the high rate of transmissibility of severe acute respiratory syndrome coronavirus 2.</t>
  </si>
  <si>
    <t>de Paula, Cristiane Coimbra</t>
  </si>
  <si>
    <t>[de Paula, Cristiane Coimbra; Shimoya-Bittencourt, Walkiria; Passos, Joao Pedro Castoldo] Ctr Univ Varzea Grande, Varzea Grande, MT, Brazil; [de Paula, Cristiane Coimbra] Lab Carlos Chagas, Cuiaba, MT, Brazil; [Paula, Caroline Aquino Vieira De Lamare] Scan Rastreamento Med Diagnost, Cuiaba, MT, Brazil; [Arunachalam, Karuppusamy] Chinese Acad Sci, Kunming Inst Bot, Key Lab Econ Plants &amp; Biotechnol, Kunming, Yunnan, Peoples R China; [Arunachalam, Karuppusamy] Yunnan Key Lab Wild Plant Resources, Kunming, Yunnan, Peoples R China; [Fontes, Cor Jesus Fernandes] Univ Fed Mato Grosso, Hosp Univ Julio Muller, Cuiaba, MT, Brazil; [de Oliveira, Ruberlei Godinho] Univ Fed Mato Grosso, Hosp Univ Julio Muller, Ciencias Aplicadas Atencao Hosp, Cuiaba, MT, Brazil</t>
  </si>
  <si>
    <t>Chinese Academy of Sciences; Kunming Institute of Botany, CAS; Universidade Federal de Mato Grosso; Universidade Federal de Mato Grosso</t>
  </si>
  <si>
    <t>de Paula, CC (通讯作者)，Ctr Univ Varzea Grande, Varzea Grande, MT, Brazil.;de Paula, CC (通讯作者)，Lab Carlos Chagas, Cuiaba, MT, Brazil.</t>
  </si>
  <si>
    <t>cristianepaula4@gmail.com</t>
  </si>
  <si>
    <t>de Oliveira, Ruberlei Godinho/0000-0003-2823-7459; Arunachalam, Karuppusamy/0000-0001-9146-7068; Shimoya Bittencourt, Walkiria/0000-0003-2350-8897; Coimbra, Cristiane/0000-0001-7334-9412</t>
  </si>
  <si>
    <t>0104-4230</t>
  </si>
  <si>
    <t>10.1590/1806-9282.20210769</t>
  </si>
  <si>
    <t>1C2GU</t>
  </si>
  <si>
    <t>WOS:000792944900013</t>
  </si>
  <si>
    <t>Chen, DJ; Yuan, S; Zhang, P; An, Q; Zou, JB; Yuan, CM; Zhao, LH; Hu, ZX; Hao, XJ</t>
  </si>
  <si>
    <t>Chen, Dao-Jun; Yuan, Shuang; Zhang, Peng; An, Qiao; Zou, Ji-Bin; Yuan, Chun-Mao; Zhao, Li-Hua; Hu, Zhan-Xing; Hao, Xiao-Jiang</t>
  </si>
  <si>
    <t>Two new isoflavones from the roots of Sophora tonkinensis</t>
  </si>
  <si>
    <t>JOURNAL OF ASIAN NATURAL PRODUCTS RESEARCH</t>
  </si>
  <si>
    <t>Fabaceae; Sophora tonkinensis; isoflavone; anti-TMV; alpha-glucosidase inhibitory activity</t>
  </si>
  <si>
    <t>MATRINE-TYPE ALKALOIDS; GLYCOSIDES; CONSTITUENTS; INHIBITION; RHIZOMES; SEEDS</t>
  </si>
  <si>
    <t>Two new isoflavones (1 and 2), as well as eight known ones were isolated from the roots of Sophora tonkinensis Gagnep. Compound 1 represents an unprecedented polymerization pattern constructed by isoflavone and cytisine. Their structures were elucidated by comprehensive spectroscopic data analysis, combined with ECD calculations. Compound 1 displayed significant anti-tobacco mosaic virus (TMV) activity compared with the positive control ningnanmycin. Moreover, compound 6 exhibited potent alpha-glucosidase inhibitory activity with IC50 value of 47.4 mg/L. [GRAPHICS] .</t>
  </si>
  <si>
    <t>Chen, Dao-Jun</t>
  </si>
  <si>
    <t>[Chen, Dao-Jun; Yuan, Shuang; Zhang, Peng; An, Qiao; Zou, Ji-Bin; Yuan, Chun-Mao; Hu, Zhan-Xing; Hao, Xiao-Jiang] Guizhou Med Univ, State Key Lab Funct &amp; Applicat Med Plants, Guiyang 550014, Peoples R China; [Chen, Dao-Jun; Yuan, Shuang] Guizhou Bailing Enterprise Grp Pharmaceut Co Ltd, Anshun 561000, Peoples R China; [Zhang, Peng; An, Qiao; Zou, Ji-Bin; Yuan, Chun-Mao; Hu, Zhan-Xing; Hao, Xiao-Jiang] Key Lab Chem Nat Prod Guizhou Prov, Guiyang 550002, Peoples R China; [Zhang, Peng; An, Qiao; Zou, Ji-Bin; Yuan, Chun-Mao; Hu, Zhan-Xing; Hao, Xiao-Jiang] Chinese Acad Sci, Guiyang 550002, Peoples R China; [Zhang, Peng] Guizhou Univ Tradit Chinese Med, Sch Pharm, Guiyang 550025, Peoples R China; [Zhao, Li-Hua] Yunnan Acad Agr Sci, Inst Biotechnol &amp; Germplasm Resources, Kunming 650204, Yunnan, Peoples R China; [Hao, Xiao-Jiang] Chinese Acad Sci, Kunming Inst Bot, State Key Lab Phytochem &amp; Plant Resources West Ch, Kunming 650201, Yunnan, Peoples R China</t>
  </si>
  <si>
    <t>National Natural Science Foundation of China [U1812403, 32160103]; Science and Technology Department of Guizhou Province [QKH ZC-[2021]-YB181, QKH JC-[2020]-1Y398]; Special Project of Academic Young Cultivation and Innovation Exploration of Guizhou Medical University [QKH PTRC [2018] 5779-60]</t>
  </si>
  <si>
    <t>The work was financially supported by the National Natural Science Foundation of China (U1812403 and 32160103), the Science and Technology Department of Guizhou Province (QKH ZC-[2021]-YB181 and QKH JC-[2020]-1Y398), the Special Project of Academic Young Cultivation and Innovation Exploration of Guizhou Medical University (QKH PTRC [2018] 5779-60).</t>
  </si>
  <si>
    <t>1028-6020</t>
  </si>
  <si>
    <t>1477-2213</t>
  </si>
  <si>
    <t>J ASIAN NAT PROD RES</t>
  </si>
  <si>
    <t>J. Asian Nat. Prod. Res.</t>
  </si>
  <si>
    <t>10.1080/10286020.2022.2077200</t>
  </si>
  <si>
    <t>Plant Sciences; Chemistry, Applied; Chemistry, Medicinal; Pharmacology &amp; Pharmacy</t>
  </si>
  <si>
    <t>2A9SP</t>
  </si>
  <si>
    <t>WOS:000809836500001</t>
  </si>
  <si>
    <t>Zhang, P; Zou, JB; An, Q; Yi, P; Yuan, CM; Huang, LJ; Gu, W; Hu, ZX; Hao, XJ</t>
  </si>
  <si>
    <t>Zhang, Peng; Zou, Ji-Bin; An, Qiao; Yi, Ping; Yuan, Chun-Mao; Huang, Lie-Jun; Gu, Wei; Hu, Zhan-Xing; Hao, Xiao-Jiang</t>
  </si>
  <si>
    <t>Two new cytisine-type alkaloids from the seeds of Thermopsis lanceolata</t>
  </si>
  <si>
    <t>Leguminosae; Thermopsis lanceolata; cytisine-type alkaloids; anti-TMV; insecticidal activity</t>
  </si>
  <si>
    <t>MOSAIC-VIRUS; (-)-CYTISINE; DERIVATIVES</t>
  </si>
  <si>
    <t>Two new (1 and 2) cytisine-type alkaloids that were chemically inseparable isomers (present in a 1:1 ratio) were identified from the seeds of Thermopsis lanceolata R. Br. Their structures were elucidated by comprehensive spectroscopic data analysis (IR, UV, NMR, HRESIMS) and ECD calculation. Compound 1 displayed significant anti-tobacco mosaic virus (TMV) activity, while compounds 1 and 2 displayed moderate insecticidal activities against Aphis fabae with LC50 value of 43.15 and 46.47 mg/L, respectively.</t>
  </si>
  <si>
    <t>[Zhang, Peng] Guizhou Univ Tradit Chinese Med, Sch Pharm, Guiyang 550025, Peoples R China; [Zhang, Peng; Zou, Ji-Bin; An, Qiao; Yi, Ping; Yuan, Chun-Mao; Huang, Lie-Jun; Gu, Wei; Hu, Zhan-Xing; Hao, Xiao-Jiang] Guizhou Med Univ, State Key Lab Funct &amp; Applicat Med Plants, Guiyang 550014, Peoples R China; [Zhang, Peng; Zou, Ji-Bin; An, Qiao; Yi, Ping; Yuan, Chun-Mao; Huang, Lie-Jun; Gu, Wei; Hu, Zhan-Xing; Hao, Xiao-Jiang] Key Lab Chem Nat Prod Guizhou Prov, Guiyang 550002, Peoples R China; [Zhang, Peng; Zou, Ji-Bin; An, Qiao; Yi, Ping; Yuan, Chun-Mao; Huang, Lie-Jun; Gu, Wei; Hu, Zhan-Xing; Hao, Xiao-Jiang] Chinese Acad Sci, Guiyang 550002, Peoples R China; [Hao, Xiao-Jiang] Chinese Acad Sci, Kunming Inst Bot, State Key Lab Phytochem &amp; Plant Resources West Ch, Kunming 650201, Yunnan, Peoples R China</t>
  </si>
  <si>
    <t>Guizhou University of Traditional Chinese Medicine; Guizhou Medical University; Chinese Academy of Sciences; Chinese Academy of Sciences; Kunming Institute of Botany, CAS</t>
  </si>
  <si>
    <t>Hu, ZX; Hao, XJ (通讯作者)，Guizhou Med Univ, State Key Lab Funct &amp; Applicat Med Plants, Guiyang 550014, Peoples R China.;Hu, ZX; Hao, XJ (通讯作者)，Key Lab Chem Nat Prod Guizhou Prov, Guiyang 550002, Peoples R China.;Hu, ZX; Hao, XJ (通讯作者)，Chinese Acad Sci, Guiyang 550002, Peoples R China.;Hao, XJ (通讯作者)，Chinese Acad Sci, Kunming Inst Bot, State Key Lab Phytochem &amp; Plant Resources West Ch, Kunming 650201, Yunnan, Peoples R China.</t>
  </si>
  <si>
    <t>huzhxi88@163.com; haoxj@mail.kib.ac.cn</t>
  </si>
  <si>
    <t>hu, zhanxing/0000-0003-1426-5416; Zhang, Peilin/0000-0003-3874-4948</t>
  </si>
  <si>
    <t>DEC 2</t>
  </si>
  <si>
    <t>10.1080/10286020.2021.2020759</t>
  </si>
  <si>
    <t>7B3OR</t>
  </si>
  <si>
    <t>WOS:000739165200001</t>
  </si>
  <si>
    <t>Colville, L; Hilhorst, HWM; Pritchard, HW</t>
  </si>
  <si>
    <t>Colville, Louise; Hilhorst, Henk W. M.; Pritchard, Hugh W.</t>
  </si>
  <si>
    <t>Editorial to the special issue on Seed Innovation Systems for the 21st Century</t>
  </si>
  <si>
    <t>SEED SCIENCE RESEARCH</t>
  </si>
  <si>
    <t>Colville, Louise</t>
  </si>
  <si>
    <t>[Colville, Louise; Pritchard, Hugh W.] Kew, Royal Bot Gardens, Ardingly, West Sussex, England; [Hilhorst, Henk W. M.] Wageningen Univ &amp; Res, Wageningen, Netherlands; [Hilhorst, Henk W. M.] Univ Cape Town, Dept Cell &amp; Mol Biol, Cape Town, South Africa; [Pritchard, Hugh W.] Chinese Acad Sci, Kunming Inst Bot, Kunming, Peoples R China</t>
  </si>
  <si>
    <t>Royal Botanic Gardens, Kew; Wageningen University &amp; Research; University of Cape Town; Chinese Academy of Sciences; Kunming Institute of Botany, CAS</t>
  </si>
  <si>
    <t>Hilhorst, HWM (通讯作者)，Wageningen Univ &amp; Res, Wageningen, Netherlands.;Hilhorst, HWM (通讯作者)，Univ Cape Town, Dept Cell &amp; Mol Biol, Cape Town, South Africa.</t>
  </si>
  <si>
    <t>henk.hilhorst@wur.nl</t>
  </si>
  <si>
    <t>EDINBURGH BLDG, SHAFTESBURY RD, CB2 8RU CAMBRIDGE, ENGLAND</t>
  </si>
  <si>
    <t>0960-2585</t>
  </si>
  <si>
    <t>1475-2735</t>
  </si>
  <si>
    <t>SEED SCI RES</t>
  </si>
  <si>
    <t>Seed Sci. Res.</t>
  </si>
  <si>
    <t>PII S0960258522000241</t>
  </si>
  <si>
    <t>10.1017/S0960258522000241</t>
  </si>
  <si>
    <t>6M1FM</t>
  </si>
  <si>
    <t>WOS:000888622300001</t>
  </si>
  <si>
    <t>Prasongsom, S; Thammasiri, K; Pritchard, HW</t>
  </si>
  <si>
    <t>Prasongsom, Sasikarn; Thammasiri, Kanchit; Pritchard, Hugh W.</t>
  </si>
  <si>
    <t>Seed dormancy concepts in orchids: Dendrobium cruentum as a model species</t>
  </si>
  <si>
    <t>dendrobium orchid; dormancy; DUST seeds; embryo volume; germination; nitrate; temperature</t>
  </si>
  <si>
    <t>MATURE SEEDS; DESICCATION TOLERANCE; GERMINATION; TERRESTRIAL; LONGEVITY; EVOLUTION; DIVERSIFICATION; TEMPERATURE; MORPHOMETRY; PLANTS</t>
  </si>
  <si>
    <t>Generally, orchids produce dust-like seeds in which endosperm reduction and embryo undifferentiation represent a derived state shared with species in about 11 other plant families. Orchid seeds are proposed to have a special kind of morphological or morphophysiological dormancy. We test this proposition, overcoming several design limitations of earlier studies, specifically that the in vitro germination method for orchid seeds uses pro-oxidants for disinfection and incorporates nitrate in the medium; both 'treatments' might contribute to dormancy breaking, potentially confounding judgement on the depth and nature of the dormant state. Seeds of the tropical orchid Dendrobium cruentum Rchb. f., were sown both in vitro, on a nutrient medium, and ex vitro, on plain agar omitting prior disinfection with sodium hypochlorite. Seeds previously stored and fresh seeds were incubated under combinations of vitro conditions, light treatments, constant or alternating temperatures and nitrate concentration. Seeds of D. cruentum are very small but have a large embryo that occupies most of the seed. Over a range of constant temperature seeds germinated to the spherical protocorm stage just as well ex vitro as in vitro. Neither light nor nitrate were prerequisites for ex vitro germination. The ability of D. cruentum seed to germinate in the absence of environmental or chemical stimuli suggests that mature seed can be non-dormant. Our results support the proposition that neither all DUST seed fit a dormancy class nor all orchids produce morphological or morphophysiological seeds. Finally, embryo/seed volume determinations in orchids may prove as valuable in studies on the evolution and ecology of germination and dormancy as embryo:seed ratios in other angiosperm species.</t>
  </si>
  <si>
    <t>Prasongsom, Sasikarn</t>
  </si>
  <si>
    <t>[Prasongsom, Sasikarn; Thammasiri, Kanchit] Mahidol Univ, Fac Sci, Dept Plant Sci, Bangkok 10400, Thailand; [Pritchard, Hugh W.] Kew, Royal Bot Gardens, Wakehurst, Haywards Heath RH17 6TN, West Sussex, England; [Pritchard, Hugh W.] Chinese Acad Sci, Kunming Inst Bot, 132 Lanhei Rd, Kunming 650201, Yunnan, Peoples R China</t>
  </si>
  <si>
    <t>Mahidol University; Royal Botanic Gardens, Kew; Chinese Academy of Sciences; Kunming Institute of Botany, CAS</t>
  </si>
  <si>
    <t>Pritchard, HW (通讯作者)，Kew, Royal Bot Gardens, Wakehurst, Haywards Heath RH17 6TN, West Sussex, England.;Pritchard, HW (通讯作者)，Chinese Acad Sci, Kunming Inst Bot, 132 Lanhei Rd, Kunming 650201, Yunnan, Peoples R China.</t>
  </si>
  <si>
    <t>hwp@mail.kib.ac.cn</t>
  </si>
  <si>
    <t>Science Achievement Scholarship of Thailand (SAST)</t>
  </si>
  <si>
    <t>S.P. acknowledges receipt of a Science Achievement Scholarship of Thailand (SAST). The Royal Botanic Gardens, Kew receives grant-in-aid from DEFRA.</t>
  </si>
  <si>
    <t>PII S0960258522000198</t>
  </si>
  <si>
    <t>10.1017/S0960258522000198</t>
  </si>
  <si>
    <t>WOS:000888622300009</t>
  </si>
  <si>
    <t>Yang, XY; Pritchard, HW</t>
  </si>
  <si>
    <t>Yang, X-Y; Pritchard, Hugh W.</t>
  </si>
  <si>
    <t>Stimulatory and inhibitory effects of light on Cereus repandus (Cactaceae) seed germination are strongly dependent on spectral quality</t>
  </si>
  <si>
    <t>dark-induced dormancy; light dose; neglected and underutilized species; R-FR light reversibility; seed traits</t>
  </si>
  <si>
    <t>FLUENCE-RESPONSE CURVES; TEMPERATURE; ECOLOGY; TRAITS; SOIL; PENETRATION; EMERGENCE; VIVIPARY; DESERT; FAMILY</t>
  </si>
  <si>
    <t>In small seeds, light often promotes germination and longer-term exposure to darkness reduces light sensitivity. In cacti inhabiting harsh environments, a rapid response to light exposure is potentially advantageous for seedling establishment. We exposed dark-imbibed seeds of the cactus Cereus repandus to doses of red (RED) light and far-red (FR) light. The seeds exhibited positive photoblastism to RED light. Although the initial levels of germination varied between seed lots, the sensitivity to increasing the RED dose did not. As little as 5 min per day for 4 d was sufficient to saturate the light requirement for germination. The effects of RED light were reversed by FR exposure as long as the interval between RED and FR did not extend to 2 d, by which time the seeds had 'committed' to germinate. Dark incubation for 1-2 weeks prior to RED exposure reduced light sensitivity in two seed lots, such that RED only promoted around 20% germination. Phytochrome is assumed to mediate the reversibility of the RED:FR response. High sensitivity to light spectral quality suggests that seeds of C. repandus are able to germinate quickly in high-quality microsites, but seed burial or shading may commit the seeds to form a soil seed bank. The light characteristics of the germination trait in this species are typical of many small seeded species of the drylands.</t>
  </si>
  <si>
    <t>Yang, X-Y</t>
  </si>
  <si>
    <t>[Yang, X-Y; Pritchard, Hugh W.] Chinese Acad Sci, Kunming Inst Bot, 132 Lanhei Rd, Kunming 650201, Yunnan, Peoples R China; [Yang, X-Y] Chinese Acad Sci, Xishuangbanna Trop Bot Garden, Mengla 666303, Yunnan, Peoples R China; [Pritchard, Hugh W.] Royal Bot Gardens, Haywards Heath RH17 6TN, W Sussex, England</t>
  </si>
  <si>
    <t>Chinese Academy of Sciences; Kunming Institute of Botany, CAS; Chinese Academy of Sciences; Xishuangbanna Tropical Botanical Garden, CAS; Royal Botanic Gardens, Kew</t>
  </si>
  <si>
    <t>Pritchard, HW (通讯作者)，Chinese Acad Sci, Kunming Inst Bot, 132 Lanhei Rd, Kunming 650201, Yunnan, Peoples R China.;Pritchard, HW (通讯作者)，Royal Bot Gardens, Haywards Heath RH17 6TN, W Sussex, England.</t>
  </si>
  <si>
    <t>Yang, Xiangyun/0000-0002-6965-7751; Pritchard, Hugh/0000-0002-2487-6475</t>
  </si>
  <si>
    <t>Chinese Academy of Sciences, Xishuangbanna Tropical Botanical Garden, Jilin Agricultural University, PR China; Millennium Seed Bank Project; Defra</t>
  </si>
  <si>
    <t>Chinese Academy of Sciences, Xishuangbanna Tropical Botanical Garden, Jilin Agricultural University, PR China; Millennium Seed Bank Project; Defra(Department for Environment, Food &amp; Rural Affairs (DEFRA))</t>
  </si>
  <si>
    <t>X-Y. Y. acknowledges financial support from the Chinese Academy of Sciences, Xishuangbanna Tropical Botanical Garden, Jilin Agricultural University, PR China. X-Y. Y. and H.W.P. received funding from the Millennium Seed Bank Project and The Royal Botanic Gardens, Kew, receives grant-in-aid from Defra.</t>
  </si>
  <si>
    <t>PII S0960258522000150</t>
  </si>
  <si>
    <t>10.1017/S0960258522000150</t>
  </si>
  <si>
    <t>WOS:000850365700001</t>
  </si>
  <si>
    <t>Samarakoon, BC; Wanasinghe, DN; Bhat, J; Chomnunti, P</t>
  </si>
  <si>
    <t>Samarakoon, Binu C.; Wanasinghe, Dhanushka N.; Bhat, Jayarama; Chomnunti, Putarak</t>
  </si>
  <si>
    <t>Taxonomy and phylogeny of Smaragdiniseta musae sp. nov. and Albifimbria verrucaria (Hypocreales, Stachybotryaceae) on Musa from Thailand</t>
  </si>
  <si>
    <t>BIODIVERSITY DATA JOURNAL</t>
  </si>
  <si>
    <t>one new species; banana; fungi; host; hyaline conidia; Musaceae; myrothecium-like; saprobes</t>
  </si>
  <si>
    <t>FUNGI; PROBABILITY; BOOTSTRAP</t>
  </si>
  <si>
    <t>Smaragdiniseta musae is introduced as a leaf-based novel saprobic species from Musa. Multi-gene phylogenetic analyses of internal transcribed spacer (ITS), RNA polymerase II second largest subunit (rpb2) and beta-tubulin (tub2) data support the taxonomic placement of the new collection in Smaragdiniseta (Hypocreales, Stachybotryaceae). The novel species is characterised by cup-shaped sporodochia covered by numerous peripheral setae and simple hyaline, guttulate conidia produced by the ultimate branches (phialides) of conidiophores.</t>
  </si>
  <si>
    <t>Samarakoon, Binu C.</t>
  </si>
  <si>
    <t>[Samarakoon, Binu C.] Mae Fah Luang Univ, Ctr Excellence Fungal Res, Chiang Rai 57100, Thailand; [Samarakoon, Binu C.] Mae Fah Luang Univ, Sch Sci, Chiang Rai 57100, Thailand; [Wanasinghe, Dhanushka N.] World Agroforestry ICRAF, China Program, CIFOR, Kunming 650201, Peoples R China; [Wanasinghe, Dhanushka N.] Chinese Acad Sci, Kunming Inst Bot, Ctr Mt Futures CMF, Honghe 654400, Yunnan, Peoples R China; [Bhat, Jayarama] Goa Univ, Dept Bot, Goa, India; [Chomnunti, Putarak] Mae Fah Luang Univ, Sch Sci, Chiang Rai 57100, Thailand</t>
  </si>
  <si>
    <t>Mae Fah Luang University; Mae Fah Luang University; Chinese Academy of Sciences; Kunming Institute of Botany, CAS; Goa University; Mae Fah Luang University</t>
  </si>
  <si>
    <t>putarak.cho@mfu.ac.th</t>
  </si>
  <si>
    <t>National Research Council of Thailand (NRCT) [N41A640165]; Mae Fah Luang University; Reinventing University; CAS President's International Fellowship Initiative [2021FYB0005]; National Science Foundation of China (NSFC) [32150410362]; Postdoctoral Fund from the Human Resources and Social Security Bureau of Yunnan Province</t>
  </si>
  <si>
    <t>National Research Council of Thailand (NRCT)(National Research Council of Thailand (NRCT)); Mae Fah Luang University; Reinventing University; CAS President's International Fellowship Initiative; National Science Foundation of China (NSFC)(National Natural Science Foundation of China (NSFC)); Postdoctoral Fund from the Human Resources and Social Security Bureau of Yunnan Province</t>
  </si>
  <si>
    <t>This project is funded by the National Research Council of Thailand (NRCT) grant number N41A640165. Binu C. Samarakoon extends her heartfelt gratitude to Mae Fah Luang University for granting the tuition scholarship for her Ph.D. studies and research and the financial support of the dissertation support grant. Putarak Chomnunti would like to thank Reinventing University 2021 for supporting the research assistant. Binu C. Samarakoon also expresses her sincere gratitude to Dr. Samantha Karunarathna and Digvijayini Bundhun for their valuable support in manuscript writing and editing. Dhanushka Wanasinghe would like to thank CAS President's International Fellowship Initiative (grant number 2021FYB0005) , the National Science Foundation of China (NSFC) under the project code 32150410362 and the Postdoctoral Fund from the Human Resources and Social Security Bureau of Yunnan Province.</t>
  </si>
  <si>
    <t>1314-2836</t>
  </si>
  <si>
    <t>1314-2828</t>
  </si>
  <si>
    <t>BIODIVERS DATA J</t>
  </si>
  <si>
    <t>Biodiver. Data J.</t>
  </si>
  <si>
    <t>e89360</t>
  </si>
  <si>
    <t>10.3897/BDJ.10.e89360</t>
  </si>
  <si>
    <t>3P0BL</t>
  </si>
  <si>
    <t>WOS:000837200600001</t>
  </si>
  <si>
    <t>Yang, ST; Liu, SB</t>
  </si>
  <si>
    <t>Yang, Shu-Ting; Liu, Shu-Bai</t>
  </si>
  <si>
    <t>Cardiovascular protective properties of gastrodin</t>
  </si>
  <si>
    <t>ASIAN PACIFIC JOURNAL OF TROPICAL BIOMEDICINE</t>
  </si>
  <si>
    <t>Gastrodin; Cardiovascular diseases; Myocardial ischemia-reperfusion injury; Gastrodia elata Blume; Anti-atherosclerosis; Cardio-protection</t>
  </si>
  <si>
    <t>DIABETES-MELLITUS; ISCHEMIA; CELLS; ANGIOGENESIS; INFLAMMATION; ATTENUATION; ACTIVATION; MECHANISMS; EXPRESSION; PATHWAY</t>
  </si>
  <si>
    <t>Cardiovascular diseases cause significant morbidity and mortality worldwide, incurring a major public health burden. Gastrodia elata Blume is a traditional Chinese herbal medicine that has been widely used to treat central nervous system and cardiovascular diseases. Gastrodin, as the major active component in Gastrodia elata Blume, can confer protection against cardiovascular diseases. In this review, we summarize the anti-inflammatory actions, anti-cardiac hypertrophy, anti-hypertension, anti-atherosclerosis, and angiogenic effects of gastrodin, as well as its protective effects on vascular cells and against myocardial ischemia-reperfusion injury. The medical potential of gastrodin in diabetes-related cardiovascular diseases is also discussed.</t>
  </si>
  <si>
    <t>Yang, Shu-Ting</t>
  </si>
  <si>
    <t>[Yang, Shu-Ting] Yunnan Univ, Sch Life Sci, Kunming 650091, Yunnan, Peoples R China; [Liu, Shu-Bai] Kunming Inst Bot, Chinese Acad Sci, State Key Lab Phytochemistry &amp; Plant Resources Wes, Kunming 650201, Yunnan, Peoples R China</t>
  </si>
  <si>
    <t>Liu, SB (通讯作者)，Kunming Inst Bot, Chinese Acad Sci, State Key Lab Phytochemistry &amp; Plant Resources Wes, Kunming 650201, Yunnan, Peoples R China.</t>
  </si>
  <si>
    <t>WOLTERS KLUWER MEDKNOW PUBLICATIONS</t>
  </si>
  <si>
    <t>MUMBAI</t>
  </si>
  <si>
    <t>WOLTERS KLUWER INDIA PVT LTD , A-202, 2ND FLR, QUBE, C T S  NO 1498A-2 VILLAGE MAROL, ANDHERI EAST, MUMBAI, Maharashtra, INDIA</t>
  </si>
  <si>
    <t>2221-1691</t>
  </si>
  <si>
    <t>2588-9222</t>
  </si>
  <si>
    <t>ASIAN PAC J TROP BIO</t>
  </si>
  <si>
    <t>Asian Pac. Trop. Biomed.</t>
  </si>
  <si>
    <t>10.4103/2221-1691.340558</t>
  </si>
  <si>
    <t>Tropical Medicine</t>
  </si>
  <si>
    <t>0Z0VW</t>
  </si>
  <si>
    <t>WOS:000790799800001</t>
  </si>
  <si>
    <t>Ming, WK; Zhang, ZZ; Li, YA; Yi, P; Wang, MM; An, ZB; Li, F; Gu, W; Hao, XJ; Yuan, CM</t>
  </si>
  <si>
    <t>Ming, Weikang; Zhang, Zizhen; Li, Yanan; Yi, Ping; Wang, Miaomiao; An, Zhengbin; Li, Fei; Gu, Wei; Hao, Xiaojiang; Yuan, Chunmao</t>
  </si>
  <si>
    <t>Chemical Constituents of the Aerial Part of Valeriana officinalis var. latifolia Miq. With COX-2 Inhibitory Activity</t>
  </si>
  <si>
    <t>NATURAL PRODUCT COMMUNICATIONS</t>
  </si>
  <si>
    <t>Valeriana officinalis var; latifolia Miq; valerianaceae; iridoids; lignans; COX-2 inhibitors</t>
  </si>
  <si>
    <t>LIGNANS; ROOTS</t>
  </si>
  <si>
    <t>Twelve compounds, including a new iridoid (1) and 11 known compounds, were obtained from the aerial part of Valeriana officinalis var. latifolia Miq. Their structures were assigned by spectroscopic and mass spectrometric methods. All isolates were screened in vitro for cyclooxygenase-2 (COX-2) inhibitory activity. Two compounds (9 and 10) exhibited significant COX-2 inhibitory activity, with IC50 values ranging from 0.67 to 6.77 mu M. The possible recognition mechanism between compound 9 and COX-2 was predicted by molecular docking analysis.</t>
  </si>
  <si>
    <t>Ming, Weikang</t>
  </si>
  <si>
    <t>[Ming, Weikang; Zhang, Zizhen; Li, Yanan; Yi, Ping; Wang, Miaomiao; An, Zhengbin; Li, Fei; Gu, Wei; Hao, Xiaojiang; Yuan, Chunmao] Guizhou Med Univ, State Key Lab Funct &amp; Applicat Med Plants, Guiyang 550014, Peoples R China; [Ming, Weikang; Gu, Wei; Hao, Xiaojiang; Yuan, Chunmao] Guizhou Med Univ, Sch Pharmacuet Sci, Guiyang, Peoples R China; [Ming, Weikang; Zhang, Zizhen; Li, Yanan; Yi, Ping; Wang, Miaomiao; An, Zhengbin; Li, Fei; Gu, Wei; Hao, Xiaojiang; Yuan, Chunmao] Chinese Acad Sci, Key Lab Chem Nat Prod Guizhou Prov, Guiyang, Peoples R China; [Hao, Xiaojiang] Chinese Acad Sci, Kunming Inst Bot, State Key Lab Phytochem &amp; Plant Resources West Ch, Kunming, Yunnan, Peoples R China</t>
  </si>
  <si>
    <t>National Natural Science Foundation of China (NSFC) [U1812403, 81760630]; Science and Technology Plan of Guizhou Province [QKHZC [2018]2824]; Science and Technology Project of Traditional Chinese Medicine; National Medicine of Guizhou Administration of Traditional Chinese Medicine [QZYY-2019-066]; Natural Science and Technology Foundation of Guizhou Province [J[2019]1216]; High-level Innovative Talents in Guizhou Province; Light of the West Talent Cultivation Program of Chinese Academy of Sciences [RZ [2020]82]; 13th Batch of Outstanding Young Scientific and Technological Talents in Guizhou Province [QKHPTRC [2021]5633]; Guizhou Provincial Engineering Research Center for Natural Drugs</t>
  </si>
  <si>
    <t>National Natural Science Foundation of China (NSFC)(National Natural Science Foundation of China (NSFC)); Science and Technology Plan of Guizhou Province; Science and Technology Project of Traditional Chinese Medicine; National Medicine of Guizhou Administration of Traditional Chinese Medicine; Natural Science and Technology Foundation of Guizhou Province; High-level Innovative Talents in Guizhou Province; Light of the West Talent Cultivation Program of Chinese Academy of Sciences; 13th Batch of Outstanding Young Scientific and Technological Talents in Guizhou Province; Guizhou Provincial Engineering Research Center for Natural Drugs</t>
  </si>
  <si>
    <t>The author(s) disclosed receipt of the following financial support for the research, authorship, and/or publication of this article: This research was financially supported by the National Natural Science Foundation of China (NSFC) (Grant No. U1812403 and 81760630), the Science and Technology Plan of Guizhou Province (Grant No. QKHZC [2018]2824), Science and Technology Project of Traditional Chinese Medicine and National Medicine of Guizhou Administration of Traditional Chinese Medicine (QZYY-2019-066), Natural Science and Technology Foundation of Guizhou Province (J[2019]1216), High-level Innovative Talents in Guizhou Province (Thousand Levels of Talent for Chunmao Yuan in 2018), Light of the West Talent Cultivation Program of Chinese Academy of Sciences for Chunmao Yuan (RZ [2020]82), the 13th Batch of Outstanding Young Scientific and Technological Talents in Guizhou Province (QKHPTRC [2021]5633), and Guizhou Provincial Engineering Research Center for Natural Drugs.</t>
  </si>
  <si>
    <t>1934-578X</t>
  </si>
  <si>
    <t>1555-9475</t>
  </si>
  <si>
    <t>NAT PROD COMMUN</t>
  </si>
  <si>
    <t>Nat. Prod. Commun.</t>
  </si>
  <si>
    <t>1934578X221078628</t>
  </si>
  <si>
    <t>10.1177/1934578X221078628</t>
  </si>
  <si>
    <t>Chemistry, Medicinal; Food Science &amp; Technology</t>
  </si>
  <si>
    <t>Pharmacology &amp; Pharmacy; Food Science &amp; Technology</t>
  </si>
  <si>
    <t>ZH4OQ</t>
  </si>
  <si>
    <t>WOS:000760920200001</t>
  </si>
  <si>
    <t>Hu, YM; Saito, Y; Gong, X; Matsuo, Y; Tanaka, T</t>
  </si>
  <si>
    <t>Hu, Yiming; Saito, Yoshinori; Gong, Xun; Matsuo, Yosuke; Tanaka, Takashi</t>
  </si>
  <si>
    <t>Dihydrobenzofurans and Propynylthiophenes From the Roots of Eupatorium heterophyllum</t>
  </si>
  <si>
    <t>Eupatorium heterophyllum; Asteraceae; benzofuran; thiophene; chemical diversity</t>
  </si>
  <si>
    <t>GERMACRANOLIDES; CONSTITUENTS; BENZOFURAN</t>
  </si>
  <si>
    <t>Seven new dihydrobenzofurans and 2 new propynyl thiophenes were isolated from the roots of Eupatorium heterophyllum together with 13 known compounds. The compounds were characterized using spectroscopic methods including 2D NMR, infrared, and mass spectrometric techniques. Aerial parts of this plant have been known to contain various sesquiterpenoids and displayed high chemical diversity (several compounds isolated and/or identified) among their chemical constituents depending on the collection site. Nevertheless, we found that the chemical diversity in the roots was lower than in the aerial parts.</t>
  </si>
  <si>
    <t>[Hu, Yiming; Saito, Yoshinori; Matsuo, Yosuke; Tanaka, Takashi] Nagasaki Univ, Grad Sch Biomed Sci, Nagasaki, Japan; [Gong, Xun] Chinese Acad Sci, Kunming Inst Bot, Kunming, Yunnan, Peoples R China</t>
  </si>
  <si>
    <t>Saito, Y; Tanaka, T (通讯作者)，Nagasaki Univ, Grad Sch Biomed Sci, Dept Nat Prod Chem, 1-14 Bunkyo Machi, Nagasaki 8528521, Japan.</t>
  </si>
  <si>
    <t>; Matsuo, Yosuke/I-1968-2018</t>
  </si>
  <si>
    <t>Saito, Yoshinori/0000-0002-3587-9743; Tanaka, Takashi/0000-0001-7762-7432; Matsuo, Yosuke/0000-0002-6462-9727</t>
  </si>
  <si>
    <t>Japanese Society for the Promotion of Science [16K18897, 20K07102]</t>
  </si>
  <si>
    <t>Japanese Society for the Promotion of Science(Ministry of Education, Culture, Sports, Science and Technology, Japan (MEXT)Japan Society for the Promotion of Science)</t>
  </si>
  <si>
    <t>The authors disclosed receipt of the following financial support for the research, authorship, and/or publication of this article: This work was supported by the Japanese Society for the Promotion of Science (grant number 16K18897 and 20K07102).</t>
  </si>
  <si>
    <t>1934578X211072331</t>
  </si>
  <si>
    <t>10.1177/1934578X211072331</t>
  </si>
  <si>
    <t>YD6XH</t>
  </si>
  <si>
    <t>WOS:000740582300001</t>
  </si>
  <si>
    <t>Volis, S; Zhang, YH; Deng, T; Yusupov, Z</t>
  </si>
  <si>
    <t>Volis, Sergei; Zhang, Yonghong; Deng, Tao; Yusupov, Ziyoviddin</t>
  </si>
  <si>
    <t>Dark-colored Oncocyclus irises in Israel analyzed by AFLP, whole chloroplast genome sequencing and species distribution modeling</t>
  </si>
  <si>
    <t>ISRAEL JOURNAL OF ECOLOGY &amp; EVOLUTION</t>
  </si>
  <si>
    <t>Oncocyclus; phylogeny; plant conservation; plastome</t>
  </si>
  <si>
    <t>MORPHOLOGICAL VARIATION; SECT. ONCOCYCLUS; ROYAL IRISES; IRIDACEAE; POLLINATION; ADAPTATION; INFERENCE; PATTERNS; RESOLVES; GENES</t>
  </si>
  <si>
    <t>The Haynei is one of seven species aggregates (clusters of species having similar flower morphology) recognized in section Oncocyclus of genus Iris. This aggregate, characterized by dark-colored flowers, is represented by six species in Israel and adjacent Jordan. There is, however, no knowledge of the genetic relationship of these species making verification of their taxonomic status impossible. We investigated genetic variation in this group using analysis of whole chloroplast genomes and amplified fragment length polymorphism (AFLP). We also used species distribution modeling (SDM) to predict species ranges under current climatic conditions. We found some population groups within the currently recognized species of section Oncocyclus to represent dramatically different genetic entities which devaluates a general trend of merging many previously recognized species of section Oncocyclus based on their flower morphology. Despite the importance of homoploid hybridization in this group's evolution and some apparently sporadically happening inter-specific gene flow, the main evolutionary forces in Oncocyclus appear to be vicariance and spatial isolation. Our findings suggest that some of the currently recognized species in section Oncocyclus need revision. A revision must be based on genetic analyses allowing the reconstruction of ancestry and recognition of the importance of vicariance and spatial isolation in the evolution of this group. The implications of the present findings for conservation are discussed.</t>
  </si>
  <si>
    <t>Volis, Sergei</t>
  </si>
  <si>
    <t>[Volis, Sergei; Yusupov, Ziyoviddin] Acad Sci Uzbek, Inst Bot, Tashkent 100125, Uzbekistan; [Zhang, Yonghong] Yunnan Normal Univ, Life Sci Dept, Kunming 650204, Peoples R China; [Deng, Tao] Chinese Acad Sci, Kunming Inst Bot, Key Lab Plant Divers &amp; Biogeog East Asia, Kunming 650204, Peoples R China</t>
  </si>
  <si>
    <t>Academy of Sciences of Uzbekistan; Institute of Botany, Uzbekistan; Yunnan Normal University; Chinese Academy of Sciences; Kunming Institute of Botany, CAS</t>
  </si>
  <si>
    <t>Volis, S (通讯作者)，Acad Sci Uzbek, Inst Bot, Tashkent 100125, Uzbekistan.;Zhang, YH (通讯作者)，Yunnan Normal Univ, Life Sci Dept, Kunming 650204, Peoples R China.</t>
  </si>
  <si>
    <t>sergeivolis@yahoo.com</t>
  </si>
  <si>
    <t>BRILL</t>
  </si>
  <si>
    <t>PLANTIJNSTRAAT 2, P O BOX 9000, 2300 PA LEIDEN, NETHERLANDS</t>
  </si>
  <si>
    <t>1565-9801</t>
  </si>
  <si>
    <t>2224-4662</t>
  </si>
  <si>
    <t>ISR J ECOL EVOL</t>
  </si>
  <si>
    <t>Isr. J. Ecol. Evol.</t>
  </si>
  <si>
    <t>1-4</t>
  </si>
  <si>
    <t>10.1163/22244662-bja10037</t>
  </si>
  <si>
    <t>4F4EC</t>
  </si>
  <si>
    <t>WOS:000848464700001</t>
  </si>
  <si>
    <t>Gu, W; Xie, RX; Chen, JL; Yuan, CM; Huang, LJ; Yi, P; Hao, XJ</t>
  </si>
  <si>
    <t>Gu, Wei; Xie, Rui-xuan; Chen, Jun-lei; Yuan, Chun-mao; Huang, Lie-jun; Yi, Ping; Hao, Xiao-jiang</t>
  </si>
  <si>
    <t>Two new secondary metabolites from Oreocharis auricula and their chemotaxonomic significance</t>
  </si>
  <si>
    <t>BIOCHEMICAL SYSTEMATICS AND ECOLOGY</t>
  </si>
  <si>
    <t>Oreocharis auricula; Furanone derivative; Phenylethanoid glycosides; Chemotaxonomy</t>
  </si>
  <si>
    <t>PHENYLETHANOID GLYCOSIDES; CHEMICAL-CONSTITUENTS; GESNERIACEAE</t>
  </si>
  <si>
    <t>The phytochemical investigation of the traditional ethnic medicine Oreocharis auricula led to the isolation of a new furanone derivative (1), a new phenylethanoid glycoside (2), along with five known phenylethanoid gly-cosides (3-7). Their structures were elucidated by their spectroscopic data analysis. All the known compounds (3-7) were isolated from genus Oreocharis for the first time. Furthermore, the chemotaxonomic significance of the isolates was discussed.</t>
  </si>
  <si>
    <t>Gu, Wei</t>
  </si>
  <si>
    <t>[Gu, Wei; Xie, Rui-xuan; Chen, Jun-lei; Yuan, Chun-mao; Huang, Lie-jun; Yi, Ping; Hao, Xiao-jiang] Guizhou Med Univ, State Key Lab Funct &amp; Applicat Med Plants, Guiyang 550014, Peoples R China; [Gu, Wei; Xie, Rui-xuan; Chen, Jun-lei; Yuan, Chun-mao; Huang, Lie-jun; Yi, Ping; Hao, Xiao-jiang] Key Lab Chem Nat Prod Guizhou Prov, Guiyang 550014, Peoples R China; [Gu, Wei; Xie, Rui-xuan; Chen, Jun-lei; Yuan, Chun-mao; Huang, Lie-jun; Yi, Ping; Hao, Xiao-jiang] Chinese Acad Sci, Guiyang 550014, Peoples R China; [Hao, Xiao-jiang] Chinese Acad Sci, Kunming Inst Bot, State Key Lab Phytochem &amp; Plant Resources West Chi, Kunming 650201, Peoples R China</t>
  </si>
  <si>
    <t>Gu, W; Yi, P; Hao, XJ (通讯作者)，Guizhou Med Univ, State Key Lab Funct &amp; Applicat Med Plants, Guiyang 550014, Peoples R China.;Gu, W; Yi, P; Hao, XJ (通讯作者)，Key Lab Chem Nat Prod Guizhou Prov, Guiyang 550014, Peoples R China.;Gu, W; Yi, P; Hao, XJ (通讯作者)，Chinese Acad Sci, Guiyang 550014, Peoples R China.;Hao, XJ (通讯作者)，Chinese Acad Sci, Kunming Inst Bot, State Key Lab Phytochem &amp; Plant Resources West Chi, Kunming 650201, Peoples R China.</t>
  </si>
  <si>
    <t>guwei2009@126.com; 251048349@qq.com; haoxj@mail.kib.ac.cn</t>
  </si>
  <si>
    <t>National Natural Science Foundation of China (NSFC) [31860074, U1812403]</t>
  </si>
  <si>
    <t>National Natural Science Foundation of China (NSFC)(National Natural Science Foundation of China (NSFC))</t>
  </si>
  <si>
    <t>Acknowledgements This study was financially supported by National Natural Science Foundation of China (NSFC) (No. 31860074 and No. U1812403) .</t>
  </si>
  <si>
    <t>0305-1978</t>
  </si>
  <si>
    <t>1873-2925</t>
  </si>
  <si>
    <t>BIOCHEM SYST ECOL</t>
  </si>
  <si>
    <t>Biochem. Syst. Ecol.</t>
  </si>
  <si>
    <t>10.1016/j.bse.2022.104477</t>
  </si>
  <si>
    <t>4E5EK</t>
  </si>
  <si>
    <t>WOS:000847848200002</t>
  </si>
  <si>
    <t>Gu, W; Zhang, JY; Li, HY; Chen, JL; Xie, RX; Yuan, CM; Huang, LJ; Hao, XJ</t>
  </si>
  <si>
    <t>Gu, Wei; Zhang, Jiayu; Li, Huanyang; Chen, Junlei; Xie, Ruixuan; Yuan, Chunmao; Huang, Liejun; Hao, Xiaojiang</t>
  </si>
  <si>
    <t>Flavonoids and alkaloids from Lysionotus pauciflorus (Gesneriaceae)</t>
  </si>
  <si>
    <t>Lysionotus pauciflorus; Gesneriaceae; Flavonoids; Alkaloids; Chemotaxonomy</t>
  </si>
  <si>
    <t>CONSTITUENTS; DERIVATIVES; GLYCOSIDES; SESQUITERPENE</t>
  </si>
  <si>
    <t>The phytochemical investigation on the whole plant of Lysionotus pauciflorus led to the isolation of a new flavonoid (1), along with eight known flavonoids (2-9), as well as five alkaloids (10-14). Their structures were elucidated based on extensive spectroscopic methods (1D and 2D NMR, HRESIMS, IR, and UV experiments), coupled with comparison with literature data. Among these known compounds, compounds 2, 4-6, 10-14 were isolated from L. pauciflorus for the first time. What is particularly exciting is that alkaloid compounds, which possessed indole skeleton, were found in Gesneriaceae plants for the first time. The chemotaxonomic significance of these isolated compounds has also been discussed. The highly oxygenated flavones identified in the plant may be used as chemotaxonomic marker of Lysionotus.</t>
  </si>
  <si>
    <t>[Gu, Wei; Zhang, Jiayu; Li, Huanyang; Xie, Ruixuan; Yuan, Chunmao; Huang, Liejun; Hao, Xiaojiang] Guizhou Med Univ, State Key Lab Funct &amp; Applicat Med Plants, Guiyang 550014, Peoples R China; [Gu, Wei; Zhang, Jiayu; Li, Huanyang; Chen, Junlei; Xie, Ruixuan; Yuan, Chunmao; Huang, Liejun; Hao, Xiaojiang] Chinese Acad Sci, Key Lab Chem Nat Prod Guizhou Prov, Guiyang 550014, Peoples R China; [Chen, Junlei; Hao, Xiaojiang] Chinese Acad Sci, Kunming Inst Bot, State Key Lab Phytochem &amp; Plant Resources West Chi, Kunming 650201, Peoples R China; [Zhang, Jiayu] Shanghai Songjiang Dist Cent Hosp, Shanghai 201600, Peoples R China</t>
  </si>
  <si>
    <t>Gu, W; Hao, XJ (通讯作者)，Chinese Acad Sci, Key Lab Chem Nat Prod Guizhou Prov, Guiyang 550014, Peoples R China.</t>
  </si>
  <si>
    <t>guwei2009@126.com; haoxj@mail.kib.ac.cn</t>
  </si>
  <si>
    <t>National Natural Science Founda- tion of China (NSFC) [31860074, U1812403]</t>
  </si>
  <si>
    <t>National Natural Science Founda- tion of China (NSFC)(National Natural Science Foundation of China (NSFC))</t>
  </si>
  <si>
    <t>This work were supported by the National Natural Science Founda- tion of China (NSFC) (No. 31860074 and No. U1812403) .</t>
  </si>
  <si>
    <t>10.1016/j.bse.2022.104447</t>
  </si>
  <si>
    <t>2X3KQ</t>
  </si>
  <si>
    <t>WOS:000825106900001</t>
  </si>
  <si>
    <t>Fu, XJ; Chen, JL; Xie, RX; Zhou, LQ; Wei, YH; Yuan, CM; Huang, LJ; Hu, ZX; Hao, XJ; Gu, W</t>
  </si>
  <si>
    <t>Fu, Xianjie; Chen, Junlei; Xie, Ruixuan; Zhou, Liqiang; Wei, Yinghuan; Yuan, Chunmao; Huang, Liejun; Hu, Zhanxing; Hao, Xiaojiang; Gu, Wei</t>
  </si>
  <si>
    <t>Phytochemical and chemotaxonomic studies on Paraboea rufescens (Gesneriaceae)</t>
  </si>
  <si>
    <t>Paraboea rufescens; Gesneriaceae; Phenylethanoid glycosides; Chemotaxonomy</t>
  </si>
  <si>
    <t>PHENYLETHANOID GLYCOSIDES; CHEMICAL-CONSTITUENTS; PHENYLPROPANOID GLYCOSIDES; COMPARATIVE BIOCHEMISTRY; CHIRITA-LONGGANGENSIS; PHENOLIC GLYCOSIDES; FLAVONOIDS; PURIFICATION; GLUCOSIDES; LEAVES</t>
  </si>
  <si>
    <t>A phytochemical investigation on the whole plant of Paraboea rufescens led to the isolation of 17 compounds including nine phenylethanoid glycosides (1-9), two steroids (10-11), two triterpenoids (12-13), two dihydroflavones (14-15), and two organic acids (16-17). Their structures were elucidated by their spectroscopic data analysis. This is the first report of compounds from P. rufescens. The chemotaxonomic significance of P. rufescens and the other species among Gesneriaceae was also discussed. Phenylethanoid glycosides can be recognized as typical biomarkers for the genus Paraboea.</t>
  </si>
  <si>
    <t>Fu, Xianjie</t>
  </si>
  <si>
    <t>[Fu, Xianjie] Guizhou Univ, Sch Pharmaceut Sci, Guiyang 550014, Peoples R China; [Fu, Xianjie; Chen, Junlei; Xie, Ruixuan; Zhou, Liqiang; Wei, Yinghuan; Yuan, Chunmao; Huang, Liejun; Hu, Zhanxing; Hao, Xiaojiang; Gu, Wei] Guizhou Med Univ, State Key Lab Funct &amp; Applicat Med Plants, Guiyang 550014, Peoples R China; [Fu, Xianjie; Chen, Junlei; Xie, Ruixuan; Zhou, Liqiang; Wei, Yinghuan; Yuan, Chunmao; Huang, Liejun; Hu, Zhanxing; Hao, Xiaojiang; Gu, Wei] Chinese Acad Sci, Key Lab Chem Nat Prod Guizhou Prov, Guiyang 550014, Peoples R China; [Hao, Xiaojiang] Chinese Acad Sci, Kunming Inst Bot, State Key Lab Phytochemistry &amp; Plant Resources Wes, Kunming 650201, Peoples R China</t>
  </si>
  <si>
    <t>Guizhou University; Guizhou Medical University; Chinese Academy of Sciences; Chinese Academy of Sciences; Kunming Institute of Botany, CAS</t>
  </si>
  <si>
    <t>Hao, XJ; Gu, W (通讯作者)，Chinese Acad Sci, Key Lab Chem Nat Prod Guizhou Prov, Guiyang 550014, Peoples R China.</t>
  </si>
  <si>
    <t>National Natural Science Founda-tion of China (NSFC) [31860074, U1812403]</t>
  </si>
  <si>
    <t>National Natural Science Founda-tion of China (NSFC)(National Natural Science Foundation of China (NSFC))</t>
  </si>
  <si>
    <t>Acknowledgments This work were supported by the National Natural Science Founda-tion of China (NSFC) (No. 31860074 and No. U1812403) .</t>
  </si>
  <si>
    <t>10.1016/j.bse.2022.104414</t>
  </si>
  <si>
    <t>1M5BQ</t>
  </si>
  <si>
    <t>WOS:000799984700002</t>
  </si>
  <si>
    <t>Chen, YP; Xiong, C; Zhou, HL; Chen, F; Xiang, CL</t>
  </si>
  <si>
    <t>Chen, Ya-Ping; Xiong, Chi; Zhou, Hou-Lin; Chen, Feng; Xiang, Chun-Lei</t>
  </si>
  <si>
    <t>Paraphlomis nana (Lamiaceae), a new species from Chongqing, China</t>
  </si>
  <si>
    <t>TURKISH JOURNAL OF BOTANY</t>
  </si>
  <si>
    <t>Chloroplast capture; Matsumurella; Paraphlomideae; the Yangtze River</t>
  </si>
  <si>
    <t>PHYLOGENY; MODEL</t>
  </si>
  <si>
    <t>Most species of Paraphlomis are distributed in the south of the Yangtze River in China. In this study, a new species, P. nana , from northeast Chongqing in the north of the Yangtze River is described and illustrated. Bayesian inference and maximum likelihood analyses based on two nuclear ribosomal DNA regions (ITS and ETS) and three plastid DNA markers (rpl32-trnL , rps16 , and trnL-trnF) were carried out to explore the phylogenetic position of the new species within Paraphlomis. Though the nuclear and plastid trees reveal incongruent placements of P. nana in Paraphlomis , which may be caused by chloroplast capture, a close relationship between the new species and P. albiflora is supported by molecular phylogenetic, morphological, and geographic evidence. However, the two species can be clearly distinguished from each other by the plant height and lamina and calyx morphology.</t>
  </si>
  <si>
    <t>[Chen, Ya-Ping; Xiang, Chun-Lei] Chinese Acad Sci, Kunming Inst Bot, CAS Key Lab Plant Divers &amp; Biogeog East Asia, Kunming, Yunnan, Peoples R China; [Xiong, Chi] Chinese Acad Sci, Guangxi Inst Bot, Guangxi Key Lab Plant Conservat &amp; Restorat Ecol K, Guilin, Peoples R China; [Zhou, Hou-Lin] Chongqing Wulipo Natl Nat Reserve Management Serv, Wushan, Peoples R China; [Chen, Feng] Chongqing Museum Nat Hist, Chongqing, Peoples R China</t>
  </si>
  <si>
    <t>Xiang, CL (通讯作者)，Chinese Acad Sci, Kunming Inst Bot, CAS Key Lab Plant Divers &amp; Biogeog East Asia, Kunming, Yunnan, Peoples R China.</t>
  </si>
  <si>
    <t>xiangchunlei@mail.kib.ac.cn</t>
  </si>
  <si>
    <t>National Natural Science Foundation of China [31872648, 31800168]; Yunnan Fundamental Research Projects [202101AU070067, 202101AT070159, 2019FI009]; Ten Thousand Talents Program of Yunnan [YNWR-QNBJ-2018-279]</t>
  </si>
  <si>
    <t>National Natural Science Foundation of China(National Natural Science Foundation of China (NSFC)); Yunnan Fundamental Research Projects; Ten Thousand Talents Program of Yunnan</t>
  </si>
  <si>
    <t>We would like to thank the staff of following herbaria for their kind assistance in research facilities: BM, CDBI, E, HIB, IBK, IBSC, K, KUN, KYO, NAS, PE, SZ, TI. Thanks are also given to Ms. Jing Tian from the Wuhan Botanical Garden, Chinese Academy of Sciences for her line drawing of the new species. We are also grateful to the anonymous referees for their valuable suggestions that greatly improved our manuscript. This work was supported by the National Natural Science Foundation of China (31872648 and 31800168), the Yunnan Fundamental Research Projects (202101AU070067, 202101AT070159, and 2019FI009), and the Ten Thousand Talents Program of Yunnan (YNWR-QNBJ-2018-279). Ya-Ping Chen and Chi Xiong had contributed equally to this manuscript.</t>
  </si>
  <si>
    <t>Scientific and Technological Research Council Turkey</t>
  </si>
  <si>
    <t>ANKARA</t>
  </si>
  <si>
    <t>ATATURK BULVARI NO 221, KAVAKLIDERE, TR-06100 ANKARA, TURKEY</t>
  </si>
  <si>
    <t>1300-008X</t>
  </si>
  <si>
    <t>1303-6106</t>
  </si>
  <si>
    <t>TURK J BOT</t>
  </si>
  <si>
    <t>Turk. J. Bot.</t>
  </si>
  <si>
    <t>10.55730/1300-008X.2680</t>
  </si>
  <si>
    <t>1N7IR</t>
  </si>
  <si>
    <t>WOS:000800825200004</t>
  </si>
  <si>
    <t>Jiang, LQ; Liu, ZW; Liu, ED; Teerawatananon, A; Wang, YH; Peng, H</t>
  </si>
  <si>
    <t>Jiang, Li-Qiong; Liu, Zhen-Wen; Liu, En-De; Teerawatananon, Atchara; Wang, Yue-Hua; Peng, Hua</t>
  </si>
  <si>
    <t>Arundinella stenostachya (Arundinella, Poaceae), a reevaluated new species from SE Asia</t>
  </si>
  <si>
    <t>Arundinella; morphology; phylogeny; Poaceae; taxonomy</t>
  </si>
  <si>
    <t>PHYLOGENETIC ANALYSIS; GRAMINEAE; TAXA</t>
  </si>
  <si>
    <t>Arundinella stenostachya, a new species, is described and illustrated. It is morphologically similar to A. decempedalis and A. bengalensis, but differs from the former species by the length of panicle branches, type of trichome on nodes and pedicels length, and from the latter in height and diameter of culms, the length and width of leaf blades, pedicels length, and the length of panicles and branches. The new species has been mistakenly identified as A. decempedalis and A. bengalensis. Molecular analyses based on ITS sequences also support A. stenostachya as a distinct species.</t>
  </si>
  <si>
    <t>Jiang, Li-Qiong</t>
  </si>
  <si>
    <t>[Jiang, Li-Qiong; Wang, Yue-Hua] Yunnan Univ, Sch Ecol &amp; Environm Sci, Kunming, Yunnan, Peoples R China; [Jiang, Li-Qiong; Wang, Yue-Hua] Yunnan Univ, Sch Life Sci, Kunming, Yunnan, Peoples R China; [Liu, Zhen-Wen] Yunnan Acad Forestry &amp; Grassland, Kunming, Yunnan, Peoples R China; [Liu, En-De; Peng, Hua] Chinese Acad Sci, Kunming Inst Bot, CAS Key Lab Plant Divers &amp; Biogeog East Asia, Kunming, Yunnan, Peoples R China; [Teerawatananon, Atchara] Technopolis, Natl Sci Museum, Nat Hist Museum, Klongluang, Pathum Thani, Thailand</t>
  </si>
  <si>
    <t>Peng, H (通讯作者)，Chinese Acad Sci, Kunming Inst Bot, CAS Key Lab Plant Divers &amp; Biogeog East Asia, Kunming, Yunnan, Peoples R China.</t>
  </si>
  <si>
    <t>hpeng@mail.kib.ac.cn</t>
  </si>
  <si>
    <t>Teerawatananon, Atchara/HHZ-6887-2022</t>
  </si>
  <si>
    <t>National Natural Science Foundation of China [31110103911, 31872649, GZY-KJS-2018-004]</t>
  </si>
  <si>
    <t>Thanks are given to Miss Yuan Luo for her line drawing of the new species. The authors are also grateful to Dr. T.-Y. AleckYang, Dr. Xin-Xin Zhu, Dr. Ya-Ping Chen, Dr. Zhong-Shuai Zhang, Dr. Yan-Chun Liu, Mr. Bo Xiao, Miss Yuan-Yuan Li and Miss Jiao Zou for their help in field collection. This work was supported by the National Natural Science Foundation of China (grant nos. 31110103911, 31872649) and the specific funds for the Fourth National Survey on Chinese Materia Medica Resources (GZY-KJS-2018-004) .</t>
  </si>
  <si>
    <t>TUBITAK SCIENTIFIC &amp; TECHNICAL RESEARCH COUNCIL TURKEY</t>
  </si>
  <si>
    <t>ATATURK BULVARI NO 221, KAVAKLIDERE, ANKARA, 00000, TURKEY</t>
  </si>
  <si>
    <t>10.3906/bot-2106-1</t>
  </si>
  <si>
    <t>YT9EV</t>
  </si>
  <si>
    <t>WOS:000751657400001</t>
  </si>
  <si>
    <t>Luo, SB; Zhang, XM; He, K; Zou, J; Geng, CA</t>
  </si>
  <si>
    <t>Luo, Shuaibin; Zhang, Xuemei; He, Kang; Zou, Juan; Geng, Chang-An</t>
  </si>
  <si>
    <t>Triterpenoids from Uncaria rhynchophylla and Their PTP1B Inhibitory Activity</t>
  </si>
  <si>
    <t>PHYTON-INTERNATIONAL JOURNAL OF EXPERIMENTAL BOTANY</t>
  </si>
  <si>
    <t>Uncaria rhynchophylla; triterpenoids; antidiabetic effects; PTP1B inhibitors</t>
  </si>
  <si>
    <t>ALKALOIDS</t>
  </si>
  <si>
    <t>Uncaria rhynchophylla (Gouteng) is a famous traditional Chinese medicine used for psychiatric and hypotensive purposes in China. In this study, the ethyl acetate (EtOAc) part of U. rhynchophylla was revealed with protein tyrosine phosphatase 1B (PTP1B) inhibitory activity. Subsequent investigation on the EtOAc part yielded one new triterpenoid, 313-formyloxy-613,19a-dihydroxyurs-12-en-28-oic acid (1) and four known ones, 313,613,19a-trihydroxyurs-12-en-28-oic acid (2), 2-oxopomolic acid (3), 313,19a-dihydroxy-6-oxo-olean-12-en-28-oic acid (4) and sumaresinolic acid (5). The structure of compound 1 was determined by extensive HRESIMS, IR, 1D and 2D NMR spectroscopic analyses. Two ursane-type triterpenoids (2 and 3) showed selective inhibition on PTP1B with IC50 values of 48.2 and 178.7 yM. The enzyme kinetic study suggested that compounds 2 and 3 were mixtype inhibitors on PTP1B with Ki values of 15.6 and 132.5 yM. This investigation manifests the antidiabetic potency of U. rhynchophylla with triterpenoids as the active constituents.</t>
  </si>
  <si>
    <t>Luo, Shuaibin</t>
  </si>
  <si>
    <t>[Luo, Shuaibin; He, Kang; Zou, Juan] Guizhou Univ Tradit Chinese Med, Guiyang 550025, Peoples R China; [Zhang, Xuemei; Geng, Chang-An] Chinese Acad Sci, Kunming Inst Bot, Yunnan Key Lab Nat Med Chem, State Key Lab Phytochem &amp; Plant Resources West Ch, Kunming 650201, Yunnan, Peoples R China</t>
  </si>
  <si>
    <t>Guizhou University of Traditional Chinese Medicine; Chinese Academy of Sciences; Kunming Institute of Botany, CAS</t>
  </si>
  <si>
    <t>Zou, J (通讯作者)，Guizhou Univ Tradit Chinese Med, Guiyang 550025, Peoples R China.;Geng, CA (通讯作者)，Chinese Acad Sci, Kunming Inst Bot, Yunnan Key Lab Nat Med Chem, State Key Lab Phytochem &amp; Plant Resources West Ch, Kunming 650201, Yunnan, Peoples R China.</t>
  </si>
  <si>
    <t>zoujuan466@gzy.edu.cn; gengchangan@mail.kib.ac.cn</t>
  </si>
  <si>
    <t>Yunnan Wanren Project [YNWR-QNBJ-2018-061]; Yunnan Science Fund for Excellent Young Scholars [2019FI017]; Reserve Talents of Young and Middle-aged Academic and Technical Leaders in Yunnan Province [2018HB067]; National Natural Science Foundation of China [81573322]</t>
  </si>
  <si>
    <t>Yunnan Wanren Project; Yunnan Science Fund for Excellent Young Scholars; Reserve Talents of Young and Middle-aged Academic and Technical Leaders in Yunnan Province; National Natural Science Foundation of China(National Natural Science Foundation of China (NSFC))</t>
  </si>
  <si>
    <t>This work was supported by the Yunnan Wanren Project (YNWR-QNBJ-2018-061), the Yunnan Science Fund for Excellent Young Scholars (2019FI017), the Reserve Talents of Young and Middle-aged Academic and Technical Leaders in Yunnan Province (2018HB067), and the National Natural Science Foundation of China (81573322).</t>
  </si>
  <si>
    <t>TECH SCIENCE PRESS</t>
  </si>
  <si>
    <t>HENDERSON</t>
  </si>
  <si>
    <t>871 CORONADO CENTER DR, SUTE 200, HENDERSON, NV 89052 USA</t>
  </si>
  <si>
    <t>0031-9457</t>
  </si>
  <si>
    <t>1851-5657</t>
  </si>
  <si>
    <t>PHYTON-INT J EXP BOT</t>
  </si>
  <si>
    <t>Phyton-Int. J. Exp. Bot.</t>
  </si>
  <si>
    <t>10.32604/phyton.2022.020935</t>
  </si>
  <si>
    <t>0W5OT</t>
  </si>
  <si>
    <t>WOS:000789076500005</t>
  </si>
  <si>
    <t>Williams, PH; Dorji, P; Ren, ZX; Xie, ZH; Orr, M</t>
  </si>
  <si>
    <t>Williams, Paul H.; Dorji, Phurpa; Ren, Zongxin; Xie, Zhenghua; Orr, Michael</t>
  </si>
  <si>
    <t>Bumblebees of the hypnorum- complex world-wide including two new near-cryptic species (Hymenoptera: Apidae)</t>
  </si>
  <si>
    <t>EUROPEAN JOURNAL OF TAXONOMY</t>
  </si>
  <si>
    <t>Barcode; bumblebee; coalescent; distribution; species</t>
  </si>
  <si>
    <t>BOMBUS; BEES; INSIGHTS; BARCODE; DELIMITATION; PHYLOGENY; DIVERSITY</t>
  </si>
  <si>
    <t>The hypnorum-complex of bumblebees (in the genus Bombus Latreille, 1802) has been interpreted as consisting of a single widespread Old-World species, Bombus hypnorum (Linnaeus, 1758) s. lat., and its closely similar sister species in the New World, B. perplexus Cresson, 1863. We examined barcodes for evidence of species' gene coalescents within this species complex, using the closely related vagans-group to help calibrate Poisson-tree-process models to a level of branching appropriate for discovering species. The results support seven candidate species within the hypnorumcomplex (Bombus taiwanensis Williams, Sung, Lin &amp; Lu, 2022, B. wolongensis Williams, Ren &amp; Xie sp. nov., B. bryorum Richards, 1930, B. hypnorum, B. koropokkrus Sakagami &amp; Ishikawa, 1972, and B. hengduanensis Williams, Ren &amp; Xie sp. nov., plus B. perplexus), which are comparable in status to the currently accepted species of the vagans-group. Morphological corroboration of the coalescent candidate species is subtle but supports the gene coalescents if these candidates are considered nearcryptic species.</t>
  </si>
  <si>
    <t>[Williams, Paul H.] Nat Hist Museum, Cromwell Rd, London SW7 5BD, England; [Dorji, Phurpa] Royal Soc Protect Nat, Thimphu, Bhutan; [Ren, Zongxin] Chinese Acad Sci, Kunming Inst Bot, 132 Lanhei Rd, Kunming 650201, Yunnan, Peoples R China; [Xie, Zhenghua] Chinese Acad Forestry, Inst Highland Forest Sci, Kunming 650224, Yunnan, Peoples R China; [Xie, Zhenghua] Natl Forestry &amp; Grassland Adm, Key Lab Breeding &amp; Utilizat Resource Insects, Kunming 650224, Yunnan, Peoples R China; [Orr, Michael] Chinese Acad Sci, Inst Zool, 1 Beichen West Rd, Beijing 100101, Peoples R China; [Orr, Michael] Staad Museum Nat Kunde Stuttgart, Rosenstein 1, D-70191 Stuttgart, Germany</t>
  </si>
  <si>
    <t>Natural History Museum London; Chinese Academy of Sciences; Kunming Institute of Botany, CAS; Chinese Academy of Forestry; Chinese Academy of Sciences; Institute of Zoology, CAS</t>
  </si>
  <si>
    <t>paw@nhm.ac.uk; pdorji@rspnbhutan.org; renzongxin@gmail.kib.ac.cn; cnbees@gmail.com; michael.christopher.orr@gmail.com</t>
  </si>
  <si>
    <t>Chinese SAFEA High-End Foreign Experts Recruitment Program [GDJ20140326002, GDJ20150325001, GDJ2016032602]; Chinese Academy of Sciences [XDB31000000]; Yunnan Provincial Department of Science and Technology-Yunnan University Joint Fund [2019FY003026]</t>
  </si>
  <si>
    <t>Chinese SAFEA High-End Foreign Experts Recruitment Program; Chinese Academy of Sciences(Chinese Academy of Sciences); Yunnan Provincial Department of Science and Technology-Yunnan University Joint Fund</t>
  </si>
  <si>
    <t>We thank all of those who have collected specimens and maintained collections. Thanks to the Chinese SAFEA High-End Foreign Experts Recruitment Program (GDJ20140326002, GDJ20150325001, GDJ2016032602) for funding PWs's research in China; to the Strategic Priority Research Program of the Chinese Academy of Sciences (XDB31000000) for funding ZR's research in China; and to the Yunnan Provincial Department of Science and Technology-Yunnan University Joint Fund (2019FY003026) for funding ZX's bumblebee sampling. Thanks to L. Bailey, M. Streinzer and I. Sung for discussion and to two anonymous referees for constructive comments.</t>
  </si>
  <si>
    <t>MUSEUM NATL HISTOIRE NATURELLE</t>
  </si>
  <si>
    <t>PARIS</t>
  </si>
  <si>
    <t>SERVICE PUBLICATIONS SCIENTIFIQUES, 57 RUE CUVIER, 75005 PARIS, FRANCE</t>
  </si>
  <si>
    <t>2118-9773</t>
  </si>
  <si>
    <t>EUR J TAXON</t>
  </si>
  <si>
    <t>Eur. J. Taxon.</t>
  </si>
  <si>
    <t>10.5852/ejt.2022.847.1981</t>
  </si>
  <si>
    <t>Plant Sciences; Entomology; Zoology</t>
  </si>
  <si>
    <t>7A8EE</t>
  </si>
  <si>
    <t>WOS:000898681600001</t>
  </si>
  <si>
    <t>Shao, YL; Chen, AY; Chang, W; Li, GZ; Yu, JD; Zhao, P; Ding, Y</t>
  </si>
  <si>
    <t>Shao, Yalin; Chen, Aiyi; Chang, Wei; Li, Guoze; Yu, Jinde; Zhao, Ping; Ding, Yong</t>
  </si>
  <si>
    <t>Selection of appropriate reference genes in different tissues of Vaccinium dunalianum Wight by quantitative real-time PCR for gene expression studies</t>
  </si>
  <si>
    <t>CANADIAN JOURNAL OF PLANT SCIENCE</t>
  </si>
  <si>
    <t>EIF-4A-2; PP2A-2; qRT-PCR; reference genes; Vaccinium dunalianum Wight</t>
  </si>
  <si>
    <t>CANDIDATE REFERENCE GENES; CHLOROGENIC ACID; IDENTIFICATION; NORMALIZATION; ARBUTIN; QPCR</t>
  </si>
  <si>
    <t>Quantitative real-time polymerase chain reaction (PCR) is a powerful tool for investigating relevant changes in gene expression. At present, there are no reports on reference genes for Vaccinium dunalianum Wight (V. dunalianum Wight). Here, the expression profiles of 15 frequently used reference genes were used to screen for appropriate reference genes in different tissues of V. dunalianum Wight collected in Yunnan and Wuding, China. The cycle threshold (Ct) values of genes in different samples were compared and analyzed. Furthermore, BestKeeper, NormFinder, and geNorm software were used to evaluate the stability of each candidate reference gene. Analysis using geNorm showed that the expression levels of glyceraldehyde-3-phosphate dehydrogenase (GAPDH) and protein phosphatase 2A-2 (PP2A-2) were the most stable. In turn, the expression level of eukaryotic initiation factor-2 (EIF-4A-2) was the most stable as per analysis by NormFinder, while Bestkeeper revealed that actin-related protein-1 (ARP-1) was the most stably expressed. Comprehensive analysis and validation experiments showed that EIF-4A-2 and PP2A-2 were the most suitable reference genes for V. dunalianum Wight.</t>
  </si>
  <si>
    <t>Shao, Yalin</t>
  </si>
  <si>
    <t>[Shao, Yalin; Chen, Aiyi; Li, Guoze; Yu, Jinde; Ding, Yong] Southwest Forestry Univ, Key Lab Forest Biotechnol Yunnan, Kunming 650224, Yunnan, Peoples R China; [Chang, Wei] Chinese Acad Sci, Kunming Inst Bot, Lab Econ Plants &amp; Biotechnol, Kunming 650204, Yunnan, Peoples R China; [Zhao, Ping] Southwest Forestry Univ, Key Lab State Forestry &amp; Grassland Adm Highly Eff, Kunming 650224, Yunnan, Peoples R China</t>
  </si>
  <si>
    <t>Southwest Forestry University - China; Chinese Academy of Sciences; Kunming Institute of Botany, CAS; Southwest Forestry University - China</t>
  </si>
  <si>
    <t>Ding, Y (通讯作者)，Southwest Forestry Univ, Key Lab Forest Biotechnol Yunnan, Kunming 650224, Yunnan, Peoples R China.;Chang, W (通讯作者)，Chinese Acad Sci, Kunming Inst Bot, Lab Econ Plants &amp; Biotechnol, Kunming 650204, Yunnan, Peoples R China.</t>
  </si>
  <si>
    <t>changwei@mail.kib.ac.cn; dingyongSWFU@163.com</t>
  </si>
  <si>
    <t>DING, Yong/GVR-9361-2022</t>
  </si>
  <si>
    <t>DING, Yong/0000-0002-6795-0428</t>
  </si>
  <si>
    <t>National Natural Science Foundation of China [31960073, 31460076]; Key Laboratory of Forest Biotechnology in Yunnan, Southwest Forestry University, China [51700201]</t>
  </si>
  <si>
    <t>National Natural Science Foundation of China(National Natural Science Foundation of China (NSFC)); Key Laboratory of Forest Biotechnology in Yunnan, Southwest Forestry University, China</t>
  </si>
  <si>
    <t>This work was supported by the National Natural Science Foundation of China under Grant numbers 31960073 and 31460076, and by the Key Laboratory of Forest Biotechnology in Yunnan, Southwest Forestry University, China, under Grant number 51700201.</t>
  </si>
  <si>
    <t>CANADIAN SCIENCE PUBLISHING</t>
  </si>
  <si>
    <t>OTTAWA</t>
  </si>
  <si>
    <t>65 AURIGA DR, SUITE 203, OTTAWA, ON K2E 7W6, CANADA</t>
  </si>
  <si>
    <t>0008-4220</t>
  </si>
  <si>
    <t>1918-1833</t>
  </si>
  <si>
    <t>CAN J PLANT SCI</t>
  </si>
  <si>
    <t>Can. J. Plant Sci.</t>
  </si>
  <si>
    <t>10.1139/cjps-2020-0302</t>
  </si>
  <si>
    <t>YY3LN</t>
  </si>
  <si>
    <t>WOS:000754692500018</t>
  </si>
  <si>
    <t>Zhou, YL; Lu, L; Liu, NY; Cao, H; Li, H; Gui, DP; Wang, JH; Zhang, CJ</t>
  </si>
  <si>
    <t>Zhou, Yanli; Lu, Lin; Liu, Ningyawen; Cao, Hua; Li, Han; Gui, Daping; Wang, Jihua; Zhang, Chengjun</t>
  </si>
  <si>
    <t>Analysis of MYB genes in four plant species and the detection of genes associated with drought resistance</t>
  </si>
  <si>
    <t>BOTANY</t>
  </si>
  <si>
    <t>Ericaceae; Rhododendron; blueberry; kiwi fruit; conserved motif</t>
  </si>
  <si>
    <t>GENOME-WIDE IDENTIFICATION; R2R3-MYB TRANSCRIPTION FACTOR; ABIOTIC STRESS; ABSCISIC-ACID; EXPRESSION PROFILES; ROOT-GROWTH; ARABIDOPSIS; FAMILY; TOLERANCE; OVEREXPRESSION</t>
  </si>
  <si>
    <t>MYB transcription factor, which contains a conserved DNA binding domain, has been found in almost all eukaryotes. MYB genes have variable functions in plants and are involved in many pathways. We systemically analyzed the MYB gene family in three Ericaceae species, Rhododendron williamsianum Rehder &amp; E.H. Wilson, Rhododendron delavayi Franch., and Vaccinium corymbosum L., and one outgroup, Actinidia chinensis Planch., with 99,156, 480, and 185 MYB genes found, respectively. The MYB genes were classified into five types based on the number of conserved MYB motifs, and the two repeat (2R) types were dominant in all four species. The percentage of 2R type MYB ranged from 48.5% to 87.9% depending on the species. We further classified the conserved MYB motifs into M1, M2, and M3 types based on motif definition. We found an abundance of 3xM2 type in the 3R group, but found a species-specific type preference for 1R and 2R genes. In searching for Arabidopsis drought-resistant genes, we detected 34 potential candidates in four species. The expression profile of R. delavayi showed 11 candidate drought-resistant RdMYB genes, which provide a potential molecular design target for breeders. Our results describe the MYB gene family in these four species and could play an important role in future analyses.</t>
  </si>
  <si>
    <t>[Zhou, Yanli; Liu, Ningyawen; Gui, Daping; Zhang, Chengjun] Chinese Acad Sci, Kunming Inst Bot, Germplasm Bank Wild Species, Kunming 650201, Yunnan, Peoples R China; [Lu, Lin; Cao, Hua; Li, Han; Wang, Jihua] Yunnan Acad Agr Sci, Flower Res Inst, Kunming 650201, Yunnan, Peoples R China; [Zhang, Chengjun] Chinese Acad Sci, Haiyan Engn &amp; Technol Ctr, Kunming Inst Bot, Jiaxing 314300, Peoples R China</t>
  </si>
  <si>
    <t>Chinese Academy of Sciences; Kunming Institute of Botany, CAS; Yunnan Academy of Agricultural Sciences; Chinese Academy of Sciences; Kunming Institute of Botany, CAS</t>
  </si>
  <si>
    <t>Zhang, CJ (通讯作者)，Chinese Acad Sci, Kunming Inst Bot, Germplasm Bank Wild Species, Kunming 650201, Yunnan, Peoples R China.;Wang, JH (通讯作者)，Yunnan Acad Agr Sci, Flower Res Inst, Kunming 650201, Yunnan, Peoples R China.;Zhang, CJ (通讯作者)，Chinese Acad Sci, Haiyan Engn &amp; Technol Ctr, Kunming Inst Bot, Jiaxing 314300, Peoples R China.</t>
  </si>
  <si>
    <t>wjh0505@gmail.com; zhangchengjun@mail.kib.ac.cn</t>
  </si>
  <si>
    <t>Science and Technology Projects of Yunnan Province of China [2018BB014]; Youth Innovation Promotion Association CAS [2021394]; Yunnan Young and Elite Talents Project</t>
  </si>
  <si>
    <t>Science and Technology Projects of Yunnan Province of China; Youth Innovation Promotion Association CAS; Yunnan Young and Elite Talents Project</t>
  </si>
  <si>
    <t>This work was supported byMajor Science and Technology Projects of Yunnan Province of China (2018BB014), Youth Innovation Promotion Association CAS (2021394), and Yunnan Young and Elite Talents Project.</t>
  </si>
  <si>
    <t>1916-2790</t>
  </si>
  <si>
    <t>1916-2804</t>
  </si>
  <si>
    <t>Botany</t>
  </si>
  <si>
    <t>10.1139/cjb-2020-0227</t>
  </si>
  <si>
    <t>2T9PH</t>
  </si>
  <si>
    <t>WOS:000791428300001</t>
  </si>
  <si>
    <t>Aoki, W; Bergius, N; Kozlan, S; Fukuzawa, F; Okuda, H; Murata, H; Ishida, TA; Vaario, LM; Kobayashi, H; Kalmis, E; Fukiharu, T; Gisusi, S; Matsushima, KI; Terashima, Y; Narimatsu, M; Matsushita, N; Ka, KH; Yu, FQ; Yamanaka, T; Fukuda, M; Yamada, A</t>
  </si>
  <si>
    <t>Aoki, Wataru; Bergius, Niclas; Kozlan, Serhii; Fukuzawa, Fuminori; Okuda, Hitomi; Murata, Hitoshi; Ishida, Takahide A.; Vaario, Lu-Min; Kobayashi, Hisayasu; Kalmis, Erbil; Fukiharu, Toshimitsu; Gisusi, Seiki; Matsushima, Ken-ichi; Terashima, Yoshie; Narimatsu, Maki; Matsushita, Norihisa; Ka, Kang-Hyeon; Yu, Fuqiang; Yamanaka, Takashi; Fukuda, Masaki; Yamada, Akiyoshi</t>
  </si>
  <si>
    <t>New findings on the fungal species Tricholoma matsutake from Ukraine, and revision of its taxonomy and biogeography based on multilocus phylogenetic analyses</t>
  </si>
  <si>
    <t>MYCOSCIENCE</t>
  </si>
  <si>
    <t>bioresource conservation; edible mycorrhizal mushroom; lectotype; population analysis</t>
  </si>
  <si>
    <t>IN-VITRO; ECTOMYCORRHIZAL; IDENTIFICATION; SPECIFICITY; RECORD</t>
  </si>
  <si>
    <t>Matsutake mushrooms are among the best-known edible wild mushroom taxa worldwide. The representative Tricholoma matsutake is from East Asia and the northern and central regions of Europe. Here, we report the existence of T. matsutake under fir trees in Eastern Europe (i.e., Ukraine), as confirmed by phylogenetic analysis of nine loci on the nuclear and mitochondrial genomes. All specimens from Japan, Bhutan, China, North Korea, South Korea, Sweden, Finland, and Ukraine formed a T. matsutake clade according to the phylogeny of the internal transcribed spacer region. The European population of T. matsutake was clustered based on the )32 tubulin gene, with a moderate bootstrap value. In contrast, based on analyses of three loci, i.e., rpb2, tef1, and the )32 tubulin gene, T. matsutake specimens sampled from Bhutan and China belonged to a clade independent of the other specimens of this species, implying a genetically isolated population. As biologically available type specimens of T. matsutake have not been designated since its description as a new species from Japan in 1925, we established an epitype of this fungus, sampled in a Pinus densiflora forest in Nagano, Japan.</t>
  </si>
  <si>
    <t>Aoki, Wataru</t>
  </si>
  <si>
    <t>[Aoki, Wataru; Matsushima, Ken-ichi; Fukuda, Masaki; Yamada, Akiyoshi] Shinshu Univ, Grad Sch Sci &amp; Technol, Dept Agr, 8304 Minami Minowa, Matsumoto, Nagano 3994598, Japan; [Bergius, Niclas] Lansstyrelsen &amp; Vastmanlands lan, S-72186 Vasteras, Vastmanland, Sweden; [Kozlan, Serhii] , Ivano-Frankivsk Oblast, Kosiv, Ukraine; [Fukuzawa, Fuminori; Okuda, Hitomi; Matsushima, Ken-ichi; Fukuda, Masaki; Yamada, Akiyoshi] Shinshu Univ, Fac Agr, 8304 Minami Minowa, Matsumoto, Nagano 3994598, Japan; [Murata, Hitoshi] Forest Res &amp; Management Org, Tsukuba, Ibaraki 3058687, Japan; [Ishida, Takahide A.] Natl Inst Environm studies, Biodivers Div, Tsukuba, Ibaraki 3058506, Japan; [Ishida, Takahide A.] Swedish Univ Agr Sci, Umea Plant Sci Ctr, Dept Forest Genet &amp; Plant Physiol, S-90183 Umea, Sweden; [Vaario, Lu-Min] Univ Helsinki, Dept Forest Sci, Helsinki 00014, Finland; [Vaario, Lu-Min] Univ Tokyo, Grad Sch Agr &amp; Life Sci, Tokyo 1138657, Japan; [Kobayashi, Hisayasu] Ibaraki Prefectural Forestry Res Inst, Naka, Ibaraki 3110122, Japan; [Kalmis, Erbil] Minist Ind &amp; Technol, Izmir Branch, TR-35210 Konak, Izmir, Turkey; [Fukiharu, Toshimitsu; Matsushita, Norihisa] Nat Hist Museum &amp; Inst, 955-2 Aoba Cho,Chuo Ku, Chiba, Chiba 2608682, Japan; [Gisusi, Seiki] Hokkaido Res Org, Forest Prod Res Inst, Nishikagura 1-10, Asahikawa, Hokkaido 0710198, Japan; [Matsushima, Ken-ichi; Yamada, Akiyoshi] Shinshu Univ, Inst Mt Sci, 8304 Minami Minowa, Matsumoto, Nagano 3994598, Japan; [Terashima, Yoshie] Shizuoka Univ, Ohya 836,Suruga Ku, Shizuoka 4228529, Japan; [Narimatsu, Maki] Iwate Prefectural Forest Technol Ctr, 560-11 Kemuyama, Yahaba, Iwate 0283623, Japan; [Ka, Kang-Hyeon] Natl Inst Forest Sci, 57 Hoegiro, Seoul 02455, South Korea; [Yu, Fuqiang] Chinese Acad Sci, Kunming Inst Bot, 132 Lanhei Rd, Kunming 650201, Yunnan, Peoples R China; [Yamanaka, Takashi] Forest Res &amp; Management Org, Tohoku Res Ctr, 92-25 Nabeyashiki, Morioka, Iwate 0200123, Japan; [Yamada, Akiyoshi] Shinshu Univ, Inst Mt Sci, Minami Minowa, Matsumoto, Nagano 3994598, Japan</t>
  </si>
  <si>
    <t>Shinshu University; Shinshu University; National Institute for Environmental Studies - Japan; Swedish University of Agricultural Sciences; Umea University; University of Helsinki; University of Tokyo; Forestry &amp; Forest Products Research Institute - Japan; Shinshu University; Shizuoka University; Korea Forest Research Institute (KFRI); National Institute of Forest Science (NIFOS), Republic of South Korea; Chinese Academy of Sciences; Kunming Institute of Botany, CAS; Shinshu University</t>
  </si>
  <si>
    <t>Yamada, A (通讯作者)，Shinshu Univ, Inst Mt Sci, Minami Minowa, Matsumoto, Nagano 3994598, Japan.</t>
  </si>
  <si>
    <t>akiyosh@shinshu-u.ac</t>
  </si>
  <si>
    <t>MYCOLOGICAL SOC JAPAN</t>
  </si>
  <si>
    <t>AQUA HAKUSAN BUILD 5F, 1-13-7 HAKUSAN, BUNKYO-KU, TOKYO, JAPAN</t>
  </si>
  <si>
    <t>1340-3540</t>
  </si>
  <si>
    <t>1618-2545</t>
  </si>
  <si>
    <t>Mycoscience</t>
  </si>
  <si>
    <t>10.47371/mycosci.2022.07.004</t>
  </si>
  <si>
    <t>http://dx.doi.org/10.47371/mycosci.2022.07.004</t>
  </si>
  <si>
    <t>8C9SR</t>
  </si>
  <si>
    <t>WOS:000917941200003</t>
  </si>
  <si>
    <t>Dong, JH; Wu, YX; Zhao, CL</t>
  </si>
  <si>
    <t>Dong, Jun-Hong; Wu, Ya-Xing; Zhao, Chang-Lin</t>
  </si>
  <si>
    <t>Two new species of Steccherinum (Polyporales, Basidiomycota) from southern China based on morphology and DNA sequence data</t>
  </si>
  <si>
    <t>Molecular phylogeny; Steccherinaceae; taxonomy; wood-inhabiting fungi; Yunnan Province</t>
  </si>
  <si>
    <t>PHYLOGENETIC ANALYSES; NOV.; APHYLLOPHORALES; TAXONOMY; ANTRODIELLA; CHARACTERS; DIVERSITY; GENERA</t>
  </si>
  <si>
    <t>Two new wood-inhabiting fungal species, Steccherinum hirsutum and S. yunnanense spp. nov., are proposed based on a combination of morphological features and molecular evidence. Sequences of internal transcribed spacer and large subunit region of nuculear ribosomal RNA gene of the studied samples were generated, and phylogenetic analyses were performed using maximum likelihood, maximum parsimony and bayesian inference methods. Steccherinum hirsutum is characterized by an annual growth habit, stipitate basidiocarps with scarlet to red, odontioid hymenial surface, a dimitic hyphal system with clamped generative hyphae negative in Melzer's reaction, and acyanophilous basidiospores measuring 2.5-3.5 x 1.5-2.5 mu m. Steccherinum yunnanense is distinguished by resupinate basidiomata with odontioid hymenial surface, a dimitic hyphal system with clamped generative hyphae, strongly encrusted cystidia and ellipsoid, hyaline, thin-walled, smooth basidiospores (3.5-4.5 x 2-3.5 mu m). The phylogenetic analyses comfirmed that two new species nest in Steccherinum, in the residual polyporoid clade.</t>
  </si>
  <si>
    <t>Dong, Jun-Hong</t>
  </si>
  <si>
    <t>[Dong, Jun-Hong; Wu, Ya-Xing; Zhao, Chang-Lin] Southwest Forestry Univ, Key Lab Forest Resources Conservat &amp; Utilizat Sou, Minist Educ, Kunming 650224, Yunnan, Peoples R China; [Dong, Jun-Hong; Wu, Ya-Xing; Zhao, Chang-Lin] Southwest Forestry Univ, Coll Biodivers Conservat, Kunming 650224, Yunnan, Peoples R China; [Zhao, Chang-Lin] Chinese Acad Sci, Kunming Inst Bot, Yunnan Key Lab Fungal Divers &amp; Green Dev, Kunming 650201, Yunnan, Peoples R China</t>
  </si>
  <si>
    <t>Zhao, CL (通讯作者)，Southwest Forestry Univ, Key Lab Forest Resources Conservat &amp; Utilizat Sou, Minist Educ, Kunming 650224, Yunnan, Peoples R China.;Zhao, CL (通讯作者)，Southwest Forestry Univ, Coll Biodivers Conservat, Kunming 650224, Yunnan, Peoples R China.;Zhao, CL (通讯作者)，Chinese Acad Sci, Kunming Inst Bot, Yunnan Key Lab Fungal Divers &amp; Green Dev, Kunming 650201, Yunnan, Peoples R China.</t>
  </si>
  <si>
    <t>fungichanglinz@163.com</t>
  </si>
  <si>
    <t>National Natural Science Foundation of China [32170004]; Yunnan Fundamental Research Project [202001AS070043]; High-level Talents Program of Yunnan Province [YNQR-QNRC-2018-111]</t>
  </si>
  <si>
    <t>The research is supported by the National Natural Science Foundation of China (Project No. 32170004), Yunnan Fundamental Research Project (Grant No. 202001AS070043) and the High-level Talents Program of Yunnan Province (YNQR-QNRC-2018-111).</t>
  </si>
  <si>
    <t>10.47371/mycosci.2022.02.002</t>
  </si>
  <si>
    <t>2S4ZA</t>
  </si>
  <si>
    <t>WOS:000821800800002</t>
  </si>
  <si>
    <t>Ye, XY; Xu, ZC; Cheng, YH; Wang, WH; Li, DZ</t>
  </si>
  <si>
    <t>Ye, Xia-Ying; Xu, Zu-Chang; Cheng, Yue-Hong; Wang, Wei-Hua; Li, De -Zhu</t>
  </si>
  <si>
    <t>Inflorescences of Fargesia angustissima TP Yi and Yushania pauciramificans TP Yi (Poaceae, Bambusoideae) shed light on the taxonomy of the Sino-Himalayan alpine bamboos</t>
  </si>
  <si>
    <t>PHYTOKEYS</t>
  </si>
  <si>
    <t>Borinda; Fargesia; infloresence; reproductive characters; Yushania</t>
  </si>
  <si>
    <t>REVISION</t>
  </si>
  <si>
    <t>The taxonomy of the Sino-Himalayan alpine bamboos is controversial due to their complex evolutionary history and further complicated by the scarcity of inflorescence. Here, we supplement the description of the inflorescence of Fargesia angustissima T.P. Yi and Yushania pauciramificans T.P. Yi, which shed light on the taxonomy of Fargesia Franchet, Borinda Stapleton and Yushania Keng. F. angustissima has compressed inflorescence unilateral stretching out from reduced spathe, showing a transitional state between species with condensed inflorescence embraced by spathe-like bracts and species with open inflorescence without bracts. Considering that extensive gene flow existed between several clades of Fargesia found in recent studies, a broadly-defined Fargesia s. l. should be adopted. Meanwhile, the inflorescence of Y. pauciramificans has typical characteristics of Yushania, such as axilla with tuberculate glands, rachilla internodes ciliate and cylindrical florets, supporting the delimitation of Yushania.</t>
  </si>
  <si>
    <t>Ye, Xia-Ying</t>
  </si>
  <si>
    <t>[Ye, Xia-Ying; Wang, Wei-Hua] Zhaotong Univ, Agron &amp; Life Sci Dept, Zhaotong 657000, Yunnan, Peoples R China; [Ye, Xia-Ying; Xu, Zu-Chang; Li, De -Zhu] Chinese Acad Sci, Kunming Inst Bot, Germplasm Bank Wild Species, Kunming 650201, Yunnan, Peoples R China; [Cheng, Yue-Hong] Sichuan Wolong Natl Nat Reserve Adm, Aba 623000, Sichuan, Peoples R China</t>
  </si>
  <si>
    <t>Zhaotong University; Chinese Academy of Sciences; Kunming Institute of Botany, CAS</t>
  </si>
  <si>
    <t>Li, DZ (通讯作者)，Chinese Acad Sci, Kunming Inst Bot, Germplasm Bank Wild Species, Kunming 650201, Yunnan, Peoples R China.</t>
  </si>
  <si>
    <t>National Natural Science Foundation of China [32260307]; Strategic Priority Research Program of Chinese Academy of Sciences [XDB31000000]; Fundamental Research Foundation of Yunnan Province [2019FD059]</t>
  </si>
  <si>
    <t>National Natural Science Foundation of China(National Natural Science Foundation of China (NSFC)); Strategic Priority Research Program of Chinese Academy of Sciences(Chinese Academy of Sciences); Fundamental Research Foundation of Yunnan Province</t>
  </si>
  <si>
    <t>We thank Peng-Fei Ma, Cen Guo, Yu-Jiao Wang, Ling Mao, Jia-Wei Sun of Kunming Institute of Botany, Chinese Academy of Science, and the guide of Gasa Town, Xinping, Yunnan, for their assistance with collecting specimens. The study was funded by the National Natural Science Foundation of China (No. 32260307) , the Strategic Priority Research Program of Chinese Academy of Sciences (No. XDB31000000) , and the Ap- plied and Fundamental Research Foundation of Yunnan Province (No. 2019FD059) .</t>
  </si>
  <si>
    <t>1314-2011</t>
  </si>
  <si>
    <t>1314-2003</t>
  </si>
  <si>
    <t>PhytoKeys</t>
  </si>
  <si>
    <t>DEC 9</t>
  </si>
  <si>
    <t>10.3897/phytokeys.215.94010</t>
  </si>
  <si>
    <t>6Z1NO</t>
  </si>
  <si>
    <t>WOS:000897548400001</t>
  </si>
  <si>
    <t>Yang, JW; Qin, XM; Xu, J; Li, CR; Ren, QF; Yuan, MQ; Zhang, Q; Yi, SR; Cai, L</t>
  </si>
  <si>
    <t>Yang, Jia-Wen; Qin, Xin-Mei; Xu, Jian; Li, Cong-Rui; Ren, Qi-Fei; Yuan, Mao-Qin; Zhang, Qiang; Yi, Si-Rong; Cai, Lei</t>
  </si>
  <si>
    <t>Oreocharis qianyuensis, a new species of Gesneriaceae from Southwest, China based on morphological and molecular evidence</t>
  </si>
  <si>
    <t>Flora of China; Morphology; Oreocharis; Phylotranscriptomics</t>
  </si>
  <si>
    <t>TREMACRON-HONGHEENSE; GUIZHOU; YUNNAN</t>
  </si>
  <si>
    <t>Oreocharis qianyuensis, a new species of Gesneriaceae from Southwest, China, is described and illustrated based on morphological comparisons and molecular phylogenetic analyses. Phylotranscriptomic analyses of the new species in the context of a comprehensive phylogeny with dense sampling of 88% (111/126) of all species of the genus indicated that the new species was most closely-related to O. fargesii. The new species is morphologically similar to O. fargesii and O. nanchuanica in the shape, color and structure of flowers and the number of stamens, but differs in the leaf blade shape, margin and the indumentum char-acters of the inflorescence. Its morphological relationship with similar species is discussed, the detailed descriptions, colour photographs, distribution, as well as the IUCN threatened status based on the IUCN Red List Categories and Criteria are also provided.</t>
  </si>
  <si>
    <t>Yang, Jia-Wen</t>
  </si>
  <si>
    <t>[Yang, Jia-Wen; Xu, Jian; Ren, Qi-Fei; Yuan, Mao-Qin] Guizhou Bot Garden, Guiyang 550004, Guizhou, Peoples R China; [Qin, Xin-Mei; Zhang, Qiang] Guangxi Zhuang Autonomous Reg &amp; Chinese Acad Sci, Guangxi Inst Bot, Guangxi Key Lab Plant Conservat &amp; Restorat Ecol Ka, Guilin 541006, Peoples R China; [Li, Cong-Rui] Guizhou Acad Forestry, Guiyang 550000, Guizhou, Peoples R China; [Yi, Si-Rong] Chongqing Three Gorges Med Coll, Chongqing 404120, Peoples R China; [Cai, Lei] Chinese Acad Sci, Kunming Inst Bot, Yunnan Key Lab Integrat Conservat Plant Species Ex, Kunming, Yunnan, Peoples R China; [Cai, Lei] Chinese Acad Sci, Kunming Inst Bot, Key Lab Plant Divers &amp; Biogeog East Asia, Kunming 650201, Yunnan, Peoples R China</t>
  </si>
  <si>
    <t>Chongqing Three Gorges University; Chinese Academy of Sciences; Kunming Institute of Botany, CAS; Chinese Academy of Sciences; Kunming Institute of Botany, CAS</t>
  </si>
  <si>
    <t>Yi, SR (通讯作者)，Chongqing Three Gorges Med Coll, Chongqing 404120, Peoples R China.;Cai, L (通讯作者)，Chinese Acad Sci, Kunming Inst Bot, Yunnan Key Lab Integrat Conservat Plant Species Ex, Kunming, Yunnan, Peoples R China.;Cai, L (通讯作者)，Chinese Acad Sci, Kunming Inst Bot, Key Lab Plant Divers &amp; Biogeog East Asia, Kunming 650201, Yunnan, Peoples R China.</t>
  </si>
  <si>
    <t>yisirong123@aliyun.com; cailei@mail.kib.ac.cn</t>
  </si>
  <si>
    <t>Science &amp; Technology Basic Resources Investigation Program of China [QKYKZHZ [2019107]; Program of Guizhou Science and Technology Department [QKYJHZ [2017115]; Guizhou Provincial Science and Technology Foundation (QKHJC) [QLKH [2022104]; Provincial Research Funds of Guizhou Academy of Sciences; Youth Fund project of Guizhou Academy of Sciences; Forestry Science and Technology Project of Guizhou Forestry Bureau;  [2017FY100100];  [201712523];  [202011Y066]</t>
  </si>
  <si>
    <t xml:space="preserve">Science &amp; Technology Basic Resources Investigation Program of China; Program of Guizhou Science and Technology Department; Guizhou Provincial Science and Technology Foundation (QKHJC); Provincial Research Funds of Guizhou Academy of Sciences; Youth Fund project of Guizhou Academy of Sciences; Forestry Science and Technology Project of Guizhou Forestry Bureau; ; ; </t>
  </si>
  <si>
    <t>We are grateful to Ms. Xuan-Lin Zhu for the illustration, and we thank Dr. Li-Hua Yang for his assistance of providing valuable suggestions. This study was financially jointly supported by the Science &amp; Technology Basic Resources Investigation Program of China (grant no. 2017FY100100) ; the Program of Guizhou Science and Technology Department (grant no. [201712523) , Guizhou Provincial Science and Technology Foundation (QKHJC) (grant no. [202011Y066) ; Provincial Research Funds of Guizhou Academy of Sciences (grant no. QKYKZHZ [2019107) ; Youth Fund project of Guizhou Academy of Sciences (grant no. QKYJHZ [2017115) ; Forestry Science and Technology Project of Guizhou Forestry Bureau (QLKH [2022104) .</t>
  </si>
  <si>
    <t>10.3897/phytokeys.213.84349</t>
  </si>
  <si>
    <t>6I3ZK</t>
  </si>
  <si>
    <t>WOS:000886066200001</t>
  </si>
  <si>
    <t>Wang, XM; Tang, Y; Peng, PH; Peng, H</t>
  </si>
  <si>
    <t>Wang, Xue-Man; Tang, Ying; Peng, Pei-Hao; Peng, Hua</t>
  </si>
  <si>
    <t>Hemipilia avisoides (Orchidaceae), a new species from Sichuan Province, China</t>
  </si>
  <si>
    <t>Arid valley; Minjiang River Valley; Orchidinae; taxonomy</t>
  </si>
  <si>
    <t>MOLECULAR PHYLOGENETICS; ORCHIDINAE; ORCHIDEAE; AMPLIFICATION; REGIONS; TAXA; MATK; RBCL</t>
  </si>
  <si>
    <t>A new orchid species, Hemipilia avisoides, is described from Songpan County and Maoxian County, Sichuan Province, China. Morphologically, H. avisoides is most similar to H. hui, but can be distinguished by the combination of its involute middle lip lobe that is smaller than the lateral lobes, floral bracts that are 5 mm long and are always shorter than the ovary, a leaf that is appressed to the substrate and is adaxi-ally green with white lines along 7-9 principal veins and the subterranean stem with a solitary sheath at its base. The floral morphology of H. avisoides is presented by utilising in vivo micro-CT scanning and 3D visualisation.</t>
  </si>
  <si>
    <t>Wang, Xue-Man</t>
  </si>
  <si>
    <t>[Wang, Xue-Man] Chengdu Univ Technol, Coll Earth Sci, Chengdu 610059, Sichuan, Peoples R China; [Tang, Ying; Peng, Pei-Hao] Chengdu Univ Technol, Coll Tourism &amp; Urban rural Planning, Chengdu 610059, Sichuan, Peoples R China; [Peng, Hua] Chinese Acad Sci, Kunming Inst Bot, CAS Key Lab Plant Divers &amp; Biogeog East Asia, Kunming 650201, Yunnan, Peoples R China</t>
  </si>
  <si>
    <t>Chengdu University of Technology; Chengdu University of Technology; Chinese Academy of Sciences; Kunming Institute of Botany, CAS</t>
  </si>
  <si>
    <t>Tang, Y (通讯作者)，Chengdu Univ Technol, Coll Tourism &amp; Urban rural Planning, Chengdu 610059, Sichuan, Peoples R China.</t>
  </si>
  <si>
    <t>sanxiaqutang@sina.com</t>
  </si>
  <si>
    <t>Special Project of Orchid Survey of National Forestry and Grassland Administration [2019073016]</t>
  </si>
  <si>
    <t>Special Project of Orchid Survey of National Forestry and Grassland Administration</t>
  </si>
  <si>
    <t>Our deepest gratitude goes to Dr Shou-Ming Chen from the Key Laboratory of Stra- tigraphy and Paleontology, Ministry of Natural Resources for his work in complet-ing the micro-CT scanning and 3D model reconstruction of the new species. We are grateful to Prof Wen -Lan Feng and Mr Jie Zheng from Chengdu University of Information Technology for their help in evaluating whether the new species occurs in the arid valley in the upper reaches of Minjiang River. We are indebted to Dr Jin-Bo Tan from the Herbarium of Sichuan University, Dr Fei Zhao from Kunming Institute of Botany, Chinese Academy of Sciences, Dr Yang -Jun Lai from Institute of Botany, Chinese Academy of Sciences and Prof Zhao-Yang Chang and Prof Zhen-Hai Wu from Northwest A &amp; F University for their help in checking herbarium specimens. We thank Ms Wen-Qin Yuan and Mr Yu-Tong Zhu from Chengdu University of Technol- ogy for their assistance during our field trips. This study was supported by the Special Project of Orchid Survey of National Forestry and Grassland Administration (contract no. 2019073016) .</t>
  </si>
  <si>
    <t>10.3897/phytokeys.213.90377</t>
  </si>
  <si>
    <t>6I5ZR</t>
  </si>
  <si>
    <t>WOS:000886206700001</t>
  </si>
  <si>
    <t>Chen, YP; Xiao, JF; Xiang, CL; Li, X</t>
  </si>
  <si>
    <t>Chen, Ya-Ping; Xiao, Jin-Fei; Xiang, Chun-Lei; Li, Xiong</t>
  </si>
  <si>
    <t>Paraphlomis hsiwenii (Lamiaceae), a new species from the limestone area of Guangxi, China</t>
  </si>
  <si>
    <t>Ajugoides; karst; Matsumurella; nutlet; Paraphlomideae</t>
  </si>
  <si>
    <t>LAMIACEAE</t>
  </si>
  <si>
    <t>The indumentum of nutlets is shown to be of phylogenetic importance in previous molecular phyloge-netic studies of Paraphlomis, a genus of Lamiaceae with approximately 30 species distributed mainly in southern China and Southeast Asia. Nearly half the species of Paraphlomis are known from limestone areas. In this study, we described and illustrated a new species, P. hsiwenii, from the karst mountain for-ests in Guangxi Zhuang Autonomous Region, China. Our molecular phylogenetic analyses revealed that P. hsiwenii is recovered in a clade consisting of species with hairy nutlets. The new species is morphologi-cally most similar to P. pagantha from the same clade, but they differ in the morphology of lamina bases, length of pedicels and calyces, as well as the morphology of upper corolla lips.</t>
  </si>
  <si>
    <t>[Chen, Ya-Ping; Xiao, Jin-Fei; Xiang, Chun-Lei] Chinese Acad Sci, Kunming Inst Bot, CAS Key Lab Plant Divers &amp; Biogeog East Asia, Kunming 650201, Peoples R China; [Li, Xiong] Guangxi Forestry Inventory &amp; Planning Inst, Nanning 530011, Peoples R China</t>
  </si>
  <si>
    <t>Xiang, CL (通讯作者)，Chinese Acad Sci, Kunming Inst Bot, CAS Key Lab Plant Divers &amp; Biogeog East Asia, Kunming 650201, Peoples R China.;Li, X (通讯作者)，Guangxi Forestry Inventory &amp; Planning Inst, Nanning 530011, Peoples R China.</t>
  </si>
  <si>
    <t>xiangchunlei@mail.kib.ac.cn; 469745664@qq.com</t>
  </si>
  <si>
    <t>National Natural Science Foundation of China [31800168]; Yunnan Fundamental Research Projects [202101AU070067, 202101AT070159]</t>
  </si>
  <si>
    <t>National Natural Science Foundation of China(National Natural Science Foundation of China (NSFC)); Yunnan Fundamental Research Projects</t>
  </si>
  <si>
    <t>We would like to thank the staff of the following herbaria for their kind help in re- search facilities: BM, CDBI, E, GXMI, HIB, IBK, IBSC, K, KUN, KYO, MW, NAS, PE, SZ, TI. Thanks are also given to Mr. Xiao-Lei Ma for his help in field collec- tion, and to the reviewers for their valuable suggestions that improved our manu- script. This work was supported by the National Natural Science Foundation of China (Grant No. 31800168) and the Yunnan Fundamental Research Projects (Grant Nos. 202101AU070067 &amp; 202101AT070159) to YPC. Thanks are also given to Mr. Xiao- Lei Ma for his help in field collection, and to the reviewers for their valuable sugges- tions that improved our manuscript.</t>
  </si>
  <si>
    <t>10.3897/phytokeys.212.91174</t>
  </si>
  <si>
    <t>6C6YD</t>
  </si>
  <si>
    <t>WOS:000882156100003</t>
  </si>
  <si>
    <t>Peng, JY; Zhang, DG; Deng, T; Huang, XH; Chen, JT; Meng, Y; Wang, Y; Zhou, Q</t>
  </si>
  <si>
    <t>Peng, Jing-Yi; Zhang, Dai-Gui; Deng, Tao; Huang, Xian-Han; Chen, Jun-Tong; Meng, Ying; Wang, Yi; Zhou, Qiang</t>
  </si>
  <si>
    <t>Sinosenecio yangii (Asteraceae), a new species from Guizhou, China</t>
  </si>
  <si>
    <t>molecular evidence; morphology; pappus</t>
  </si>
  <si>
    <t>SENECIONEAE</t>
  </si>
  <si>
    <t>A new species Sinosenecio yangii D.G. Zhang &amp; Q. Zhou (Asteraceae, Senecioneae) from Guizhou Prov-ince, China, is described and illustrated based on its morphological characteristics and molecular evidence. It closely resembles S. confervifer and S. guangxiensis, the former in the scapigerous habit and smooth and glabrous achene surface, the latter in the calyculate involucre and purple abaxial leaf surface, and both in the shape and indumentum of leaf lamina, but differs markedly from the latter two in having fewer ca-pitula and epappose achenes. Phylogenetic analysis based on nrITS and ndhC-trnVsequences shows that this new species belongs to the S. latouchei clade and is sister to S. guangxiensis with moderate support.</t>
  </si>
  <si>
    <t>[Peng, Jing-Yi; Zhang, Dai-Gui; Meng, Ying; Wang, Yi; Zhou, Qiang] Jishou Univ, Coll Biol &amp; Environm Sci, Jishou 416000, Hunan, Peoples R China; [Zhang, Dai-Gui; Meng, Ying; Zhou, Qiang] Jishou Univ, Coll Hunan Prov, Key Lab Plant Resources Conservat &amp; Utilizat, Jishou 416000, Hunan, Peoples R China; [Deng, Tao; Huang, Xian-Han; Chen, Jun-Tong] Chinese Acad Sci, Kunming Inst Bot, CAS Key Lab Plant Divers &amp; Biogeog East Asia, Kunming 650201, Yunnan, Peoples R China</t>
  </si>
  <si>
    <t>Jishou University; Jishou University; Chinese Academy of Sciences; Kunming Institute of Botany, CAS</t>
  </si>
  <si>
    <t>zhou, qiang/HGB-1569-2022</t>
  </si>
  <si>
    <t>Ecological Adaptability of Four Narrow Endemic Sinosenecio Species in Wuling Mountain Region [31860117]; National Natural Science Foundation of China</t>
  </si>
  <si>
    <t>Ecological Adaptability of Four Narrow Endemic Sinosenecio Species in Wuling Mountain Region; National Natural Science Foundation of China(National Natural Science Foundation of China (NSFC))</t>
  </si>
  <si>
    <t>We thank Chumiao Xie and Xin-yuan Kuai for preparing the line drawing and illus- tration. We are very grateful to Wen-guang Sun (Yunnan Normal University) for his help in the experimental part of the manuscript. This work was supported by the Ecological Adaptability of Four Narrow Endemic Sinosenecio Species in Wuling Mountain Region (31860117) , National Natural Science Foundation of China.</t>
  </si>
  <si>
    <t>SEP 27</t>
  </si>
  <si>
    <t>10.3897/phytokeys.210.89480</t>
  </si>
  <si>
    <t>6C5DX</t>
  </si>
  <si>
    <t>WOS:000882035900001</t>
  </si>
  <si>
    <t>Qiu, YL; Xu, KW; Ju, WB; Zhao, WL; Zhang, L</t>
  </si>
  <si>
    <t>Qiu, Yong -Lin; Xu, Ke-Wang; Ju, Wen-Bin; Zhao, Wang -Lin; Zhang, Liang</t>
  </si>
  <si>
    <t>Hymenasplenium tholiformis (Aspleniaceae), a new fern species from southeastern Xizang, China based on morphological and molecular evidence</t>
  </si>
  <si>
    <t>Hymenasplenium; H; excisum subclade; Medog; pinna morphology</t>
  </si>
  <si>
    <t>LIKELIHOOD; GENUS; ORCHIDACEAE</t>
  </si>
  <si>
    <t>A new species of Aspleniaceae, Hymenasplenium tholiformis sp. nov., is described from Medog County in southeastern Xizang, China. The new species is morphologically similar to H. apogamum and H. szechuan-ense, but the former has ascending pinnae, pinna apex obtuse to rounded, pinna-marginal teeth entire, and veins terminating just below marginal teeth. Phylogenetic analysis based on five plastid markers confirmed that this new species represents a diverging lineage in the H. excisum subclade of Hymenasplenium.</t>
  </si>
  <si>
    <t>Qiu, Yong -Lin</t>
  </si>
  <si>
    <t>[Qiu, Yong -Lin] Yunnan Univ, Sch Ecol &amp; Environm Sci, Kunming 650091, Peoples R China; [Xu, Ke-Wang] Nanjing Forestry Univ, Coll Biol &amp; Environm, Coinnovat Ctr Sustainable Forestry Southern China, Nanjing 210037, Peoples R China; [Xu, Ke-Wang] Nanjing Forestry Univ, Coll Biol &amp; Environm, Key Lab Natl Forestry &amp; Grassland Adm Subtrop Fore, Nanjing 210037, Peoples R China; [Ju, Wen-Bin] Chinese Acad Sci, Chengdu Inst Biol, Key Lab Mt Ecol Restorat &amp; Bioresource Utilizat &amp;, Chengdu 610041, Peoples R China; [Zhao, Wang -Lin] Tibet Univ, Coll Sci, Lhasa 850000, Peoples R China; [Zhao, Wang -Lin] Chinese Acad Sci, Motuo Observat &amp; Res Ctr Earth Landscape &amp; Earth S, Beijing 860712, Linzhi, Peoples R China; [Zhang, Liang] Chinese Acad Sci, Kunming Inst Bot, CAS Key Lab Plant Divers &amp; Biogeog East Asia, Kunming 650201, Peoples R China</t>
  </si>
  <si>
    <t>Yunnan University; Nanjing Forestry University; Nanjing Forestry University; Chinese Academy of Sciences; Chengdu Institute of Biology, CAS; Tibet University; Chinese Academy of Sciences; Chinese Academy of Sciences; Kunming Institute of Botany, CAS</t>
  </si>
  <si>
    <t>Zhang, L (通讯作者)，Chinese Acad Sci, Kunming Inst Bot, CAS Key Lab Plant Divers &amp; Biogeog East Asia, Kunming 650201, Peoples R China.</t>
  </si>
  <si>
    <t>zhangliang@mail.kib.ac.cn</t>
  </si>
  <si>
    <t>Second Tibetan Plateau Scientific Expedition and Research (STEP) program [2019QZKK0502]; National Natural Science Foundation of China [32100167]</t>
  </si>
  <si>
    <t>Second Tibetan Plateau Scientific Expedition and Research (STEP) program; National Natural Science Foundation of China(National Natural Science Foundation of China (NSFC))</t>
  </si>
  <si>
    <t>Acknowledgements The research was supported by the Second Tibetan Plateau Scientific Expedition and Research (STEP) program (2019QZKK0502) and the National Natural Science Foundation of China (#32100167) . We thank Dr. Bo Xu and Dr. Meng Li for their assistance in the field.</t>
  </si>
  <si>
    <t>10.3897/phytokeys.204.85746</t>
  </si>
  <si>
    <t>3Z7GE</t>
  </si>
  <si>
    <t>WOS:000844584400001</t>
  </si>
  <si>
    <t>Dong, SY; Li, SH; Huang, L; Tan, SS; Zuo, ZY</t>
  </si>
  <si>
    <t>Dong, Shi-Yong; Li, Shu-Hang; Huang, Ling; Tan, Shi-Shi; Zuo, Zheng-Yu</t>
  </si>
  <si>
    <t>A phylogenetic and morphological study of the Tectaria fuscipes group (Tectariaceae), with description of a new species</t>
  </si>
  <si>
    <t>fern; mainland Asia; molecular phylogeny; morphology; taxonomy</t>
  </si>
  <si>
    <t>The fern species Tectaria fuscipes and morphologically similar species, which are common in tropical and subtropical mainland Asia, constitute a taxonomically confusing group. To better understand species boundaries and relationships within the T. fuscipes group, we conducted phylogenetic analyses of five plastid regions and morphological observations of herbarium specimens and living plants. As a result, we produced a generally well-resolved phylogeny of the T. fuscipes group and related species in Asia. The phylogenetic analyses supported the monophyly of the T. fuscipes group, which includes T. dissecta, T. fuscipes, T. ingens, T. paradoxa, T. setulosa, T. subfuscipes, T. subsageniacea and a new species, but excludes T. kusukusensis. However, T. fuscipes, T. subfuscipes and T. subsageniacea are almost indistinguishable in morphology, which form a complex characterised by the black linear-lanceolate stipe scales. The new species found in southern China and Vietnam is described here as T. fungii. It is similar to the T. fuscipes complex and T. kusukusensis, but differs from the former mainly by its brown-castaneous lanceolate stipe scales and from the latter by having nearly hairless laminae (versus frond axes abaxially bearing copious hairs).</t>
  </si>
  <si>
    <t>[Dong, Shi-Yong; Li, Shu-Hang; Huang, Ling; Tan, Shi-Shi] Chinese Acad Sci, South China Bot Garden, Key Lab Plant Resources Conservat &amp; Sustainable U, Guangzhou 510650, Peoples R China; [Dong, Shi-Yong] Chinese Acad Sci, Ctr Conservat Biol, Core Bot Gardens, Guangzhou 510650, Peoples R China; [Li, Shu-Hang; Huang, Ling; Tan, Shi-Shi; Zuo, Zheng-Yu] Univ Chinese Acad Sci, Beijing 100049, Peoples R China; [Zuo, Zheng-Yu] Chinese Acad Sci, Kunming Inst Bot, Germplasm Bank Wild Species, Kunming 650201, Yunnan, Peoples R China; [Zuo, Zheng-Yu] Yunnan Univ, Sch Life Sci, Kunming 650500, Yunnan, Peoples R China</t>
  </si>
  <si>
    <t>Chinese Academy of Sciences; South China Botanical Garden, CAS; Chinese Academy of Sciences; Chinese Academy of Sciences; University of Chinese Academy of Sciences, CAS; Chinese Academy of Sciences; Kunming Institute of Botany, CAS; Yunnan University</t>
  </si>
  <si>
    <t>Dong, SY (通讯作者)，Chinese Acad Sci, South China Bot Garden, Key Lab Plant Resources Conservat &amp; Sustainable U, Guangzhou 510650, Peoples R China.;Dong, SY (通讯作者)，Chinese Acad Sci, Ctr Conservat Biol, Core Bot Gardens, Guangzhou 510650, Peoples R China.</t>
  </si>
  <si>
    <t>Zuo, Zheng-Yu/0000-0002-8334-6132</t>
  </si>
  <si>
    <t>National Natural Science Foundation of China [31270258, 31670203]</t>
  </si>
  <si>
    <t>We thank the curators of Herbaria BM, BO, DACB, E, GAUA, HITBC, HN, HNU, IBK, K, KUN, L, LAE, P, PE, PNH, PYU, SING and TAIF for allowing access to their collections. We are grateful to Yi-Han Chang and Ralf Knapp for sharing some DNA materials from Taiwan and to Alison Paul for sharing the images of the holotype of T. fungii at BM. This study was supported by National Natural Science Foundation of China (grant nos. 31270258 &amp; 31670203).</t>
  </si>
  <si>
    <t>MAY 9</t>
  </si>
  <si>
    <t>10.3897/phytokeys.195.80452</t>
  </si>
  <si>
    <t>1K3OI</t>
  </si>
  <si>
    <t>WOS:000798514100002</t>
  </si>
  <si>
    <t>Wang, ZH; Wang, Y; Chen, L; Peng, H; Wu, ZK; Guo, G</t>
  </si>
  <si>
    <t>Wang, Ze-Huan; Wang, Yi; Chen, Li; Peng, Hua; Wu, Zhi-Kun; Guo, Guang</t>
  </si>
  <si>
    <t>Primula longipilosa (Primulaceae), a new species from Yunnan, China</t>
  </si>
  <si>
    <t>Morphological characteristics; nrITS; phylogenetic analysis; Primula mollis</t>
  </si>
  <si>
    <t>Primula longipilosa from SW Yunnan, China, is described as a species new to science and illustrated. The systematic placement of this new species is also discussed based on an nrITS molecular tree. It is morphologically most similar to P. mollis, but dillers from the latter in its racemose inflorescence, green calyx tube, pink to pink rose corolla, stamens at 1/3 length above the base of the corolla tube and applanate globose capsule.</t>
  </si>
  <si>
    <t>Wang, Ze-Huan</t>
  </si>
  <si>
    <t>[Wang, Ze-Huan; Wu, Zhi-Kun] Guizhou Univ Tradit Chinese Med, Coll Pharm, Dept Tradit Chinese Med Resources &amp; Dev, Guiyang 550025, Guizhou, Peoples R China; [Wang, Yi] Key Lab Forest Plant Cultivat Dev &amp; Utilizat Yunn, Yunnan, Peoples R China; [Wang, Yi] Yunnan Acad Forestry &amp; Grassland Sci, State Forestry Adm, Yunnan Key Lab Conservat &amp; Breeding Rare &amp; Endan, Kunming 650201, Yunnan, Peoples R China; [Chen, Li; Peng, Hua] Chinese Acad Sci, Kunming Inst Bot, CAS, Key Lab Plant Div &amp; Biogeog East Asia, Kunming 650201, Yunnan, Peoples R China; [Guo, Guang] Forestry &amp; Grassland Bur, Lincang 677000, Yunnan, Peoples R China</t>
  </si>
  <si>
    <t>Wang, Y (通讯作者)，Key Lab Forest Plant Cultivat Dev &amp; Utilizat Yunn, Yunnan, Peoples R China.;Wang, Y (通讯作者)，Yunnan Acad Forestry &amp; Grassland Sci, State Forestry Adm, Yunnan Key Lab Conservat &amp; Breeding Rare &amp; Endan, Kunming 650201, Yunnan, Peoples R China.</t>
  </si>
  <si>
    <t>22825818@qq.com</t>
  </si>
  <si>
    <t>National Natural Science Foundation of China [31500168, GZY-KJS-2018-004]</t>
  </si>
  <si>
    <t>The authors are grateful to Dr. Y. Luo for her illustrations and Dr. F. Zhao for his help in finding the old literature. This study was supported by the National Natural Science Foundation of China (grant no. 31500168) and the specific funds for the Fourth Na-tional Survey on Chinese Material Medica Resources (GZY-KJS-2018-004) .</t>
  </si>
  <si>
    <t>APR 11</t>
  </si>
  <si>
    <t>10.3897/phytokeys.194.81335</t>
  </si>
  <si>
    <t>0U6NQ</t>
  </si>
  <si>
    <t>WOS:000787766700002</t>
  </si>
  <si>
    <t>Shchegoleva, NV; Nikitina, EV; Juramurodov, IJ; Zverev, AA; Turginov, OT; Jabborov, AM; Yusupov, Z; Dekhkonov, DB; Deng, T; Sun, H</t>
  </si>
  <si>
    <t>Shchegoleva, Natalia, V; Nikitina, Elena, V; Juramurodov, Inom J.; Zverev, Andrei A.; Turginov, Orzimat T.; Jabborov, Anvarbek M.; Yusupov, Ziyoviddin; Dekhkonov, Davron B.; Deng, Tao; Sun, Hang</t>
  </si>
  <si>
    <t>A new species of Ranunculus (Ranunculaceae) from Western Pamir-Alay, Uzbekistan</t>
  </si>
  <si>
    <t>Endemic; Hissar Range; Pamir-Alay; phylogenetic analysis; Ranunculales; Ranunculastrum</t>
  </si>
  <si>
    <t>EVOLUTIONARY</t>
  </si>
  <si>
    <t>New data on the phylogeny of four rare and endemic species of Ranunculus L. (sect. Ranunculastrum DC.) of western Pamir-Alai, one of which is new to science, have been obtained. Ranunculus tojibaevii sp. nov., from the Baysuntau Mountains, Western Hissar Range of Uzbekistan, is described. The new species is closely related to R. botschantzevii Ovcz., R. convexiusculus Kovalevsk. and R. alpigenus Kom., but differs in the blade of the radical leaves, which is rounded-reniform, segments 3-5-dissected, each 2-5-partite with elongated, rounded apical lobes. A phylogenetic analysis, using both the nuclear ribosomal internal transcribed spacer (ITS) and cpDNA (matK, rbcL, trnL-trnF), was informative in placing R. tojibaevii in context with its most closely-related species. Discussion on the geographic distribution, updated identification key, a detailed description, insights about its habitat and illustrations are provided.</t>
  </si>
  <si>
    <t>Shchegoleva, Natalia, V</t>
  </si>
  <si>
    <t>[Shchegoleva, Natalia, V] Tomsk State Univ, Inst Biol, Dept Bot, 36 Lenin Ave, Tomsk 634050, Russia; [Nikitina, Elena, V] Acad Sci Uzbek, Inst Bot, Lab Cadastre &amp; Monitoring Rare Plant Species, 32 Durmon Yuli St, Tashkent 100125, Uzbekistan; [Juramurodov, Inom J.; Turginov, Orzimat T.; Jabborov, Anvarbek M.] Acad Sci Uzbek, Inst Bot, Lab Flora Uzbekistan, 32 Durmon Yuli St, Tashkent 100125, Uzbekistan; [Juramurodov, Inom J.] Univ Chinese Acad Sci, Beijing, Peoples R China; [Zverev, Andrei A.] Russian Acad Sci, Siberian Branch, Cent Siberian Bot Garden, Novosibirsk 630090, Russia; [Yusupov, Ziyoviddin; Dekhkonov, Davron B.] Acad Sci Uzbek, Inst Bot, Lab Mol Phylogeny &amp; Biogeog, 32 Durmon Yuli St, Tashkent 100125, Uzbekistan; [Yusupov, Ziyoviddin; Deng, Tao; Sun, Hang] Chinese Acad Sci, Kunming Inst Bot, CAS Key Lab Plant Divers &amp; Biogeog East Asia, Kunming 650201, Yunnan, Peoples R China</t>
  </si>
  <si>
    <t>Tomsk State University; Academy of Sciences of Uzbekistan; Institute of Botany, Uzbekistan; Academy of Sciences of Uzbekistan; Institute of Botany, Uzbekistan; Chinese Academy of Sciences; University of Chinese Academy of Sciences, CAS; Central Siberian Botanical Garden; Russian Academy of Sciences; Academy of Sciences of Uzbekistan; Institute of Botany, Uzbekistan; Chinese Academy of Sciences; Kunming Institute of Botany, CAS</t>
  </si>
  <si>
    <t>Shchegoleva, NV (通讯作者)，Tomsk State Univ, Inst Biol, Dept Bot, 36 Lenin Ave, Tomsk 634050, Russia.;Sun, H (通讯作者)，Chinese Acad Sci, Kunming Inst Bot, CAS Key Lab Plant Divers &amp; Biogeog East Asia, Kunming 650201, Yunnan, Peoples R China.</t>
  </si>
  <si>
    <t>schegoleva@outlook.com; sunhang@mail.kib.ac.cn</t>
  </si>
  <si>
    <t>Yusupov, Ziyoviddin/AAE-4357-2019; Dekhkonov, Davron/CAF-9977-2022; Juramurodov, Inom Jalilovich/CAG-0647-2022; Nikitina, Elena/AEK-4048-2022</t>
  </si>
  <si>
    <t>Yusupov, Ziyoviddin/0000-0003-2278-542X; Dekhkonov, Davron/0000-0002-2762-5268; Juramurodov, Inom Jalilovich/0000-0003-4972-8919; Nikitina, Elena/0000-0003-2113-9362; Zverev, Andrei/0000-0002-4394-4605</t>
  </si>
  <si>
    <t>International Partnership Program of the Chinese Academy of Sciences [151853KYSB20180009]; Second Tibetan Plateau Scientific Expedition and Research (STEP) program [2019QZKK0502]; Strategic Priority Research Program of the Chinese Academy of Sciences [XDA20050203]; National Natural Science Foundation of China [U1802232]; Youth Innovation Promotion Association of the Chinese Academy of Sciences [2019382]; Yunnan Young &amp; Elite Talents Project [YNWR-QNBJ-2019-033]; Chinese Academy of Sciences Light of West China Program; state research project Taxonomic revision of polymorphic plant families of the flora of Uzbekistan [FZ-20200929321]; State Program for 2021-2025 years Grid mapping of the flora of Uzbekistan; State Program for 2021-2025 years The creation of DNA bank and barcoding of endemic plants of Uzbekistan; Central Siberian Botanical Garden at Siberian Branch of Russian Academy of Sciences [AAAA-A21-121011290026-9]</t>
  </si>
  <si>
    <t>International Partnership Program of the Chinese Academy of Sciences; Second Tibetan Plateau Scientific Expedition and Research (STEP) program; Strategic Priority Research Program of the Chinese Academy of Sciences(Chinese Academy of Sciences); National Natural Science Foundation of China(National Natural Science Foundation of China (NSFC)); Youth Innovation Promotion Association of the Chinese Academy of Sciences; Yunnan Young &amp; Elite Talents Project; Chinese Academy of Sciences Light of West China Program; state research project Taxonomic revision of polymorphic plant families of the flora of Uzbekistan; State Program for 2021-2025 years Grid mapping of the flora of Uzbekistan; State Program for 2021-2025 years The creation of DNA bank and barcoding of endemic plants of Uzbekistan; Central Siberian Botanical Garden at Siberian Branch of Russian Academy of Sciences</t>
  </si>
  <si>
    <t>This study was supported by the International Partnership Program of the Chinese Academy of Sciences (151853KYSB20180009), the framework of the Second Tibetan Plateau Scientific Expedition and Research (STEP) program (2019QZKK0502), the Strategic Priority Research Program of the Chinese Academy of Sciences (XDA20050203), the Key Projects of the Joint Fund of the National Natural Science Foundation of China (U1802232), the Youth Innovation Promotion Association of the Chinese Academy of Sciences (2019382), Yunnan Young &amp; Elite Talents Project (YNWR-QNBJ-2019-033), the Chinese Academy of Sciences Light of West China Program, the state research project Taxonomic revision of polymorphic plant families of the flora of Uzbekistan (FZ-20200929321), the State Programs for 2021-2025 years Grid mapping of the flora of Uzbekistan and The creation of DNA bank and barcoding of endemic plants of Uzbekistan, as well as in accordance with the current State Assignment of Central Siberian Botanical Garden at Siberian Branch of Russian Academy of Sciences (AAAA-A21-121011290026-9).</t>
  </si>
  <si>
    <t>10.3897/phytokeys.193.70757</t>
  </si>
  <si>
    <t>0L5EB</t>
  </si>
  <si>
    <t>WOS:000781495400002</t>
  </si>
  <si>
    <t>Li, YY; Chen, YP; Jiang, LQ; Liu, ED; Luo, Y; Peng, H</t>
  </si>
  <si>
    <t>Li, Yuan-Yuan; Chen, Ya-Ping; Jiang, Li-Qiong; Liu, En-De; Luo, Yuan; Peng, Hua</t>
  </si>
  <si>
    <t>Carex malipoensis (Cyperaceae), a new species from southeast Yunnan, China</t>
  </si>
  <si>
    <t>morphology; taxonomy; Carex sect; Euprepes; &amp;nbsp; Carex trichophylla</t>
  </si>
  <si>
    <t>TRIBE CARICEAE; EVOLUTIONARY</t>
  </si>
  <si>
    <t>Carex malipoensis, a new species from southeast Yunnan, China, is here described and illustrated. It is morphologically similar to C. trichophylla in sect. Euprepes, but differs from it by its longer inflorescences and peduncles, pendulous spikes, hispidulous female glumes, densely hispidulous utricles, and longer nutlets.</t>
  </si>
  <si>
    <t>Li, Yuan-Yuan</t>
  </si>
  <si>
    <t>[Li, Yuan-Yuan; Chen, Ya-Ping; Liu, En-De; Luo, Yuan; Peng, Hua] Chinese Acad Sci, CAS Key Lab Plant Divers &amp; Biogeog East Asia, Kunming Inst Bot, Kunming 650201, Yunnan, Peoples R China; [Li, Yuan-Yuan; Luo, Yuan] Univ Chinese Acad Sci, Beijing 100049, Peoples R China; [Jiang, Li-Qiong] Yunnan Univ, Sch Ecol &amp; Environm Sci, Kunming 650091, Yunnan, Peoples R China; [Jiang, Li-Qiong] Yunnan Univ, Sch Life Sci, Kunming 650091, Yunnan, Peoples R China</t>
  </si>
  <si>
    <t>Peng, H (通讯作者)，Chinese Acad Sci, CAS Key Lab Plant Divers &amp; Biogeog East Asia, Kunming Inst Bot, Kunming 650201, Yunnan, Peoples R China.</t>
  </si>
  <si>
    <t>li, yuanyuan/GZA-4435-2022</t>
  </si>
  <si>
    <t>National Natural Science Foundation of China [31872649]</t>
  </si>
  <si>
    <t>We would like to thank Dr. Chun-Lei Xiang and two anonymous reviewers for their constructive suggestions that greatly improved this paper. We are grateful to the staff of herbaria IBSC, KUN and PE for their kind assistance with research facilities. We also thank Dr. Xin-Xin Zhu for providing the photographs of the new species. This work was supported by the National Natural Science Foundation of China (Grant No. 31872649) .</t>
  </si>
  <si>
    <t>10.3897/phytokeys.188.75401</t>
  </si>
  <si>
    <t>YG9AV</t>
  </si>
  <si>
    <t>WOS:000742772700001</t>
  </si>
  <si>
    <t>Wen, F; Xin, ZB; Hong, X; Cai, L; Chen, XY; Liang, JJ; Wang, HF; Maciejewski, S; Wei, YG; Fu, LF</t>
  </si>
  <si>
    <t>Wen, Fang; Xin, Zi-Bing; Hong, Xin; Cai, Lei; Chen, Xiao-Yun; Liang, Jun-Jie; Wang, Hui-Feng; Maciejewski, Stephen; Wei, Yi-Gang; Fu, Long-Fei</t>
  </si>
  <si>
    <t>Actinostephanus (Gesneriaceae), a new genus and species from Guangdong, South China</t>
  </si>
  <si>
    <t>Boeica; Didymocarpoideae; flora of China; IUCN; Leptoboea; phylogeny</t>
  </si>
  <si>
    <t>SP-NOV GESNERIACEAE; LIMESTONE AREAS; SEQUENCE; GUANGXI; GENERA; PLATFORM; CHIRITA</t>
  </si>
  <si>
    <t>Actinostephanus, a new genus from southern China, is described and colorfully illustrated with a single species, A. enpingensis. This new genus is morphologically most similar to Boeica and Leptoboea, nevertheless, it can be easily distinguished from the latter two by the following characteristics, such as leaves in whorls of three, all closely clustered at the top; corolla bowl-shaped, 5-lobed, actinomorphic; capsule hard, oblong-ovoid, short, 3-4 mm long, densely appressed villous, wrapped by persistent densely pubescent calyx lobes, style persistent. The new genus and related genera were sequenced using the next-generation sequencing technique. The whole plastid genome of the new genus is 154, 315 - 154, 344 bp in length. We reconstructed phylogenetic trees using the dataset of 80 encoded protein genes of the whole plastid genome from 47 accessions based on ML and BI analyses. The result revealed that the new genus was recovering in a polytomy including Boeica, Rhynchotechum, and Leptoboea with strong support, congruent to the morphological evidence. A global conservation assessment was also performed and classifies A. enpingensis as Least Concern (LC). In addition, after a review of recently described species of Gesneriaceae, we propose that plant enthusiasts, especially Gesneriad fans, have been playing an increasingly important role in the process of new taxa-discoveries.</t>
  </si>
  <si>
    <t>Wen, Fang</t>
  </si>
  <si>
    <t>[Wen, Fang; Xin, Zi-Bing; Wei, Yi-Gang; Fu, Long-Fei] Guangxi Zhuang Autonomous Reg &amp; Chinese Acad Sci, Guangxi Inst Bot, Guangxi Key Lab Plant Conservat &amp; Restorat Ecol K, CN-541006 Guilin, Peoples R China; [Wen, Fang; Xin, Zi-Bing; Wei, Yi-Gang; Fu, Long-Fei] Guangxi Zhuang Autonomous Reg &amp; Chinese Acad Sci, Guilin Bot Garden, Gesneriad Conservat Ctr China GCCC,China Wild Pla, Natl Gesnericweae Germplasm Bank GXIB,Gesneriad C, CN-541006 Guilin, Peoples R China; [Hong, Xin] Anhui Univ, Sch Resources &amp; Environm Engn, CN-230601 Hefei, Anhui, Peoples R China; [Cai, Lei] Chinese Acad Sci, Yunnan Key Lab Integrat Conservat Plant Species E, Kunming Inst OfBot, CN-650201 Kunming, Yunnan, Peoples R China; [Cai, Lei] Chinese Acad Sci, Key Lab Plant Divers &amp; Biogeog East Asia, Kunming Inst Bot, CN-650201 Kunming, Yunnan, Peoples R China; [Chen, Xiao-Yun; Liang, Jun-Jie] Guangdmg Enping Qixingkeng Prov Nat Reserve, Management Off, CN-529400 Enping, Peoples R China; [Wang, Hui-Feng] Guangzhou Linfang Ecol Co Ltd, CN-510520 Guangzhou, Guangdong, Peoples R China; [Maciejewski, Stephen] Gesneriad Soc, 2030 Fitzwater St, Philadelphia, PA 19146 USA</t>
  </si>
  <si>
    <t>Anhui University; Chinese Academy of Sciences; Chinese Academy of Sciences; Kunming Institute of Botany, CAS</t>
  </si>
  <si>
    <t>Wei, YG; Fu, LF (通讯作者)，Guangxi Zhuang Autonomous Reg &amp; Chinese Acad Sci, Guangxi Inst Bot, Guangxi Key Lab Plant Conservat &amp; Restorat Ecol K, CN-541006 Guilin, Peoples R China.</t>
  </si>
  <si>
    <t>weiyigang@aliyun.com; longfeifu@126.com</t>
  </si>
  <si>
    <t>Wen, Fang/0000-0002-3889-8835; Xin, Zibing/0000-0002-0062-6930; Cai, Lei/0000-0002-9251-2745</t>
  </si>
  <si>
    <t>National Natural Science Foundation [31860047]; Research and Development Project of Guangxi [Guike AD20159091, ZY21195050]; Guangxi Natural Science Foundation [2020GXNSFBA297049]; capacity-building project of SBR of CAS [KFJ-BRP-017-68]; Foundation of Guangxi Key Laboratory of Plant Conservation and Restoration Ecology in Karst Terrain [19-050-6, 19-187-5]; Basal Research Fund of GXIB [Guizhiye20009, Guizhifa010]; 21st Talent project of TenHundred-Thousand in Guangxi; Fund of Technology Innovation Alliance of Flower Industry [2020hhlm005]</t>
  </si>
  <si>
    <t>National Natural Science Foundation(National Natural Science Foundation of China (NSFC)); Research and Development Project of Guangxi; Guangxi Natural Science Foundation(National Natural Science Foundation of Guangxi Province); capacity-building project of SBR of CAS; Foundation of Guangxi Key Laboratory of Plant Conservation and Restoration Ecology in Karst Terrain; Basal Research Fund of GXIB; 21st Talent project of TenHundred-Thousand in Guangxi; Fund of Technology Innovation Alliance of Flower Industry</t>
  </si>
  <si>
    <t>We thank Mr. Zhang-Jie Huang for his helpful suggestion about the scientific name of this genus and species; Mr. Yi Huang from Guangdong for his discovery of this species distribution information; Mr. Wen-Hua Xu for his excellent arrangement of figures; Mr. Ye-Wang Li, Mr. Yue-Bing Zheng, Mr. Yi-Wei Situ, Mr. Song-Huang Wu, Ms. Xiao-Cui Cao, Mr. Shao-Gang Feng from Guangdong Enping Qixingkeng Provincial Nature Reserve for their help in field work. We also thank Mr. Michael LoFurno (Adjunct Professor, Temple University) from Philadelphia, the USA, for his editorial assistance. This study was financially supported by the National Natural Science Foundation (31860047), the Key Sci. &amp; Tech. Research and Development Project of Guangxi (Guike AD20159091 &amp; ZY21195050), the Guangxi Natural Science Foundation (2020GXNSFBA297049), the capacity-building project of SBR of CAS (KFJ-BRP-017-68), the Foundation of Guangxi Key Laboratory of Plant Conservation and Restoration Ecology in Karst Terrain (19-050-6 &amp; 19-187-5), the Basal Research Fund of GXIB (Guizhiye20009 &amp; Guizhifa010), 21st Talent project of TenHundred-Thousand in Guangxi and the Fund of Technology Innovation Alliance of Flower Industry (2020hhlm005).</t>
  </si>
  <si>
    <t>MAR 22</t>
  </si>
  <si>
    <t>10.3897/phytokeys.193.80715</t>
  </si>
  <si>
    <t>0E7JE</t>
  </si>
  <si>
    <t>WOS:000776852500003</t>
  </si>
  <si>
    <t>Chen, JT; Kuang, TH; Huang, XH; Zhang, XJ; Sun, H; Deng, T</t>
  </si>
  <si>
    <t>Chen, Jun-Tong; Kuang, Tian-Hui; Huang, Xian-Han; Zhang, Xin-Jian; Sun, Hang; Deng, Tao</t>
  </si>
  <si>
    <t>Taxonomic identity of Corydalis lidenii (Papaveraceae)</t>
  </si>
  <si>
    <t>Corydalis microflora; new synonym; Sichuan; taxonomy; China; Corydalis Lidenii</t>
  </si>
  <si>
    <t>Corydalis microflora and C. lidenii are recognised as separate species in Flora of China and the latest plant list. However, based on the examination of type specimens and field investigations, C. lidenii is shown to be conspecific with C. microflora. As a result, C. lidenii is synonymised with C. microflora in this study.</t>
  </si>
  <si>
    <t>Chen, Jun-Tong</t>
  </si>
  <si>
    <t>[Chen, Jun-Tong; Kuang, Tian-Hui; Huang, Xian-Han; Zhang, Xin-Jian; Sun, Hang; Deng, Tao] Chinese Acad Sci, CAS Key Lab Plant Divers &amp; Biogeog East Asia, Kunming Inst Botan, Kunming 650201, Yunnan, Peoples R China; [Chen, Jun-Tong; Kuang, Tian-Hui; Zhang, Xin-Jian] Univ Chinese Acad Sci, Beijing 100049, Peoples R China</t>
  </si>
  <si>
    <t>Chinese Academy of Sciences; Chinese Academy of Sciences; University of Chinese Academy of Sciences, CAS</t>
  </si>
  <si>
    <t>Sun, H; Deng, T (通讯作者)，Chinese Acad Sci, CAS Key Lab Plant Divers &amp; Biogeog East Asia, Kunming Inst Botan, Kunming 650201, Yunnan, Peoples R China.</t>
  </si>
  <si>
    <t>Second Tibetan Plateau Scientific Expedition and Research (STEP) program [2019QZKK0502]; National Natural Science Foundation of China [31700165, 31270247]; National Natural Science Foundation of China-Yunnan joint fund [U1802232]; Strategic Priority Research Program of Chinese Academy of Sciences [XDA20050203]; International Partnership Program of Chinese Academy of Sciences [151853KYSB20180009]; Youth Innovation Promotion Association of the Chinese Academy of Sciences [2019382]; Yunnan Young &amp; Elite Talents Project [YNWR-QNBJ-2019-033]; Chinese Academy of Sciences Light of West China Program</t>
  </si>
  <si>
    <t>Second Tibetan Plateau Scientific Expedition and Research (STEP) program; National Natural Science Foundation of China(National Natural Science Foundation of China (NSFC)); National Natural Science Foundation of China-Yunnan joint fund(National Natural Science Foundation of China (NSFC)); Strategic Priority Research Program of Chinese Academy of Sciences(Chinese Academy of Sciences); International Partnership Program of Chinese Academy of Sciences; Youth Innovation Promotion Association of the Chinese Academy of Sciences; Yunnan Young &amp; Elite Talents Project; Chinese Academy of Sciences Light of West China Program</t>
  </si>
  <si>
    <t>We are very grateful to Dr. Magnus Liden (Uppsala University) for his valuable comments and manuscript revision. We thank the editor and reviewers for their helpful comments. Thanks to the Herbarium of Kunming Institute of Botany (KUN) for its help with this research. We are also grateful to Dr. Zeng You-pai and Li Jian-rong (South China Botanical Garden, Chinese Academy of Sciences) for providing specimen photos. This study was supported by grants from the Second Tibetan Plateau Scientific Expedition and Research (STEP) program (2019QZKK0502), National Natural Science Foundation of China (31700165, 31270247), National Natural Science Foundation of China-Yunnan joint fund to support key projects (U1802232), the Strategic Priority Research Program of Chinese Academy of Sciences (XDA20050203), International Partnership Program of Chinese Academy of Sciences (151853KYSB20180009), Youth Innovation Promotion Association of the Chinese Academy of Sciences (2019382), Yunnan Young &amp; Elite Talents Project (YNWR-QNBJ-2019-033) and the Chinese Academy of Sciences Light of West China Program.</t>
  </si>
  <si>
    <t>10.3897/phytokeys.190.80724</t>
  </si>
  <si>
    <t>ZF6ZU</t>
  </si>
  <si>
    <t>WOS:000759716100003</t>
  </si>
  <si>
    <t>Fei, WQ; Deng, T; Wang, L</t>
  </si>
  <si>
    <t>Fei, Wen-Qun; Deng, Tao; Wang, Long</t>
  </si>
  <si>
    <t>Ligularia monocephala (Asteraceae, Senecioneae), a remarkable new species from Hubei, China</t>
  </si>
  <si>
    <t>Compositae; &amp;nbsp; Hubei; &amp;nbsp; Shennongjia; &amp;nbsp; taxonomy</t>
  </si>
  <si>
    <t>Ligularia monocephala, a remarkable new species from Hubei, China, is described and illustrated. It is readily distinguishable in the whole genus by character combination of the reniform to cordate-reniform leaf blades which are palmately-pinnately veined and abaxially purplish red, the solitary and erect capitula, and the pappus which are as long as or slightly longer than tube of the tubular corolla. A detailed description and distribution map of the species are also presented herein.</t>
  </si>
  <si>
    <t>Fei, Wen-Qun</t>
  </si>
  <si>
    <t>[Fei, Wen-Qun; Wang, Long] Chinese Acad Sci, Key Lab Plant Resources Conservat &amp; Sustainable U, South China Bot Garden, Guangzhou 510650, Guangdong, Peoples R China; [Fei, Wen-Qun] Univ Chinese Acad Sci, Beijing 100049, Peoples R China; [Deng, Tao] Chinese Acad Sci, Key Lab Plant Divers &amp; Biogeog East Asia, Kunming Inst Bot, Kunming 650201, Yunnan, Peoples R China</t>
  </si>
  <si>
    <t>Chinese Academy of Sciences; South China Botanical Garden, CAS; Chinese Academy of Sciences; University of Chinese Academy of Sciences, CAS; Chinese Academy of Sciences; Kunming Institute of Botany, CAS</t>
  </si>
  <si>
    <t>Wang, L (通讯作者)，Chinese Acad Sci, Key Lab Plant Resources Conservat &amp; Sustainable U, South China Bot Garden, Guangzhou 510650, Guangdong, Peoples R China.</t>
  </si>
  <si>
    <t>lwang@scib.ac.cn</t>
  </si>
  <si>
    <t>National Natural Science Foundation of China [31900183]; Biological Resources Programme of the Chinese Academy of Sciences [KFJ-BRP-017-08]; Key Laboratory of Conservation Biology of Golden monkey in Shennongjia of Hubei Province [SNJGKL202002]; Youth Innovation Promotion Association of Chinese Academy of Sciences [2019382]; Ten Thousand Talents Program of Yunnan Province [202005AB160005]</t>
  </si>
  <si>
    <t>National Natural Science Foundation of China(National Natural Science Foundation of China (NSFC)); Biological Resources Programme of the Chinese Academy of Sciences; Key Laboratory of Conservation Biology of Golden monkey in Shennongjia of Hubei Province; Youth Innovation Promotion Association of Chinese Academy of Sciences; Ten Thousand Talents Program of Yunnan Province</t>
  </si>
  <si>
    <t>We would like to thank Dr. Chen Ren and Dr. Alexander Sennikov for their constructive suggestions. We are grateful to the curators of A, BM, CDBI, CSFI, E, GH, HIB, HITBC, HNWP, IBSC, JIU, K, KATH, KUN, LE, NAS, NY, P, PE, S,SZ, W, WU, and WUK for allowing us to use their scanned images of specimens and for research facilities. Thanks are also given to Mr. Xin-Qiang Guo, and Mr. Hai-Song Wu for field assistance. This work was supported by the National Natural Science Foundation of China (grant no. 31900183) , the Biological Resources Programme of the Chinese Academy of Sciences (grant no. KFJ-BRP-017-08) , Key Laboratory of Conservation Biology of Golden monkey in Shennongjia of Hubei Province (grant no. SNJGKL202002) , the Youth Innovation Promotion Association of Chinese Academy of Sciences (grant no. 2019382) , and the Ten Thousand Talents Program of Yunnan Province (grant no. 202005AB160005) .</t>
  </si>
  <si>
    <t>10.3897/phytokeys.189.80016</t>
  </si>
  <si>
    <t>YW0NE</t>
  </si>
  <si>
    <t>WOS:000753117600001</t>
  </si>
  <si>
    <t>Chen, HL; Al-Shehbaz, IA; Qian, LS; Zhang, JW; Xu, B; Zhang, TC; Yue, JP; Sun, H</t>
  </si>
  <si>
    <t>Chen, Hong-Liang; Al-Shehbaz, Ihsan A.; Qian, Li-Shen; Zhang, Jian-Wen; Xu, Bo; Zhang, Ti-Cao; Yue, Ji-Pei; Sun, Hang</t>
  </si>
  <si>
    <t>Pulvinatusia (Brassicaceae), a new cushion genus from China and its systematic position</t>
  </si>
  <si>
    <t>Crucihimalayeae; cushion plants; molecular phylogenetics; new species; Xizang</t>
  </si>
  <si>
    <t>SEQUENCES; PHYLOGENY; NOVELTIES; EVOLUTION; ORIGIN; TOOL</t>
  </si>
  <si>
    <t>The new genus and species Pulvinatusia xuegulaensis (Brassicaceae) are described and illustrated. The species is a cushion plant collected from Xuegu La, Xizang, China. Its vegetative parts are most similar to those of Arenaria bryophylla (Caryophyllaceae) co-occurring in the same region, while its leaves and fruits closely resemble those of Xerodraba patagonica (Brassicaceae) from Patagonian Argentina and Chile. Family-level phylogenetic analyses based on both nuclear ITS and plastome revealed that it is a member of the tribe Crucihimalayeae, but the infra-/intergeneric relationships within the tribe are yet to be resolved.</t>
  </si>
  <si>
    <t>Chen, Hong-Liang</t>
  </si>
  <si>
    <t>[Chen, Hong-Liang; Qian, Li-Shen; Zhang, Jian-Wen; Yue, Ji-Pei; Sun, Hang] Chinese Acad Sci, CAS Key Lab Plant Divers &amp; Biogeog East Asia, Kunming Inst Bot, Kunming 650201, Yunnan, Peoples R China; [Chen, Hong-Liang] Zhejiang Univ, Lab Systemat Evolutionary Bot &amp; Biodivers, Coll Life Sci, Hangzhou 310058, Zhejiang, Peoples R China; [Al-Shehbaz, Ihsan A.] Missouri Bot Garden, 4344 Shaw Blvd, St Louis, MO 63110 USA; [Qian, Li-Shen] Univ Chinese Acad Sci, Beijing 100049, Peoples R China; [Xu, Bo] Southwest Forestry Univ, Coll Forestry, Kunming 650224, Yunnan, Peoples R China; [Zhang, Ti-Cao] Yunnan Univ Chinese Med, Coll Chinese Mat Med, Kunming 650500, Yunnan, Peoples R China</t>
  </si>
  <si>
    <t>Chinese Academy of Sciences; Kunming Institute of Botany, CAS; Zhejiang University; Missouri Botanical Gardens; Chinese Academy of Sciences; University of Chinese Academy of Sciences, CAS; Southwest Forestry University - China; Yunnan University of Chinese Medicine</t>
  </si>
  <si>
    <t>Yue, JP; Sun, H (通讯作者)，Chinese Acad Sci, CAS Key Lab Plant Divers &amp; Biogeog East Asia, Kunming Inst Bot, Kunming 650201, Yunnan, Peoples R China.</t>
  </si>
  <si>
    <t>yuejipei@mail.kib.ac.cn; hsun@mail.kib.ac.cn</t>
  </si>
  <si>
    <t>Zhang, Ticao/0000-0002-8578-6131</t>
  </si>
  <si>
    <t>Second Tibetan Plateau Scientific Expedition and Research Program [2019QZKK0502]; Key Projects of the Joint Fund of the National Natural Science Foundation of China [U1802232]; Strategic Priority Research Program of Chinese Academy of Sciences [XDA20050203]; National Natural Science Foundation of China [32000160, 32060237]; Yunnan Ten-thousand Talents Plan Young &amp; Elite Talent Project [YNWR-QNBJ-2019-154]</t>
  </si>
  <si>
    <t>Second Tibetan Plateau Scientific Expedition and Research Program; Key Projects of the Joint Fund of the National Natural Science Foundation of China(National Natural Science Foundation of China (NSFC)); Strategic Priority Research Program of Chinese Academy of Sciences(Chinese Academy of Sciences); National Natural Science Foundation of China(National Natural Science Foundation of China (NSFC)); Yunnan Ten-thousand Talents Plan Young &amp; Elite Talent Project</t>
  </si>
  <si>
    <t>This study was supported by the Second Tibetan Plateau Scientific Expedition and Research Program (2019QZKK0502), the Key Projects of the Joint Fund of the National Natural Science Foundation of China (U1802232), the Strategic Priority Research Program of Chinese Academy of Sciences (XDA20050203), the National Natural Science Foundation of China (32000160, 32060237) and the Yunnan Ten-thousand Talents Plan Young &amp; Elite Talent Project (YNWR-QNBJ-2019-154).</t>
  </si>
  <si>
    <t>10.3897/phytokeys.189.77926</t>
  </si>
  <si>
    <t>YO2IP</t>
  </si>
  <si>
    <t>WOS:000747769100002</t>
  </si>
  <si>
    <t>Li, ZL; Ma, HJ; Ye, ZR; Meng, DC; Wen, F; Hong, X</t>
  </si>
  <si>
    <t>Li, Zheng-Long; Ma, Hai-Jun; Ye, Zheng-Rong; Meng, De-Chang; Wen, Fang; Hong, Xin</t>
  </si>
  <si>
    <t>Oreocharis guangwushanensis, a new species of Gesneriaceae from Sichuan Province, China</t>
  </si>
  <si>
    <t>Didymocarpoideae; Lithophilous; new taxon; pink flowers; Sichuan flora</t>
  </si>
  <si>
    <t>GUANGXI</t>
  </si>
  <si>
    <t>A new species of Oreocharis, O. guangwushanensis from the Sichuan Province of south-western China, is described and illustrated here. This new species has a pink corolla that is different from other species of Oreocharis in southwest China and, although it is morphologically similar to O. ronganensis and O. reticuliflora, it has significant differences in the colour and shape of the corolla, the apex of the corolla limb, shape and indumentum of the filaments and a shorter pistil. A detailed description, colour photographs, distribution and habitat, as well as the IUCN conservation status, are also provided.</t>
  </si>
  <si>
    <t>Li, Zheng-Long</t>
  </si>
  <si>
    <t>[Li, Zheng-Long; Hong, Xin] Anhui Univ, Sch Resources &amp; Environm Engn, Anhui Prov Engn Lab Wetland Ecosyst Protect &amp; Res, CN-230601 Hefei, Anhui, Peoples R China; [Ma, Hai-Jun] Anhui Normal Univ, Sch Ecol &amp; Environm, CN-241000 Wuhu City, Anhui, Peoples R China; [Ye, Zheng-Rong] Shandong Agr Univ, Sch Life Sci, CN-271018 Tai An, Shandong, Peoples R China; [Wen, Fang] Guangxi Zhuang Autonomous Reg &amp; Chinese Acad Sci, Guangxi Key Lab Plant Conservat &amp; Restorat Ecol K, Guangxi Inst Bot, CN-541006 Guilin City, Guangxi Zhuang, Peoples R China; [Meng, De-Chang; Wen, Fang; Hong, Xin] Chinese Acad Sci, Natl Gesneriaceae Germplasm Resources Bank GX1B, Gesneriad Conservat Ctr China, Guilin Bot Garden,Gesneriad Comm China Wild Plant, CN-541006 Guilin, Guangxi, Peoples R China; [Li, Zheng-Long; Hong, Xin] Chinese Acad Sci, Yunnan Key Lab Integrat Conservat Plant Species E, Kunming Lint Bot, CN-650201 Kunming, Yunnan, Peoples R China</t>
  </si>
  <si>
    <t>Anhui University; Anhui Normal University; Shandong Agricultural University; Chinese Academy of Sciences; Chinese Academy of Sciences</t>
  </si>
  <si>
    <t>Hong, X (通讯作者)，Anhui Univ, Sch Resources &amp; Environm Engn, Anhui Prov Engn Lab Wetland Ecosyst Protect &amp; Res, CN-230601 Hefei, Anhui, Peoples R China.;Wen, F (通讯作者)，Guangxi Zhuang Autonomous Reg &amp; Chinese Acad Sci, Guangxi Key Lab Plant Conservat &amp; Restorat Ecol K, Guangxi Inst Bot, CN-541006 Guilin City, Guangxi Zhuang, Peoples R China.;Wen, F; Hong, X (通讯作者)，Chinese Acad Sci, Natl Gesneriaceae Germplasm Resources Bank GX1B, Gesneriad Conservat Ctr China, Guilin Bot Garden,Gesneriad Comm China Wild Plant, CN-541006 Guilin, Guangxi, Peoples R China.;Hong, X (通讯作者)，Chinese Acad Sci, Yunnan Key Lab Integrat Conservat Plant Species E, Kunming Lint Bot, CN-650201 Kunming, Yunnan, Peoples R China.</t>
  </si>
  <si>
    <t>wenfang760608@139.com; hongxin1989@vip.qq.com</t>
  </si>
  <si>
    <t>JUN 28</t>
  </si>
  <si>
    <t>10.3897/phytokeys.201.77574</t>
  </si>
  <si>
    <t>2S5SV</t>
  </si>
  <si>
    <t>WOS:000821852800001</t>
  </si>
  <si>
    <t>Sheng, W; Dong, SS; Liu, Y; Ma, WZ; Wu, YH</t>
  </si>
  <si>
    <t>Sheng, Wei; Dong, Shan-shan; Liu, Yang; Ma, Wen-zhang; Wu, Yu-Huan</t>
  </si>
  <si>
    <t>Sciaromiopsis sinensis (Amblystegiaceae), revised to a member of Brachythecium (Brachytheciaceae )</t>
  </si>
  <si>
    <t>BRYOLOGIST</t>
  </si>
  <si>
    <t>Sciaromiopsis; ITS; rps4; plastid; Amblystegiaceae; Brachythecium</t>
  </si>
  <si>
    <t>PHYLOGENETIC ANALYSIS; MOSS; DIVERSITY</t>
  </si>
  <si>
    <t>Sciaromiopsis comprises a single species, S. sinensis, endemic to China. The genus is currently placed in the Amblystegiaceae, solely on the basis of gametophytic characters since its sporophytes are unknown. As a semiaquatic plant, the character of a strong leaf costa and marginal borders can aid S. sinensis to adapt drought as while as aquatic conditions. In this study, the phylogenetic position of Sciaromiopsis was revisited based on morphological and molecular phylogentic evidences of three datasets, the plastid rps4 dataset with 346 mosses species, the ITS dataset with 104 moss species and 82 plastid protein-coding gene dataset with 32 moss species. According to the morphological characters of gametophyte, the stable pattern of pseudoparaphyllia, leaf cells smooth and single costa of Sciaromiopsis are consistent with key characteristics of the Brachytheciaceae, the ovate-lanceolate leaves, differentiated alar cells and rhomboidal median leaf cells are consistent with key characteristics of the Brachythecium. Maximum likelihood and Bayesian analyses of both datasets of the rps4 gene and the 82 plastid protein-coding genes clearly indicated that Sciaromiopsis is a member of Brachytheciaceae. Sciaromiopsis sinensis is either clustered in a well supported Glade among species of Brachythecium, Koponeniella and Myuroclada in the rps4 tree, or strongly supported as the sister to Brachythecium rivulare in plastid 82 gene tree. Maximum likelihood analysis of the nuclear ITS locus suggested that S. sinensis is nested within Brachythecium with moderate support. Thus, S. sinensis should be considered as a member of the Brachythecium, the diagnostic character of its leaf margin bordered by 5-8 rows of linear cells making it an easy distinction from other species of Brachythecium.</t>
  </si>
  <si>
    <t>Sheng, Wei</t>
  </si>
  <si>
    <t>[Sheng, Wei; Wu, Yu-Huan] Hangzhou Normal Univ, Coll Life &amp; Environm Sci, Hangzhou 311121, Peoples R China; [Sheng, Wei; Wu, Yu-Huan] Chinese Acad Sci, Inst Appl Ecol, Key Lab Forest Ecol &amp; Management, Shenyang 110015, Peoples R China; [Sheng, Wei; Dong, Shan-shan; Liu, Yang] Fairy Lake Bot Garden, Shenzhen, Peoples R China; [Sheng, Wei; Dong, Shan-shan; Liu, Yang] Chinese Acad Sci, Shenzhen 518004, Peoples R China; [Sheng, Wei] Univ Chinese Acad Sci, Grad Sch, Beijing 100049, Peoples R China; [Ma, Wen-zhang] Chinese Acad Sci, Kunming Inst Bot, CAS Key Lab Plant Biodivers &amp; Biogeog East Asia, Kunming 650201, Yunnan, Peoples R China</t>
  </si>
  <si>
    <t>Hangzhou Normal University; Chinese Academy of Sciences; Shenyang Institute of Applied Ecology, CAS; Chinese Academy of Sciences; Chinese Academy of Sciences; University of Chinese Academy of Sciences, CAS; Chinese Academy of Sciences; Kunming Institute of Botany, CAS</t>
  </si>
  <si>
    <t>Wu, YH (通讯作者)，Hangzhou Normal Univ, Coll Life &amp; Environm Sci, Hangzhou 311121, Peoples R China.;Wu, YH (通讯作者)，Chinese Acad Sci, Inst Appl Ecol, Key Lab Forest Ecol &amp; Management, Shenyang 110015, Peoples R China.</t>
  </si>
  <si>
    <t>yuhuanwu@hznu.edu.cn</t>
  </si>
  <si>
    <t>National Natural Science Foundation of China [41571049]</t>
  </si>
  <si>
    <t>The authors thank Prof. Bernard Goffinet (University of Connecticut) for kindly commenting on the draft manuscript and Prof. William R. Buck (New York Botanical Garden) for verifying the specimen of Sciaromiopsis sinensis. The authors also thank Drs. Li Zhang and Qin Zuo (Fairy Lake Botanical Garden, Shenzhen &amp; Chinese Academy of Sciences), and Ningning Yu (Institute of Botany, Chinese Academy of Sciences) for providing specimens. This research was supported by a grant from the National Natural Science Foundation of China (41571049).</t>
  </si>
  <si>
    <t>AMER BRYOLOGICAL LICHENOLOGICAL SOC INC</t>
  </si>
  <si>
    <t>OMAHA</t>
  </si>
  <si>
    <t>C/O  DR ROBERT S EGAN, SEC-TRES, ABLS, UNIV NEBRASKA OMAHA, DEPT BIOLOGY, OMAHA, NE 68182-0040 USA</t>
  </si>
  <si>
    <t>0007-2745</t>
  </si>
  <si>
    <t>1938-4378</t>
  </si>
  <si>
    <t>Bryologist</t>
  </si>
  <si>
    <t>SPR</t>
  </si>
  <si>
    <t>10.1639/0007-2745-125.1.148</t>
  </si>
  <si>
    <t>ZS9RL</t>
  </si>
  <si>
    <t>WOS:000768795300011</t>
  </si>
  <si>
    <t>Zou, XF; Ni, M; Fu, B; Liu, D; He, X; Zhang, Q; Hu, WL; Zhu, HY; Hao, DC; Yang, PW</t>
  </si>
  <si>
    <t>Zou, Xue-Feng; Ni, Ming; Fu, Bing; Liu, Dong; He, Xiang; Zhang, Qing; Hu, Wan-Li; Zhu, Hong-Ye; Hao, Da-Cheng; Yang, Pei-Weng</t>
  </si>
  <si>
    <t>MICROBIAL COMMUNITY DIVERSITY INFLUENCED BY ORGANIC CARBON SOURCES IN RICE-RAPE ROTATION FARMLAND</t>
  </si>
  <si>
    <t>PAKISTAN JOURNAL OF BOTANY</t>
  </si>
  <si>
    <t>Fertilization treatment; Soil microbial community; High-throughput sequencing; Carbon and Nitrogen Coordination effect; Redundancy analysis</t>
  </si>
  <si>
    <t>SOIL; ASCOMYCOTA</t>
  </si>
  <si>
    <t>The present study was intended to characterize the responses of soil microbial community to organic carbon sources in rice-rape rotation farmland in Erhai Basin, Yunnan, China. The farmland was supplemented with nitrogen fertilizer alone, nitrogen fertilizer plus organic carbon source materials (Vicia faba straw, corn straw, or composting pine needles) or not fertilized; the soil physical and chemical properties, carbon and nitrogen hydrolases (beta -1,4-glucosidase, N -acetyl -beta - D- glucosidase)were quantitatively investigated. The composition and diversity of soil microbial community were scrutinized by Illumina high-throughput sequencing technology. The effects of soil physicochemical properties on soil microbial community were revealed by redundancy analysis (RDA). It turned out that when compared with no fertilization, the organic fertilizers plus nitrogen fertilizer significantly increased organic matter, total nitrogen, carbon to nitrogen ratio (C / N ratio) in soils and the activities of carbon/nitrogen hydrolases by 7%, 3%, 5% and 22%/9%, respectively. The results of high- throughput sequencing showed that organic carbon source materials combined with nitrogen fertilizer significantly altered the composition and diversity of soil microbial community; Actinoplanes, Rhizobiales, Sordariales, Chaetomiaceae and Labilithrix, which were able to degrade organic matter and fix nitrogen, were substantially increased in their relative abundance. RDA showed that the rhizosphere microbial community was significantly affected by pH, organic matter, total nitrogen and C / N ratio (p&lt;0.05), and Labilithrix, Sordariales, Actinoplanes, and Chaetomiaceae showed a significantly positive correlation with total nitrogen, organic matter and C / N ratio. This study indicates that organic carbon source materials combined with nitrogen fertilizer could increase the contents of soil organic matter and total nitrogen, enhance the activities of carbon/nitrogen hydrolases, and significantly increase the relative abundance of microorganisms capable of degrading organic matter and promoting nitrogen cycle in soils.</t>
  </si>
  <si>
    <t>Zou, Xue-Feng</t>
  </si>
  <si>
    <t>[Zou, Xue-Feng; Ni, Ming; Fu, Bing; He, Xiang; Zhang, Qing; Hu, Wan-Li; Zhu, Hong-Ye; Yang, Pei-Weng] Yunnan Acad Agr Sci, Inst Environm &amp; Resources, Kunming 650205, Yunnan, Peoples R China; [Zou, Xue-Feng] Yunnan Agr Univ, Coll Plant Protect, Kunming 650201, Yunnan, Peoples R China; [Hao, Da-Cheng] Dalian Jiaotong Univ, Sch Environm &amp; Chem Engn, Dalian 116028, Peoples R China; [Liu, Dong] Chinese Acad Sci, Kunming Inst Bot, Kunming 650211, Yunnan, Peoples R China</t>
  </si>
  <si>
    <t>Yunnan Academy of Agricultural Sciences; Yunnan Agricultural University; Dalian Jiaotong University; Chinese Academy of Sciences; Kunming Institute of Botany, CAS</t>
  </si>
  <si>
    <t>Yang, PW (通讯作者)，Yunnan Acad Agr Sci, Inst Environm &amp; Resources, Kunming 650205, Yunnan, Peoples R China.</t>
  </si>
  <si>
    <t>398036877@qq.com</t>
  </si>
  <si>
    <t>National Natural Science Foundation of China [31663600, 31760019, 41977048]; Open Fund for Key Laboratory of Agricultural Environment in Southwest Mountainous Area of Ministry of Agriculture and Rural Affairs [AESMA-OPP-2019001]; Scientific Research Funds Project of Liaoning Education Department [JDL2019012]; Natural Science Fund of Liaoning province [20180550190]</t>
  </si>
  <si>
    <t>National Natural Science Foundation of China(National Natural Science Foundation of China (NSFC)); Open Fund for Key Laboratory of Agricultural Environment in Southwest Mountainous Area of Ministry of Agriculture and Rural Affairs; Scientific Research Funds Project of Liaoning Education Department; Natural Science Fund of Liaoning province(Natural Science Foundation of Liaoning Province)</t>
  </si>
  <si>
    <t>This study is supported by the National Natural Science Foundation of China (No. 31663600, 31760019, 41977048) , Open Fund for Key Laboratory of Agricultural Environment in Southwest Mountainous Area of Ministry of Agriculture and Rural Affairs (AESMA-OPP-2019001) , Scientific Research Funds Project of Liaoning Education Department (JDL2019012) , and Natural Science Fund of Liaoning province (20180550190) .</t>
  </si>
  <si>
    <t>PAKISTAN BOTANICAL SOC</t>
  </si>
  <si>
    <t>KARACHI</t>
  </si>
  <si>
    <t>DEPT OF BOTANY UNIV KARACHI, 32 KARACHI, PAKISTAN</t>
  </si>
  <si>
    <t>0556-3321</t>
  </si>
  <si>
    <t>2070-3368</t>
  </si>
  <si>
    <t>PAK J BOT</t>
  </si>
  <si>
    <t>Pak. J. Bot.</t>
  </si>
  <si>
    <t>10.30848/PJB2022-2(25)</t>
  </si>
  <si>
    <t>YY5AE</t>
  </si>
  <si>
    <t>WOS:000754801100008</t>
  </si>
  <si>
    <t>Ai, M; Zhong, QY; Scheidegger, C; Wang, LS; Wang, XY</t>
  </si>
  <si>
    <t>AI, Min; Zhong, Qiuyi; Scheidegger, Christoph; Wang, Lisong; Wang, Xinyu</t>
  </si>
  <si>
    <t>Revision of Dimelaena Norman (Caliciaceae, Ascomycota) species containing usnic acid reveals a new species and a new combination from China</t>
  </si>
  <si>
    <t>PHYTOTAXA</t>
  </si>
  <si>
    <t>lichenized fungi; nuITS-nuLSU-mtSSU; phylogeny; taxonomy</t>
  </si>
  <si>
    <t>SUBUNIT RIBOSOMAL DNA; PHYSCIACEAE; PHYLOGENIES; IMPROVEMENT; TAXONOMY; PRIMERS; LICHENS</t>
  </si>
  <si>
    <t>Dimelaena tibetica is described as a species new to science, characterized by a grayish yellow surface, usually with a covering of white pruina, a crustose thallus, areolate at center, radiate-plicate at margin, adnate apothecia and lacking gyrophoric acid. It differs from other usnic acid-containing Dimelaena species by its plane marginal lobes and adnate apothecia. Based on the study of fresh specimens from the environment of the type locality, Dimelaena altissima is proposed as a new combination. A fresh specimen of Dimelaena oreina (type species of the genus Dimelaena) was collected in the Swiss Alps, in the vicinity of the area where the type material of the species presumably was collected, and a sequence was generated to confirm the phylogenetic position of this genus. All three species share common characters: usnic acid content and a yellowish green upper surface. Descriptions of these species were based on a combination of morphological and phylogenetic analyses. A key and phylogram are provided for these three Dimelaena species which produce usnic acid.</t>
  </si>
  <si>
    <t>AI, Min</t>
  </si>
  <si>
    <t>[AI, Min; Zhong, Qiuyi; Wang, Lisong; Wang, Xinyu] Chinese Acad Sci, Kunming Inst Bot, Key Lab Plant Divers &amp; Biogeog East Asia, Kunming 650201, Yunnan, Peoples R China; [AI, Min; Zhong, Qiuyi; Wang, Lisong; Wang, Xinyu] Chinese Acad Sci, Kunming Inst Bot, Yunnan Key Lab Fungal Divers &amp; Green Dev, Kunming 650201, Peoples R China; [Scheidegger, Christoph] Swiss Fed Inst Forest Snow &amp; Landscape Res WSL, CH-8903 Birmensdorf, Switzerland</t>
  </si>
  <si>
    <t>Chinese Academy of Sciences; Kunming Institute of Botany, CAS; Chinese Academy of Sciences; Kunming Institute of Botany, CAS; Swiss Federal Institutes of Technology Domain; Swiss Federal Institute for Forest, Snow &amp; Landscape Research</t>
  </si>
  <si>
    <t>Wang, XY (通讯作者)，Chinese Acad Sci, Kunming Inst Bot, Key Lab Plant Divers &amp; Biogeog East Asia, Kunming 650201, Yunnan, Peoples R China.;Wang, XY (通讯作者)，Chinese Acad Sci, Kunming Inst Bot, Yunnan Key Lab Fungal Divers &amp; Green Dev, Kunming 650201, Peoples R China.</t>
  </si>
  <si>
    <t>aimin@mail.kib.ac.cn; zqyzqy@21cn.com; christoph.scheidegger@wsl.ch; wanglisong@mail.kib.ac.cn; wangxinyu@mail.kib.ac.cn</t>
  </si>
  <si>
    <t>Flora Lichenum Sinicorum [2020388]; Youth Innovation Promotion Association CAS [2019QZKK0503]; Second Tibetan Plateau Scientific Expedition and Research Program (STEP) [P2020-KF08]; State Key Laboratory of Phytochemistry and Plant Resources in West China [31970022]; Yunnan Young &amp; Elite Talents Project; National Natural Science Foundation of China;  [31750001]</t>
  </si>
  <si>
    <t xml:space="preserve">Flora Lichenum Sinicorum; Youth Innovation Promotion Association CAS; Second Tibetan Plateau Scientific Expedition and Research Program (STEP); State Key Laboratory of Phytochemistry and Plant Resources in West China; Yunnan Young &amp; Elite Talents Project; National Natural Science Foundation of China(National Natural Science Foundation of China (NSFC)); </t>
  </si>
  <si>
    <t>We would express our sincere thanks to the H and S herbaria for providing type specimens or digital images, and to Dr. Fiona Ruth Worthy, from Kunming Institute of Botany, Chinese Academy of Sciences, for carefully correcting our English. This study was supported by grants from the Flora Lichenum Sinicorum (31750001) , Youth Innovation Promotion Association CAS (2020388) , the Second Tibetan Plateau Scientific Expedition and Research Program (STEP) (2019QZKK0503) , State Key Laboratory of Phytochemistry and Plant Resources in West China (P2020-KF08), Yunnan Young &amp; Elite Talents Project and National Natural Science Foundation of China (No. 31970022).</t>
  </si>
  <si>
    <t>MAGNOLIA PRESS</t>
  </si>
  <si>
    <t>AUCKLAND</t>
  </si>
  <si>
    <t>250F Marua Road Mt Wellington, AUCKLAND, ST LUKES 1023, NEW ZEALAND</t>
  </si>
  <si>
    <t>1179-3155</t>
  </si>
  <si>
    <t>1179-3163</t>
  </si>
  <si>
    <t>Phytotaxa</t>
  </si>
  <si>
    <t>10.11646/phytotaxa.574.4.1</t>
  </si>
  <si>
    <t>http://dx.doi.org/10.11646/phytotaxa.574.4.1</t>
  </si>
  <si>
    <t>8R2NH</t>
  </si>
  <si>
    <t>WOS:000927732700001</t>
  </si>
  <si>
    <t>Yuan, JC; Chen, YP; Zhao, Y; Li, HB; Chen, B; Xiang, CL</t>
  </si>
  <si>
    <t>Yuan, Jing-chen; Chen, Ya-ping; Zhao, Y. U. E.; LI, Hai-bo; Chen, B. I. N.; Xiang, Chun-lei</t>
  </si>
  <si>
    <t>Paraphlomis strictiflora (Lamioideae, Lamiaceae), a new species from Guizhou, China</t>
  </si>
  <si>
    <t>Ajugoides; Lamioideae; Matsumurella; Paraphlomideae; taxonomy</t>
  </si>
  <si>
    <t>PHYLOGENY; TAXA</t>
  </si>
  <si>
    <t>As the largest genus within Paraphlomideae, the biodiversity of Paraphlomis remains to be explored. Here, P. strictiflora, a new species endemic to Fanjing Mountain in Guizhou Province, southwest China, is described and illustrated. Both our molecular phylogenetic analyses based on three plastid DNA markers (rpl32-trnL, rps16, and trnL-trnF) and nuclear ribosomal internal and external transcribed spacers (ITS and ETS) and morphological comparisons supported the treatment of P. strictiflora as a distinct species within Paraphlomis. Morphologically, P. strictiflora is most similar to P. lanceolata but can be distinguished by its much longer and conspicuously 5-veined calyx with triangular teeth, and white corolla with a straight lower lip.</t>
  </si>
  <si>
    <t>Yuan, Jing-chen</t>
  </si>
  <si>
    <t>[Yuan, Jing-chen; Xiang, Chun-lei] Chinese Acad Sci, Kunming Inst Bot, CAS Key Lab Plant Divers &amp; Biogeog East Asia, Kunming 650201, Peoples R China; [Zhao, Y. U. E.] Univ Chinese Acad Sci, Beijing 100049, Peoples R China; [LI, Hai-bo] Inner Mongolia Univ, Sch Ecol &amp; Environm, Minist Educ Key Lab Ecol &amp; Resource Use Mongolian, Inner Mongolia Key Lab Grassland Ecol, Hohhot 010000, Peoples R China; [Chen, B. I. N.] Fanjingshan Natl Nat Reserve Adm Bur, Jiangkou 554400, Peoples R China; [Chen, B. I. N.] Shanghai Chenshan Bot Garden, Shanghai 201602, Peoples R China</t>
  </si>
  <si>
    <t>Chinese Academy of Sciences; Kunming Institute of Botany, CAS; Chinese Academy of Sciences; University of Chinese Academy of Sciences, CAS; Inner Mongolia University; Chinese Academy of Sciences</t>
  </si>
  <si>
    <t>Xiang, CL (通讯作者)，Chinese Acad Sci, Kunming Inst Bot, CAS Key Lab Plant Divers &amp; Biogeog East Asia, Kunming 650201, Peoples R China.;Chen, B (通讯作者)，Fanjingshan Natl Nat Reserve Adm Bur, Jiangkou 554400, Peoples R China.;Chen, B (通讯作者)，Shanghai Chenshan Bot Garden, Shanghai 201602, Peoples R China.</t>
  </si>
  <si>
    <t>yuanjingchen@mail.kib.ac.cn; chenyaping@mail.kib.ac.cn; zhaoyue@mail.kib.ac.cn; fjslhb@qq.com; yuanjingchen@mail.kib.ac.cn; xiangchunlei@mail.kib.ac.cn</t>
  </si>
  <si>
    <t>chen, bin/0000-0003-1822-4486</t>
  </si>
  <si>
    <t>Biodiversity Survey Project for the Buffer Zone of Fanjingshan World Natural Heritage Site (2021-2022); National Natural Science Foundation of China [32161143015, 31872648, 31800168]; open research project of the Germplasm Bank of Wild Species, Kunming Institute of Botany, Chinese Academy of Sciences; Ten Thousand Talents Program of Yunnan (Top-notch Young Talents Project) [YNWR-QNBJ-2018-279]; Yunnan Fundamental Research Projects [202101AU070067, 202101AT070159]</t>
  </si>
  <si>
    <t>Biodiversity Survey Project for the Buffer Zone of Fanjingshan World Natural Heritage Site (2021-2022); National Natural Science Foundation of China(National Natural Science Foundation of China (NSFC)); open research project of the Germplasm Bank of Wild Species, Kunming Institute of Botany, Chinese Academy of Sciences; Ten Thousand Talents Program of Yunnan (Top-notch Young Talents Project); Yunnan Fundamental Research Projects</t>
  </si>
  <si>
    <t>We would like to thank the staff of the following herbaria for their kind help in research facilities: BM, CDBI, E, GXMI, HIB, IBK, IBSC, K, KUN, KYO, MW, NAS, PE, SZ, TI. This work was supported by the Biodiversity Survey Project for the Buffer Zone of Fanjingshan World Natural Heritage Site (2021-2022) to BC, the National Natural Science Foundation of China (Grant Nos. 32161143015 &amp; 31872648), the open research project of the Germplasm Bank of Wild Species, Kunming Institute of Botany, Chinese Academy of Sciences, and the Ten Thousand Talents Program of Yunnan (Top-notch Young Talents Project, Grant No. YNWR-QNBJ-2018-279) to CLX, the National Natural Science Foundation of China (Grant No. 31800168), and the Yunnan Fundamental Research Projects (Grant Nos. 202101AU070067 &amp; 202101AT070159) to YPC.</t>
  </si>
  <si>
    <t>DEC 13</t>
  </si>
  <si>
    <t>10.11646/phytotaxa.575.3.5</t>
  </si>
  <si>
    <t>7C5PE</t>
  </si>
  <si>
    <t>WOS:000899863800005</t>
  </si>
  <si>
    <t>Su, HL; Chethana, KWT; Li, L; Li, WC; Zhao, Q</t>
  </si>
  <si>
    <t>Su, Hongli; Chethana, K. W. Thilini; Li, Lu; Li, Wenchun; Zhao, Qi</t>
  </si>
  <si>
    <t>Diplocarpa constans sp. nov., a new species of Cordieritidaceae from Yunnan, China</t>
  </si>
  <si>
    <t>1 new species; Helotiales; Leotiomycetes; morphology; phylogeny; taxonomy</t>
  </si>
  <si>
    <t>PHYLOGENETIC ANALYSIS; LICHENICOLOUS FUNGUS; RIBOSOMAL DNA; HELOTIALES; ASCOMYCOTA; SYNOPSIS; GENERA; IONOMIDOTIS; ENCOELIA; SOFTWARE</t>
  </si>
  <si>
    <t>This study describes a new species, Diplocarpa constans, collected from southwestern China, characterized by its excipulum with a negative ionomidotic reaction. Phylogenetic analyses based on the combined LSU, ITS and SSU dataset supported the establishment of the new species within Diplocarpa. The study discusses the differences between the new species and closely related species and provides detailed descriptions and illustrations of the new taxa.</t>
  </si>
  <si>
    <t>Su, Hongli</t>
  </si>
  <si>
    <t>[Su, Hongli; Li, Lu; Zhao, Qi] Chinese Acad Sci, Kunming Inst Bot, Key Lab Plant Divers &amp; Biogeog East Asia, Yunnan Key Lab Fungal Divers &amp; Green Dev, Kunming 650201, Yunnan, Peoples R China; [Su, Hongli; Chethana, K. W. Thilini] Mae Fah Luang Univ, Ctr Excellence Fungal Res, Chiang Rai 57100, Thailand; [Su, Hongli; Chethana, K. W. Thilini] Mae Fah Luang Univ, Sch Sci, Chiang Rai 57100, Thailand; [Li, Wenchun] Yunnan Univ Chinese Med, Kunming 650500, Yunnan, Peoples R China</t>
  </si>
  <si>
    <t>Chinese Academy of Sciences; Kunming Institute of Botany, CAS; Mae Fah Luang University; Mae Fah Luang University; Yunnan University of Chinese Medicine</t>
  </si>
  <si>
    <t>Zhao, Q (通讯作者)，Chinese Acad Sci, Kunming Inst Bot, Key Lab Plant Divers &amp; Biogeog East Asia, Yunnan Key Lab Fungal Divers &amp; Green Dev, Kunming 650201, Yunnan, Peoples R China.;Li, WC (通讯作者)，Yunnan Univ Chinese Med, Kunming 650500, Yunnan, Peoples R China.</t>
  </si>
  <si>
    <t>6471105003@lamduan.mfu.ac.th; tchethi@yahoo.com; lilu@mail.kib.ac.cn; ruralsun@126.com; zhaoqi@mail.kib.ac.cn</t>
  </si>
  <si>
    <t>Kandawatte, Thilini Chethana/AAE-8036-2019</t>
  </si>
  <si>
    <t>Kandawatte, Thilini Chethana/0000-0002-5816-9269</t>
  </si>
  <si>
    <t>Second Tibetan Plateau Scientific Expedition and Research (STEP) Program [2019QZKK0503]; Germplasm Bank of Wild Species, Kunming Institute of Botany, Chinese Academy of Sciences [292019312511043]; Major science and technology projects and key R&amp;D plans/programs, Yunnan Province [202202AE090001]; Natural Science Foundation of Guizhou Province [[2021]4031, 200]; Biodiversity Survey and Assessment Project of the Ministry of Ecology and Environment, PR China [2019HJ2096001006]</t>
  </si>
  <si>
    <t>Second Tibetan Plateau Scientific Expedition and Research (STEP) Program; Germplasm Bank of Wild Species, Kunming Institute of Botany, Chinese Academy of Sciences; Major science and technology projects and key R&amp;D plans/programs, Yunnan Province; Natural Science Foundation of Guizhou Province; Biodiversity Survey and Assessment Project of the Ministry of Ecology and Environment, PR China</t>
  </si>
  <si>
    <t>We appreciate the help from Ms. Ming Zeng (School of Science, Mae Fah Luang University, Thailand) in improving our manuscript. We thank Dr. Shaun Pennycook (Manaaki Whenua-Landcare Research, New Zealand) for his valuable assistance with the Latin binomial. We also thank Dr. Kevin D. Hyde (School of Science, Mae Fah Luang University, Thailand) for the help in improving the manuscript. This study is supported by the Second Tibetan Plateau Scientific Expedition and Research (STEP) Program (Grant No. 2019QZKK0503), the open research project of Cross-Cooperative Team of the Germplasm Bank of Wild Species, Kunming Institute of Botany, Chinese Academy of Sciences (Grant No. 292019312511043), Major science and technology projects and key R&amp;D plans/programs, Yunnan Province (202202AE090001), Natural Science Foundation of Guizhou Province (Grant No. Qian Ke Zhong Yin Di [2021]4031, Qian Ke He Zhi Cheng [2021] Generally 200); the Biodiversity Survey and Assessment Project of the Ministry of Ecology and Environment, PR China (2019HJ2096001006).</t>
  </si>
  <si>
    <t>SEP 6</t>
  </si>
  <si>
    <t>10.11646/phytotaxa.561.1.7</t>
  </si>
  <si>
    <t>6Z1IT</t>
  </si>
  <si>
    <t>WOS:000897535700002</t>
  </si>
  <si>
    <t>Chen, JW; Manawasinghe, IS; Lin, JY; Lin, YH; Wanasinghe, DN; Zhang, YX</t>
  </si>
  <si>
    <t>Chen, Jingwen; Manawasinghe, Ishara S.; Lin, Jieying; Lin, Yanhong; Wanasinghe, Dhanushka N.; Zhang, Yunxia</t>
  </si>
  <si>
    <t>Madagascaromyces cannae sp. nov. (Mycosphaerellaceae) on Canna indica (Cannaceae) from Guangdong, China</t>
  </si>
  <si>
    <t>1 new species; asexual morph; hyaline conidia; multi-gene</t>
  </si>
  <si>
    <t>REFINED FAMILIES; SOOTY BLOTCH; FUNGI; PHYLOGENY; BIODIVERSITY; CAPNODIALES; TAXONOMY; FLYSPECK; OUTLINE; COMPLEX</t>
  </si>
  <si>
    <t>Microfungi associated with Cannaceae are distributed in tropical and subtropical regions. Even though many fungal taxa have been reported from Cannaceae hosts, Mycospharellaceae on Canna indica are less studied. In this study, a saprobic Mycosphaerellaceae species was isolated on C. indica, from Guangzhou, Guangdong province, China. To identify the species, morphological characteristics and phylogenetic analysis of LSU, ITS and rpb2 were employed. Based on multi-gene phylogenetic analyses and morphological comparisons, we introduce our collection as a new species, Madagascaromyces cannae. The novel species is characterized by the septate, pale brown conidiophores, pale brown, terminal and lateral conidiogenous cells and pale brown, clavate, guttulate conidia with 0-6 septa. In addition, a detailed comparison of morphological characters of Madagascaromyces species is provided. To our knowledge, this is the first report of a Madagascaromyces species associated with C. indica in China. Our collection will be an addition to the knowledge of fungi associated with Cannaceae.</t>
  </si>
  <si>
    <t>Chen, Jingwen</t>
  </si>
  <si>
    <t>[Chen, Jingwen; Manawasinghe, Ishara S.; Lin, Jieying; Lin, Yanhong; Zhang, Yunxia] Zhongkai Univ Agr &amp; Engn, Innovat Inst Plant Hlth, Guangzhou 510225, Peoples R China; [Chen, Jingwen; Manawasinghe, Ishara S.; Lin, Jieying; Lin, Yanhong; Zhang, Yunxia] Minist Agr &amp; Rural Affairs, Key Lab Green Prevent &amp; Control Fruits &amp; Vegetabl, Guangzhou 510225, Peoples R China; [Wanasinghe, Dhanushka N.] Chinese Acad Sci, Kunming Inst Bot, Ctr Mt Futures, Kunming 654400, Yunnan, Peoples R China</t>
  </si>
  <si>
    <t>Zhongkai University of Agriculture &amp; Engineering; Ministry of Agriculture &amp; Rural Affairs; Chinese Academy of Sciences; Kunming Institute of Botany, CAS</t>
  </si>
  <si>
    <t>Zhang, YX (通讯作者)，Zhongkai Univ Agr &amp; Engn, Innovat Inst Plant Hlth, Guangzhou 510225, Peoples R China.;Zhang, YX (通讯作者)，Minist Agr &amp; Rural Affairs, Key Lab Green Prevent &amp; Control Fruits &amp; Vegetabl, Guangzhou 510225, Peoples R China.</t>
  </si>
  <si>
    <t>Jingwen075@163.com; ishara9017@gmail.com; linjieying178@163.com; yanhong1624@163.com; dnadeeshan@gmail.com; yx_zhang08@163.com</t>
  </si>
  <si>
    <t>Manawasinghe, Ishara/AAD-7555-2019; Wanasinghe, Dhanushka Nadeeshan/P-1693-2017</t>
  </si>
  <si>
    <t>Manawasinghe, Ishara/0000-0001-5730-3596; Wanasinghe, Dhanushka Nadeeshan/0000-0003-1759-3933; yanhong, lin/0000-0001-6415-6467</t>
  </si>
  <si>
    <t>Key Realm R&amp;D Program of Guangdong Province [2018B020205003]; Modern Agricultural Industry Technology System Flower Innovation Team of Guangdong Province [2021KJ121, 2022KJ121]; Project of Educational Commission of Guangdong Province of China [2021KTSCX045]; CAS President's International Fellowship Initiative [2021FYB0005]; National Science Foundation of China (NSFC) [32150410362]; Postdoctoral Fund from Human Resources and Social Security Bureau of Yunnan Province</t>
  </si>
  <si>
    <t>Key Realm R&amp;D Program of Guangdong Province; Modern Agricultural Industry Technology System Flower Innovation Team of Guangdong Province; Project of Educational Commission of Guangdong Province of China; CAS President's International Fellowship Initiative; National Science Foundation of China (NSFC)(National Natural Science Foundation of China (NSFC)); Postdoctoral Fund from Human Resources and Social Security Bureau of Yunnan Province</t>
  </si>
  <si>
    <t>We would like to thank Dr Shaun Pennycook, Nomenclature Editor, Mycotaxon, for his guidance on the species name. This study was gratefully acknowledged the financial support received from the Key Realm R&amp;D Program of Guangdong Province (grant no. 2018B020205003), the Modern Agricultural Industry Technology System Flower Innovation Team of Guangdong Province (grant no: 2021KJ121 &amp; 2022KJ121) and the Project of Educational Commission of Guangdong Province of China (grant no: 2021KTSCX045). Dhanushka Wanasinghe would like to thank CAS President's International Fellowship Initiative (grant number 2021FYB0005), the National Science Foundation of China (NSFC) under the project code 32150410362 and the Postdoctoral Fund from Human Resources and Social Security Bureau of Yunnan Province.</t>
  </si>
  <si>
    <t>10.11646/phytotaxa.561.1.5</t>
  </si>
  <si>
    <t>6Z1IO</t>
  </si>
  <si>
    <t>WOS:000897535200005</t>
  </si>
  <si>
    <t>Wei, DP; Gentekaki, E; Wanasinghe, DN; Hyde, KD; To-Anun, C; Cheewangkoon, R</t>
  </si>
  <si>
    <t>Wei, De-Pin; Gentekaki, Eleni; Wanasinghe, Dhanushka N.; Hyde, Kevin D.; To-Anun, Chaiwat; Cheewangkoon, Ratchadawan</t>
  </si>
  <si>
    <t>Neohormodochis septispora gen. et sp. nov. (Stictidaceae) from Yunnan Province, China</t>
  </si>
  <si>
    <t>microfungi; Ostropales; phylogeny; taxonomy; saprophytes</t>
  </si>
  <si>
    <t>PHYLOGENETIC-RELATIONSHIPS; FUNGI; ASCOMYCOTA; STICTIS; OSTROPALES; OUTLINE; KEY; IDENTIFICATION; ANAMORPHS; SOFTWARE</t>
  </si>
  <si>
    <t>Stictidaceae has ubiquitous distribution and its members inhabit a wide range of hosts and substrates. However, many genera in this family are represented by a limited number of species and molecular data is lacking for those old genera. Documentation and description of new species is necessary to bring insight into the natural classification of Stictidaceae. An investigation of microfungi in Yunnan Province, China led to the discovery of the novel genus et species, Neohormodochis septispora based on morphological evidence and phylogenetic characterization of combined LSU, ITS, mtSSU and RPB2 sequnces. White-pruinose conidiomata, crystalline conidiomatal wall, cylindrical conidiogenous cells and dominantly sepate conidia arranged in branched chain characterize the novel genus. The phylogenetic placement of Dendroseptoria was uncertain and in this study, we confirmed its placement in Stictidaceae based on the phylogenetic affiliation of D. mucilaginosa.</t>
  </si>
  <si>
    <t>Wei, De-Pin</t>
  </si>
  <si>
    <t>[Wei, De-Pin; To-Anun, Chaiwat; Cheewangkoon, Ratchadawan] Chiang Mai Univ, Fac Agr, Dept Entomol &amp; Plant Pathol, Chiang Mai 50200, Thailand; [Wei, De-Pin; Wanasinghe, Dhanushka N.; Hyde, Kevin D.] Chinese Acad Sci, Kunming Inst Bot, CAS Key Lab Plant Divers &amp; Biogeog East Asia, Kunming 650201, Yunnan, Peoples R China; [Wei, De-Pin; Gentekaki, Eleni; Hyde, Kevin D.] Mae Fah Luang Univ, Ctr Excellence Fungal Res, Chiang Rai 57100, Thailand; [Gentekaki, Eleni] Mae Fah Luang Univ, Sch Sci, Chiang Rai 57100, Thailand; [Wanasinghe, Dhanushka N.] Chinese Acad Sci, Kunming Inst Bot, Ctr Mt Futures, Kunming 654400, Yunnan, Peoples R China; [Hyde, Kevin D.] Zhongkai Univ Agr &amp; Engn, Innovat Inst Plant Hlth, Guangzhou 510225, Peoples R China</t>
  </si>
  <si>
    <t>Chiang Mai University; Chinese Academy of Sciences; Kunming Institute of Botany, CAS; Mae Fah Luang University; Mae Fah Luang University; Chinese Academy of Sciences; Kunming Institute of Botany, CAS; Zhongkai University of Agriculture &amp; Engineering</t>
  </si>
  <si>
    <t>dp.wei.elina@qq.com; gentekaki.ele@mfu.ac.th; dnadeeshan@gmail.com; kdhyde3@gmail.com; chaiwat.toanun@gmail.com; ratchadawan.c@cmu.ac.th</t>
  </si>
  <si>
    <t>Wanasinghe, Dhanushka Nadeeshan/0000-0003-1759-3933; Gentekaki, Eleni/0000-0002-3306-6714</t>
  </si>
  <si>
    <t>Chinese Research Fund (CRF) [E1644111K1]; National Research Council of Thailand (NRCT) [N42A650547]</t>
  </si>
  <si>
    <t>Chinese Research Fund (CRF); National Research Council of Thailand (NRCT)(National Research Council of Thailand (NRCT))</t>
  </si>
  <si>
    <t>We thank Key Laboratory for Plant Diversity and Biogeography of East Asia, Chinese Academy of Sciences for providing the laboratories and instruments for molecular and morphological work. De-Ping Wei acknowledge the Chinese Research Fund (CRF) grant no. E1644111K1 entitled Flexible introduction of expert (Kevin David Hyde) to Kunming Institute of Botany, Chinese Academy of Sciences for financial support. Cuijinyi Li is thanked for contributing the fungal specimens. Dr. Shaun Pennycook was thanked for checking the Latin diagnosis of the new genus and species. K.D. Hyde was a Visiting Professor at Chiang Mai University during the period of this study. K.D. Hyde thanks the National Research Council of Thailand (NRCT) grant Total fungal diversity in a given forest area with implications towards species numbers, chemical diversity and biotechnology (grant no. N42A650547).</t>
  </si>
  <si>
    <t>NOV 23</t>
  </si>
  <si>
    <t>10.11646/phytotaxa.573.2.5</t>
  </si>
  <si>
    <t>6Q5HS</t>
  </si>
  <si>
    <t>WOS:000891645200001</t>
  </si>
  <si>
    <t>Onjalalaina, GE; Jiang, H; Rakotonasolo, AR; Wanga, VO; Hu, GW</t>
  </si>
  <si>
    <t>Onjalalaina, Guy. E.; Jiang, Hui; Rakotonasolo, Andrimalala R.; Wanga, Vincent Okelo; Hu, Guang-Wan</t>
  </si>
  <si>
    <t>Reappraisal and lectotypification of Justicia tanalensis S. Moore (Acanthaceae), rediscovered from central Madagascar more than 100 years since the last collection</t>
  </si>
  <si>
    <t>Conservation status; description; Justicia; lectotypification; Madagascar</t>
  </si>
  <si>
    <t>Justicia tanalensis (Acanthaceae) was rediscovered from the central highland of Madagascar since the last collection in 1895. Its morphological characters are reported and amended with photographs in this paper. The species is characterized by a prostrate herbaceous habit and a simple spike with one flower per node. It has a distribution range in the central-eastern Madagascar. The conservation assessment of the species is provided. Because no holotype was indicated in the protologue and the type specimens cited by the original author were collected in two different times, they should be considered as two gatherings and they are syntypes. The lectotype specimen of the name is designated here as well.</t>
  </si>
  <si>
    <t>Onjalalaina, Guy. E.</t>
  </si>
  <si>
    <t>[Onjalalaina, Guy. E.; Jiang, Hui; Hu, Guang-Wan] Chinese Acad Sci, Wuhan Bot Garden, CAS Key Lab Plant Germplasm Enhancement &amp; Specialt, Wuhan 430074, Peoples R China; [Onjalalaina, Guy. E.; Jiang, Hui; Hu, Guang-Wan] Chinese Acad Sci, Ctr Conservat Biol, Core Bot Gardens, Wuhan 430074, Peoples R China; [Onjalalaina, Guy. E.; Jiang, Hui; Wanga, Vincent Okelo; Hu, Guang-Wan] Chinese Acad Sci, Sino Africa Joint Res Ctr, Wuhan 430074, Peoples R China; [Onjalalaina, Guy. E.; Jiang, Hui; Rakotonasolo, Andrimalala R.; Wanga, Vincent Okelo; Hu, Guang-Wan] Univ Chinese Acad Sci, Beijing 100049, Peoples R China; [Rakotonasolo, Andrimalala R.] Chinese Acad Sci, Kunming Inst Bot, Plant Germplasm &amp; Genom Ctr, Germplasm Bank Wild Species, Kunming 650201, Peoples R China; [Rakotonasolo, Andrimalala R.] Parc Bot &amp; Zool Tsimbazaza PBZT, Antananarivo, Madagascar</t>
  </si>
  <si>
    <t>Chinese Academy of Sciences; Wuhan Botanical Garden, CAS; Chinese Academy of Sciences; Chinese Academy of Sciences; Chinese Academy of Sciences; University of Chinese Academy of Sciences, CAS; Chinese Academy of Sciences; Kunming Institute of Botany, CAS</t>
  </si>
  <si>
    <t>Hu, GW (通讯作者)，Chinese Acad Sci, Wuhan Bot Garden, CAS Key Lab Plant Germplasm Enhancement &amp; Specialt, Wuhan 430074, Peoples R China.;Hu, GW (通讯作者)，Chinese Acad Sci, Ctr Conservat Biol, Core Bot Gardens, Wuhan 430074, Peoples R China.;Hu, GW (通讯作者)，Chinese Acad Sci, Sino Africa Joint Res Ctr, Wuhan 430074, Peoples R China.;Hu, GW (通讯作者)，Univ Chinese Acad Sci, Beijing 100049, Peoples R China.</t>
  </si>
  <si>
    <t>g.onjalalaina@outlook.com; jianghui202102@163.com; andry_bol6@yahoo.fr; vincentokelo@gmail.com; jianghui202102@163.com</t>
  </si>
  <si>
    <t>hu, guang wan/0000-0001-7728-7976</t>
  </si>
  <si>
    <t>National Natural Science Foundation of China [31970211]; Sino-Africa Joint Research Center, CAS [SAJC202101]</t>
  </si>
  <si>
    <t>National Natural Science Foundation of China(National Natural Science Foundation of China (NSFC)); Sino-Africa Joint Research Center, CAS</t>
  </si>
  <si>
    <t>We would like to thank the Department of Plant Biology and Ecology of the University of Antananarivo for arranging the research permit and the field expedition and the Ministere de l'Environnement et du Developpement Durable of Madagascar for issuing the research permit (203/19/MEDD/SG/DGEF/DGRNE). This work was supported by grants from the National Natural Science Foundation of China (31970211) and the Sino-Africa Joint Research Center, CAS (SAJC202101).</t>
  </si>
  <si>
    <t>10.11646/phytotaxa.573.2.9</t>
  </si>
  <si>
    <t>WOS:000891645200005</t>
  </si>
  <si>
    <t>Wei, De-Ping; Gentekaki, Eleni; Wanasinghe, Dhanushka N.; Hyde, Kevin D.; To-Anun, Chaiwat; Cheewangkoon, Ratchadawan</t>
  </si>
  <si>
    <t>Taxonomy and morphology of Phacidiella kunmingensis sp. nov. (Stictidaceae) from southwest China</t>
  </si>
  <si>
    <t>1 new species; Ostropales; Saprobe; Yunnan Province</t>
  </si>
  <si>
    <t>PHYLOGENETIC-RELATIONSHIPS; ASCOMYCOTA; FUNGI; OSTROPALES; OUTLINE; LICHEN; CLASSIFICATION; IDENTIFICATION; INSIGHTS; PRIMERS</t>
  </si>
  <si>
    <t>Stictidaceae was formally introduced as a group of saprotrophic discomycetes. The majority of Stictidaceae species are documented and described from Europe, North America and South America. In contrast, knowledge on stictidaceous fungi in African and Asian continents is lacking. In this study, a novel saprophytic species, Phacidiella kunmingensis sp. nov. was discovered from dead woody twigs in Yunnan Province, China. The new species was described based on its sexual morph, which is characterized by apothecial ascomata, yellow disc, white-pruinose margin, crystalline exciple, filiform paraphyses, cylindrical asci and filiform, multiseptate, non-disarticulating ascospores. Its taxonomic position was inferred using phylogenetic analyses of combined LSU, ITS, mtSSU and rpb2 sequence and further confirmed by morphological studies.</t>
  </si>
  <si>
    <t>[Wei, De-Ping; To-Anun, Chaiwat; Cheewangkoon, Ratchadawan] Chiang Mai Univ, Fac Agr, Dept Entomol &amp; Plant Pathol, Chiang Mai 50200, Thailand; [Wei, De-Ping; Wanasinghe, Dhanushka N.; Hyde, Kevin D.] Chinese Acad Sci, Kunming Inst Bot, CAS Key Lab Plant Divers &amp; Biogeog East Asia, Kunming 650201, Yunnan, Peoples R China; [Wei, De-Ping; Gentekaki, Eleni; Hyde, Kevin D.] Mae Fah Luang Univ, Ctr Excellence Fungal Res, Chiang Rai 57100, Thailand; [Gentekaki, Eleni] Mae Fah Luang Univ, Sch Sci, Chiang Rai 57100, Thailand; [Wanasinghe, Dhanushka N.] Chinese Acad Sci, Kunming Inst Bot, Honghe Ctr Mt Futures, Kunming 654400, Yunnan, Peoples R China; [Hyde, Kevin D.] Zhongkai Univ Agr &amp; Engn, Innovat Inst Plant Hlth, Guangzhou 510225, Peoples R China</t>
  </si>
  <si>
    <t>Chinese Research Fund (CRF) [E1644111K1]; CAS President's International Fellowship Initiative [2021FYB0005]; National Science Foundation of China (NSFC) [32150410362]; Human Resources and Social Security Bureau of Yunnan Province; National Research Council of Thailand (NRCT) [N42A650547]</t>
  </si>
  <si>
    <t>Chinese Research Fund (CRF); CAS President's International Fellowship Initiative; National Science Foundation of China (NSFC)(National Natural Science Foundation of China (NSFC)); Human Resources and Social Security Bureau of Yunnan Province; National Research Council of Thailand (NRCT)(National Research Council of Thailand (NRCT))</t>
  </si>
  <si>
    <t>We thank Key Laboratory for Plant Diversity and Biogeography of East Asia, Chinese Academy of Sciences for providing the laboratories and instruments for molecular and morphological work. De -ping Wei acknowledges the Chinese Research Fund (CRF) grant no. E1644111K1 entitled Flexible introduction of expert (Kevin David Hyde) to Kunming Institute of Botany, Chinese Academy of Sciences (CAS) for financial support. Dhanushka Wanasinghe would like to thank CAS President's International Fellowship Initiative (grant number 2021FYB0005) , the National Science Foundation of China (NSFC) under the project code 32150410362 and the Postdoctoral Fund from Human Resources and Social Security Bureau of Yunnan Province. K.D. Hyde was a Visiting Professor at Chiang Mai University during the period of this study. K.D. Hyde thanks the National Research Council of Thailand (NRCT) grant Total fungal diversity in a given forest area with implications towards species numbers, chemical diversity and biotechnology (grant no. N42A650547)</t>
  </si>
  <si>
    <t>10.11646/phytotaxa.573.1.4</t>
  </si>
  <si>
    <t>6O6FP</t>
  </si>
  <si>
    <t>WOS:000890336300002</t>
  </si>
  <si>
    <t>Tojibaev, K; Dekhkonov, D; Ergashov, I; Sun, H; Deng, T; Yusupov, Z</t>
  </si>
  <si>
    <t>Tojibaev, Komiljon; Dekhkonov, Davron; Ergashov, Ibrokhimjon; Sun, Hang; Deng, Tao; Yusupov, Ziyoviddin</t>
  </si>
  <si>
    <t>The synopsis of the genus Tulipa (Liliaceae) in Uzbekistan</t>
  </si>
  <si>
    <t>diagnostic key; description; taxonomy; morphological illustration; tulips of Uzbekistan</t>
  </si>
  <si>
    <t>L.; CHECKLIST; VALLEY</t>
  </si>
  <si>
    <t>Uzbekistan is widely regarded as one of the most diversified sources of the species of Tulipa L. The present study provides the synopsis of the genus Tulipa in this area. According to literature reviews and field surveys, this genus includes 33 species (34 taxa) distributed in Uzbekistan. In this paper, more than 3,500 herbarium specimens deposited in the National Herbarium of Uzbekistan (TASH), Komarov Botanical Institute St. Petersburg, Russia (LE), Moscow State University, Russia (MW), Herbarium of the Institute of Botany and Phytointroduction in Almaty, Kazakhstan (AA) and Herbarium of the Institute of Biology in Bishkek (FRU) were utilized to provide comprehensive genus coverage. The evaluation of their distribution and taxonomic classification were described. The taxonomical analyses, diagnostic keys at sectional and species levels as well as morphologic illustrations of most species distributed in Uzbekistan are provided.</t>
  </si>
  <si>
    <t>Tojibaev, Komiljon</t>
  </si>
  <si>
    <t>[Tojibaev, Komiljon] Inst Bot Acad Sci Republ Uzbekistan, Flora Uzbekistan Lab, 32 Durmon Yuli Str, Tashkent 100125, Uzbekistan; [Dekhkonov, Davron; Ergashov, Ibrokhimjon] Inst Bot Acad Sci Republ Uzbekistan, Lab Mol Phylogeny &amp; Biogeog, 32 Durmon Yuli Str, Tashkent 100125, Uzbekistan; [Dekhkonov, Davron] Namangan state Univ, Boburshox str 161, Namangan 60107161, Uzbekistan; [Ergashov, Ibrokhimjon; Sun, Hang; Deng, Tao; Yusupov, Ziyoviddin] Chinese Acad Sci, Kunming Inst Bot, Key Lab Plant Divers &amp; Biogeog East Asia, Kunming 650201, Yunnan, Peoples R China; [Ergashov, Ibrokhimjon] Univ Chinese Acad Sci, Beijing, Peoples R China; [Yusupov, Ziyoviddin] Chinese Acad Sci, Kunming Inst Bot, Yunnan Int Joint Lab Biodivers Cent Asia, Kunming 650201, Yunnan, Peoples R China</t>
  </si>
  <si>
    <t>Tojibaev, K (通讯作者)，Inst Bot Acad Sci Republ Uzbekistan, Flora Uzbekistan Lab, 32 Durmon Yuli Str, Tashkent 100125, Uzbekistan.;Dekhkonov, D (通讯作者)，Inst Bot Acad Sci Republ Uzbekistan, Lab Mol Phylogeny &amp; Biogeog, 32 Durmon Yuli Str, Tashkent 100125, Uzbekistan.;Dekhkonov, D (通讯作者)，Namangan state Univ, Boburshox str 161, Namangan 60107161, Uzbekistan.</t>
  </si>
  <si>
    <t>ktojibaev@mail.ru; davron-b@bk.ru; ibrohim8905@mail.ru; hsun@mail.kib.ac.cn; dengtao@mail.kib.ac.cn; yusupov@mail.kib.ac.cn</t>
  </si>
  <si>
    <t>Yusupov, Ziyoviddin/0000-0003-2278-542X; Sun, Hang/0000-0001-5127-4579; Ergashov, Ibrokhimjon/0000-0002-0991-1076</t>
  </si>
  <si>
    <t>Government of the Republic of Uzbekistan; Ministry of Innovations of the Republic of Uzbekistan;  [FZ-20200929321]</t>
  </si>
  <si>
    <t xml:space="preserve">Government of the Republic of Uzbekistan; Ministry of Innovations of the Republic of Uzbekistan; </t>
  </si>
  <si>
    <t>Acknowledgments This study was supported on the basis of the ?Tree of life: monocots of Uzbekistan? and is a part of the scientific program ?Grid mapping of the flora of mountainous regions of southern Uzbekistan? funded by the Government of the Republic of Uzbekistan, and the project ?Taxonomic revision of polymorphic plant families of the flora of Uzbekistan? (FZ-20200929321) funded by the Ministry of Innovations of the Republic of Uzbekistan. We are grateful to all reviewers for their valuable comments.</t>
  </si>
  <si>
    <t>10.11646/phytotaxa.573.2.2</t>
  </si>
  <si>
    <t>6Q5DS</t>
  </si>
  <si>
    <t>WOS:000891633900002</t>
  </si>
  <si>
    <t>Li, J; Wang, Z; Liu, ED; Yang, ZL; Li, YC</t>
  </si>
  <si>
    <t>LI, Jin; Wang, Zhen; Liu, En-De; Yang, Zhu l.; LI, Yan-Chun</t>
  </si>
  <si>
    <t>Morphological and molecular data reveal Retiboletus cyanescens sp. nov. and the new subgenus Nigroretiboletorum (Boletaceae)</t>
  </si>
  <si>
    <t>Boletes; morphology; new taxa; phylogeny; taxonomy</t>
  </si>
  <si>
    <t>PHYLOGENY; GENUS</t>
  </si>
  <si>
    <t>Relationships between species of Retiboletus were inferred from morphology and nucleotide sequences of the translation elongation factor 1-alpha gene (tef1-alpha), the second largest subunit of RNA polymerase II (rpb2), the nuclear ribosomal large subunit (nrLSU), and the nuclear ribosomal internal transcribed spacer (ITS), based on Maximum Likelihood and Bayesian analyses. Our analyses indicated that the genus Retiboletus is divided into two major clades, with at least 10 species -level lineages in China. Accordingly, we describe a new subgenus, i.e. R. subg. Nigroretiboletorum, and a new species R. cyanescens of this subgenus. The newly proposed subgenus accommodates R. griseus and its allied taxa characterized by grayish white, white, or grayish pink hymenophores and white to gray context in pileus. Color pictures of fresh basidiomata and line drawings of the new species are provided, with a discussion concerning its taxonomic and phylogenetic relationships within the genus. In addition, a key to the species of Retiboletus in China is provided.</t>
  </si>
  <si>
    <t>LI, Jin</t>
  </si>
  <si>
    <t>[LI, Jin; Liu, En-De; Yang, Zhu l.; LI, Yan-Chun] Chinese Acad Sci, Kunming Inst Bot, Key Lab Plant Divers &amp; Biogeog East Asia, Kunming 650201, Peoples R China; [LI, Jin] Yunnan Univ, Sch Life Sci, Kunming 650504, Peoples R China; [LI, Jin; Yang, Zhu l.; LI, Yan-Chun] Yunnan Key Lab Fungal Divers &amp; Green Dev, Kunming 650201, Peoples R China; Univ Chinese Acad Sci, Beijing 100049, Peoples R China</t>
  </si>
  <si>
    <t>Yang, ZL; Li, YC (通讯作者)，Chinese Acad Sci, Kunming Inst Bot, Key Lab Plant Divers &amp; Biogeog East Asia, Kunming 650201, Peoples R China.;Yang, ZL; Li, YC (通讯作者)，Yunnan Key Lab Fungal Divers &amp; Green Dev, Kunming 650201, Peoples R China.</t>
  </si>
  <si>
    <t>lijin1@mail.kib.ac.cn; wangzhen@mail.kib.ac.cn; liuende@mail.kib.ac.cn; fungi@mail.kib.ac.cn; liyanch@mail.kib.ac.cn</t>
  </si>
  <si>
    <t>National Natural Science Foundation of China [31872618, 32070024, 31750001]; Ten Thousand Talents Program of Yunnan [YNWR-QNBJ-2018-125]; Key Research Program of Frontier Sciences, CAS [QYZDY-SSW-SMC029]; Forestry and Grass Bureau of Anning</t>
  </si>
  <si>
    <t>National Natural Science Foundation of China(National Natural Science Foundation of China (NSFC)); Ten Thousand Talents Program of Yunnan; Key Research Program of Frontier Sciences, CAS; Forestry and Grass Bureau of Anning</t>
  </si>
  <si>
    <t>The authors are grateful to Prof. Roy E. Halling (the New York Botanical Garden) for providing American specimens. The anonymous reviewers are acknowledged for their valuable comments and suggestions. This study was financially supported by the National Natural Science Foundation of China (Nos. 31872618, 32070024, 31750001), the Ten Thousand Talents Program of Yunnan (YNWR-QNBJ-2018-125), the Key Research Program of Frontier Sciences, CAS (QYZDY-SSW-SMC029), and the Investigation Program of Macrofungi and Plant Resources in Anning from the Forestry and Grass Bureau of Anning.</t>
  </si>
  <si>
    <t>10.11646/phytotaxa.572.3.2</t>
  </si>
  <si>
    <t>6J4FS</t>
  </si>
  <si>
    <t>WOS:000886780700002</t>
  </si>
  <si>
    <t>Monkai, J; Phookamsak, R; Xu, S; Xu, JC; Mortimer, PE; Karunarathna, SC; Suwannarach, N; Lumyong, S</t>
  </si>
  <si>
    <t>Monkai, Jutamart; Phookamsak, Rungtiwa; Xu, Sheng; Xu, Jianchu; Mortimer, Peter E.; Karunarathna, Samantha C.; Suwannarach, Nakarin; Lumyong, Saisamorn</t>
  </si>
  <si>
    <t>Pseudophaeocytostroma bambusicola gen. et sp. nov. (Diaporthaceae) from bamboo in Yunnan, PR China</t>
  </si>
  <si>
    <t>Bambusicolous fungi; Coelomycetous asexual morph; New genus; Sordariomycetes; Taxonomy</t>
  </si>
  <si>
    <t>FUNGI; MORPHOLOGY; PHYLOGENY; INFERENCE; MRBAYES; DISEASE; CHOICE; ROT</t>
  </si>
  <si>
    <t>Phaeocytostroma species (Diaporthaceae, Diaporthales, Sordariomycetes) are mainly associated with grasses (Poaceae) and are considered important pathogens of maize and sugarcane. In the present study, a phaeocytostroma-like taxon was collected from bamboo culms in Yunnan, China and characterized using morphological and multigene phylogenetic analyses. The fungus was characterized by uni-to bi-locular conidiomata, papillate ostioles, septate, filiform paraphyses and brown, oblong to ellipsoid, aseptate, conidia, with obtuse ends. Phylogenetic analyses inferred from the combined dataset of ITS, LSU, and TEF1-alpha regions showed that the phaeocytostroma-like taxon constituted an independent lineage clustered with P. sacchari distant from Phaeocytostroma sensu stricto. Hence, the novel genus Pseudophaeocytostroma is introduced to accommodate the new species Ps. bambusicola. Pseudophaeocytostroma bambusicola clustered with P. sacchari strains CBS 275.34, km-1, UMICH-1, 135 in the present phylogenetic analyses. However, these strains are not the ex-type strains of P. sacchari and some of them lack morphological descriptions and remain unpublished. Therefore, we treat these strains as Ps. sacchari herein until the type strain of P. sacchari is verified. The pairwise nucleotide comparison of ITS and TEF1-alpha sequence data and a pairwise homoplasy index test between Ps. bambusicola and Ps. sacchari provided further evidence to support Ps. bambusicola as a distinct species. The morphological characteristics and phylogenetic relationship of Ps. bambusicola and other related Phaeocytostroma species are also compared and discussed.</t>
  </si>
  <si>
    <t>[Monkai, Jutamart; Phookamsak, Rungtiwa; Xu, Sheng; Suwannarach, Nakarin; Lumyong, Saisamorn] Chiang Mai Univ, Fac Sci, Res Ctr Microbial Divers &amp; Sustainable Utilizat, Chiang Mai 50200, Thailand; [Monkai, Jutamart; Xu, Sheng; Suwannarach, Nakarin; Lumyong, Saisamorn] Chiang Mai Univ, Fac Sci, Dept Biol, Chiang Mai 50200, Thailand; [Phookamsak, Rungtiwa; Xu, Sheng; Xu, Jianchu] Chinese Acad Sci, Kunming Inst Bot, Honghe Ctr Mt Futures, Honghe 654400, Peoples R China; [Xu, Jianchu; Mortimer, Peter E.] Kunming Inst Bot, Ctr Mt Futures CMF, Kunming 650201, Peoples R China; [Xu, Jianchu] World Agroforestry ICRAF, CIFOR ICRAF China Program, Kunming 650201, Peoples R China; [Lumyong, Saisamorn] Royal Soc Thailand, Acad Sci, Bangkok 10300, Thailand; [Karunarathna, Samantha C.] Qujing Normal Univ, Coll Biol Resource &amp; Food Engn, Ctr Yunnan Plateau Biol Resources Protect &amp; Utiliz, Qujing 655011, Peoples R China</t>
  </si>
  <si>
    <t>Chiang Mai University; Chiang Mai University; Chinese Academy of Sciences; Kunming Institute of Botany, CAS; Chinese Academy of Sciences; Kunming Institute of Botany, CAS</t>
  </si>
  <si>
    <t>mjutamart@gmail.com; jomjam.rp2@gmail.com; hambugerking123@gmail.com; jxu@mail.kib.ac.cn; peter@mail.kib.ac.cn; samantha@mail.kib.ac.cn; suwan_461@hotmail.com; scboi009@gmail.com</t>
  </si>
  <si>
    <t>Monkai, Jutamart/0000-0001-6043-0625; Karunarathna, Samantha Chandranath/0000-0001-7080-0781</t>
  </si>
  <si>
    <t>Chiang Mai University, Thailand [R000030592, R000031743]; Yunnan Provincial Science and Technology Department, Key Project [202101AS070045]; NSFC-CGIAR Project Characterization of roots and their associated rhizosphere microbes in agroforestry systems: ecological restoration in high-phosphorus environment [31861143002]</t>
  </si>
  <si>
    <t>Chiang Mai University, Thailand; Yunnan Provincial Science and Technology Department, Key Project; NSFC-CGIAR Project Characterization of roots and their associated rhizosphere microbes in agroforestry systems: ecological restoration in high-phosphorus environment</t>
  </si>
  <si>
    <t>The research was supported by Post-Doctoral Fellowship 2022 from Chiang Mai University, Thailand (Grant No. R000030592 and R000031743) . Shaun Pennycook from Landcare Research, Auckland, New Zealand is thanked for advising on the taxon name. Chun-Fang Liao at School of Science, Mae Fah Luang University, Chiang Rai 57100, Thailand is thanked for general assistance. The Biology Experimental Center, Germplasm Bank of Wild Species, Kunming Institute of Botany, Chinese Academy of Sciences is thanked for providing the facilities of the molecular laboratory. This research study is also supported by Yunnan Provincial Science and Technology Department, Key Project (Grant No. 202101AS070045) and NSFC-CGIAR Project Characterization of roots and their associated rhizosphere microbes in agroforestry systems: ecological restoration in high-phosphorus environment (Grant No. 31861143002) .</t>
  </si>
  <si>
    <t>10.11646/phytotaxa.571.1.3</t>
  </si>
  <si>
    <t>6C1LC</t>
  </si>
  <si>
    <t>WOS:000881782300003</t>
  </si>
  <si>
    <t>Kularathnage, ND; Wanasinghe, DN; Senanayake, IC; Yang, YH; Manawasinghe, IS; Phillips, AJL; Hyde, KD; Dong, W; Song, JG</t>
  </si>
  <si>
    <t>Kularathnage, Nuwan D.; Wanasinghe, Dhanushka N.; Senanayake, Indunil C.; Yang, Yunhui; Manawasinghe, Ishara S.; Phillips, Alan J. L.; Hyde, Kevin D.; Dong, Wei; Song, Jiage</t>
  </si>
  <si>
    <t>Microfungi associated with ornamental palms: Byssosphaeria phoenicis sp. nov. (Melanommataceae) and Pseudocoleophoma rhapidis sp. nov. (Dictyosporiaceae) from south China</t>
  </si>
  <si>
    <t>2 new species; Dothideomycetes; leaf spots; pathogenicity test; Pleosporales</t>
  </si>
  <si>
    <t>FUNGI; ASTROSPHAERIELLA; PATHOGENICITY; HERPOTRICHIA; PHYLOGENY; DIVERSITY; OUTLINE; CHOICE; GENUS</t>
  </si>
  <si>
    <t>The health and attractiveness of ornamental plants play key role in gardening and horticulture. They affect both the economical and ornamental value of the plants. In this study, we collected and isolated microfungi associated with dead petioles of dwarf date palm and living leaves of lady palm from Zhongkai University Garden, Guangzhou, China. Phylogenetic relationships were investigated based on multi-locus phylogeny of ITS, LSU, SSU and tef-1 alpha sequence data. The morphology of the new collections was compared with all the relevant species. Based on the morphological comparison and multi-locus phylogeny, we introduce Byssosphaeria phoenicis sp. nov. and Pseudocoleophoma rhapidis sp. nov. in Melanommataceae and Dictyosporiaceae, respectively. Detailed descriptions and illustrations are provided with notes discussing allied species in Byssosphaeria and Pseudocoleophoma. Pathogenicity testing of P. rhapidis causing leaf spots on lady palm was proven and Koch's postulates fulfilled. This is the first phytopathogenic Pseudocoleophoma species. The pathogenicity does not cause dieback, but the leaf spots reduce the aesthetical value of the plants.</t>
  </si>
  <si>
    <t>Kularathnage, Nuwan D.</t>
  </si>
  <si>
    <t>[Kularathnage, Nuwan D.; Senanayake, Indunil C.; Yang, Yunhui; Manawasinghe, Ishara S.; Phillips, Alan J. L.; Hyde, Kevin D.; Dong, Wei; Song, Jiage] Zhongkai Univ Agr &amp; Engn, Innovat Inst Plant Hlth, Key Lab Green Prevent &amp; Control Fruits &amp; Vegetable, Minist Agr &amp; Rural Affairs, Guangzhou 510225, Guangdong, Peoples R China; [Kularathnage, Nuwan D.; Yang, Yunhui; Phillips, Alan J. L.; Hyde, Kevin D.] Mae Fah Luang Univ, Ctr Excellence Fungal Res, Chiang Rai 57100, Thailand; [Kularathnage, Nuwan D.; Yang, Yunhui; Hyde, Kevin D.] Mae Fah Luang Univ, Sch Sci, Chiang Rai 57100, Thailand; [Wanasinghe, Dhanushka N.; Dong, Wei] Chinese Acad Sci, Kunming Inst Bot, Honghe Ctr Mt futures, Honghe 654400, Yunnan, Peoples R China; [Wanasinghe, Dhanushka N.; Song, Jiage] World Agroforestry ICRAF, ICRAF China Program, CIFOR, Kunming 650201, Yunnan, Peoples R China; [Phillips, Alan J. L.] Univ Lisbon, Biosyst &amp; Integrat Sci Inst BioISI, P-1749016 Lisbon, Portugal</t>
  </si>
  <si>
    <t>Ministry of Agriculture &amp; Rural Affairs; Zhongkai University of Agriculture &amp; Engineering; Mae Fah Luang University; Mae Fah Luang University; Chinese Academy of Sciences; Kunming Institute of Botany, CAS; BIOISI; Universidade de Lisboa</t>
  </si>
  <si>
    <t>Dong, W; Song, JG (通讯作者)，Zhongkai Univ Agr &amp; Engn, Innovat Inst Plant Hlth, Key Lab Green Prevent &amp; Control Fruits &amp; Vegetable, Minist Agr &amp; Rural Affairs, Guangzhou 510225, Guangdong, Peoples R China.;Dong, W (通讯作者)，Chinese Acad Sci, Kunming Inst Bot, Honghe Ctr Mt futures, Honghe 654400, Yunnan, Peoples R China.;Song, JG (通讯作者)，World Agroforestry ICRAF, ICRAF China Program, CIFOR, Kunming 650201, Yunnan, Peoples R China.</t>
  </si>
  <si>
    <t>nuwandirantha@gmail.com; dnadeeshan@gmail.com; indunilchinthani@gmail.com; yyunhui1226@163.com; ishara.ishara@yahoo.com; alan.jl.phillips@gmail.com; kdhyde3@gmail.com; dongwei0312@hotmail.com; jiagesong@sina.com</t>
  </si>
  <si>
    <t>Hyde, Kevin D/F-7890-2010; Wanasinghe, Dhanushka Nadeeshan/P-1693-2017; Manawasinghe, Ishara Sandeepani/AAD-7555-2019; Phillips, Alan/C-6102-2011</t>
  </si>
  <si>
    <t>Wanasinghe, Dhanushka Nadeeshan/0000-0003-1759-3933; Wei, Dong/0000-0003-4991-1529; yang, yunhui/0000-0002-0326-1471; Manawasinghe, Ishara Sandeepani/0000-0001-5730-3596; Phillips, Alan/0000-0001-6367-9784; Senanayake, Indunil/0000-0002-7165-2394</t>
  </si>
  <si>
    <t>Innovative Institute for Plant Health, Zhongkai University of Agriculture and Engineering, Guangzhou, China; CAS President's International Fellowship Initiative (PIFI); Postdoctoral Fund from Human Resources and Social Security Bureau of Yunnan Province; High-End Foreign Experts; High -Level Talent Recruitment Plan of Yunnan Province; FCT, Portugal; National Natural Science Foundation of China; Talent Program of Zhongkai University of Agricultural and Engineering;  [2021FYB0005];  [32100012]</t>
  </si>
  <si>
    <t xml:space="preserve">Innovative Institute for Plant Health, Zhongkai University of Agriculture and Engineering, Guangzhou, China; CAS President's International Fellowship Initiative (PIFI); Postdoctoral Fund from Human Resources and Social Security Bureau of Yunnan Province; High-End Foreign Experts; High -Level Talent Recruitment Plan of Yunnan Province; FCT, Portugal(Portuguese Foundation for Science and TechnologyEuropean Commission); National Natural Science Foundation of China(National Natural Science Foundation of China (NSFC)); Talent Program of Zhongkai University of Agricultural and Engineering; ; </t>
  </si>
  <si>
    <t>Nuwan Kularathnage thanks to Innovative Institute for Plant Health, Zhongkai University of Agriculture and Engineering, Guangzhou, China for providing research facilities and Mae Fah Luang University, Chiang Rai, Thailand for providing a PhD scholarship. Dhanushka N. Wanasinghe would like to thank CAS President's International Fellowship Initiative (PIFI) for funding his postdoctoral research (number 2021FYB0005) , the Postdoctoral Fund from Human Resources and Social Security Bureau of Yunnan Province and High-End Foreign Experts in the High -Level Talent Recruitment Plan of Yunnan Province (2021) . Alan JL Phillips acknowledges the support from UIDB/04046/2020 and UIDP/04046/2020 Centre grants from FCT, Portugal (to BioISI) . Jiage Song thanks the National Natural Science Foundation of China (Nos. 32100012) and Talent Program of Zhongkai University of Agricultural and Engineering (KA200540852) . Wei Dong thanks the National Natural Science Foundation of China (Nos. 32200015) .</t>
  </si>
  <si>
    <t>10.11646/phytotaxa.568.2.2</t>
  </si>
  <si>
    <t>5V0ME</t>
  </si>
  <si>
    <t>WOS:000876931800001</t>
  </si>
  <si>
    <t>Wan, X; Zhang, L; Zhang, LB</t>
  </si>
  <si>
    <t>Wan, Xia; Zhang, Liang; Zhang, Li-Bing</t>
  </si>
  <si>
    <t>Validation and lectotypification of the fern combination Whittieria engelmannii (Ophioglossaceae)</t>
  </si>
  <si>
    <t>Wan, Xia</t>
  </si>
  <si>
    <t>[Wan, Xia; Zhang, Li-Bing] Chinese Acad Sci, Chengdu Inst Biol, Key Lab Mt Ecol Restorat &amp; Bioresource Utilizat, Chengdu 610041, Peoples R China; [Wan, Xia] Sichuan Univ, Coll Life Sci, Chengdu 610065, Peoples R China; [Wan, Xia] Univ Chinese Acad Sci, Beijing 100049, Peoples R China; [Wan, Xia; Zhang, Liang; Zhang, Li-Bing] Missouri Bot Garden, St Louis, MO 63110 USA; [Zhang, Liang] Chinese Acad Sci, Kunming Inst Bot, Key Lab Plant Divers &amp; Biogeog East Asia, Kunming 650201, Yunnan, Peoples R China</t>
  </si>
  <si>
    <t>Chinese Academy of Sciences; Chengdu Institute of Biology, CAS; Sichuan University; Chinese Academy of Sciences; University of Chinese Academy of Sciences, CAS; Missouri Botanical Gardens; Chinese Academy of Sciences; Kunming Institute of Botany, CAS</t>
  </si>
  <si>
    <t>Zhang, LB (通讯作者)，Chinese Acad Sci, Chengdu Inst Biol, Key Lab Mt Ecol Restorat &amp; Bioresource Utilizat, Chengdu 610041, Peoples R China.;Zhang, LB (通讯作者)，Missouri Bot Garden, St Louis, MO 63110 USA.</t>
  </si>
  <si>
    <t>xwan@mobot.org; zhangliang@mail.kib.ac.cn; Libing.Zhang@mobot.org</t>
  </si>
  <si>
    <t>Chinese Botanists</t>
  </si>
  <si>
    <t>Alan Weakley kindly brought the invalid combination to our attention in May, 2022. XW is grateful for Glory Light International Fellowship for Chinese Botanists.</t>
  </si>
  <si>
    <t>OCT 4</t>
  </si>
  <si>
    <t>10.11646/phytotaxa.567.2.10</t>
  </si>
  <si>
    <t>5U3VN</t>
  </si>
  <si>
    <t>WOS:000876478800005</t>
  </si>
  <si>
    <t>Lv, T; Li, YR; Ao, CC; He, J; Yu, FM; Tang, SM; Li, SH</t>
  </si>
  <si>
    <t>Lv, Tong; Li, Yong-Rui; Ao, Cheng-Ce; He, Jun; Yu, Feng-Ming; Tang, Song-Ming; Li, Shu-Hong</t>
  </si>
  <si>
    <t>Phallus aureus sp. nov. (Phallaceae, Basidiomycota) from Yunnan Province, China</t>
  </si>
  <si>
    <t>ITS; LSU; Macrofungi; Phylogenetic analysis; Stinkhorn; Taxonomy</t>
  </si>
  <si>
    <t>STINKHORN; TOOL</t>
  </si>
  <si>
    <t>Phallus aureus is described as a new species from China and is characterized by an obovate, rugose, squamulose on the immature basidiomata surface, pseudostipe yellowish, grey volva, and pale yellow at the base becoming light yellow upwards. The new species is phylogenetically located in an independent lineage. A full description, colour photographs, illustrations, and a phylogenetic tree to show the position of new species are provided.</t>
  </si>
  <si>
    <t>Lv, Tong</t>
  </si>
  <si>
    <t>[Lv, Tong; Li, Yong-Rui; Ao, Cheng-Ce; He, Jun; Tang, Song-Ming; Li, Shu-Hong] Yunnan Acad Agr Sci, Biotechnol &amp; Germplasm Resources Inst, Kunming 650205, Peoples R China; [Yu, Feng-Ming; Tang, Song-Ming] Mae Fah Luang Univ, Ctr Excellence Fungal Res, Chiang Rai 57100, Thailand; [Li, Yong-Rui; Yu, Feng-Ming; Tang, Song-Ming] Mae Fah Luang Univ, Sch Sci, Chiang Rai 57100, Thailand; [Ao, Cheng-Ce; Tang, Song-Ming] Dali Univ, Coll Agr &amp; Biol Sci, Dali 671003, Yunnan, Peoples R China; [Lv, Tong] Yunnan Univ, Sch Agr, Kunming 650500, Peoples R China; [Yu, Feng-Ming] Chinese Acad Sci, Inst Bot, Key Lab Plant Divers &amp; Biogeog East Asia, Kunming 650201, Peoples R China</t>
  </si>
  <si>
    <t>Yunnan Academy of Agricultural Sciences; Mae Fah Luang University; Mae Fah Luang University; Dali University; Yunnan University; Chinese Academy of Sciences; Kunming Institute of Botany, CAS</t>
  </si>
  <si>
    <t>Tang, SM; Li, SH (通讯作者)，Yunnan Acad Agr Sci, Biotechnol &amp; Germplasm Resources Inst, Kunming 650205, Peoples R China.;Tang, SM (通讯作者)，Mae Fah Luang Univ, Ctr Excellence Fungal Res, Chiang Rai 57100, Thailand.;Tang, SM (通讯作者)，Mae Fah Luang Univ, Sch Sci, Chiang Rai 57100, Thailand.;Tang, SM (通讯作者)，Dali Univ, Coll Agr &amp; Biol Sci, Dali 671003, Yunnan, Peoples R China.</t>
  </si>
  <si>
    <t>3513689486@qq.com; 2378743323@qq.com; 1214897567@qq.com; junhe219@163.com; fm_junhe219@163.com; 2567139016@qq.com; shuhongfungi@126.com</t>
  </si>
  <si>
    <t>National Natural Science Foundation of China [31560009, 31160010, 31960391]; Yunnan Science and Technology Department and Technology Talents and Platform Program Yunnan Province Technology Innovation Talents Objects [2017HB084]; edible fungi industry system of China [CARS20];  [YCJ[2020]323]</t>
  </si>
  <si>
    <t xml:space="preserve">National Natural Science Foundation of China(National Natural Science Foundation of China (NSFC)); Yunnan Science and Technology Department and Technology Talents and Platform Program Yunnan Province Technology Innovation Talents Objects; edible fungi industry system of China; </t>
  </si>
  <si>
    <t>We thank two anonymous reviewers for corrections and suggestions to improve our work. This work was supported by grants from the National Natural Science Foundation of China to Shu-Hong Li (No.31560009, 31160010, 31960391) and Yunnan Science and Technology Department and Technology Talents and Platform Program Yunnan Province Technology Innovation Talents Objects (Project ID 2017HB084), and edible fungi industry system of China (CARS20), and YCJ[2020]323.</t>
  </si>
  <si>
    <t>10.11646/phytotaxa.567.1.5</t>
  </si>
  <si>
    <t>5L3NQ</t>
  </si>
  <si>
    <t>WOS:000870322400002</t>
  </si>
  <si>
    <t>SUN, ZP; ZHAO, Y; BONGCHEEWIN, B; KIM, S; GUO, G; FUNAMOTO, T; WANG, HC; XIANG, CL</t>
  </si>
  <si>
    <t>SUN, ZENG-PENG; ZHAO, Y. U. E.; BONGCHEEWIN, B. H. A. N. U. B. O. N. B.; KIM, S. A. N. G. T. A. E.; GUO, G. U. A. N. G.; FUNAMOTO, T. S. U. N. E. O.; WANG, HUAN-CHONG; XIANG, CHUN-LEI</t>
  </si>
  <si>
    <t>Systematic placement of Elsholtzia griffithii (Nepetoideae, Lamiaceae), a new record from China</t>
  </si>
  <si>
    <t>Elsholtzieae; Lamiaceae; Nepetoideae; Molecular phylogeny</t>
  </si>
  <si>
    <t>NUCLEAR; SICHUAN</t>
  </si>
  <si>
    <t>Elsholtzia griffithii, the first record in Guangxi Province, China, is described and illustrated in detail. We provided the most updated phylogeny of Elsholtzia based on two nuclear ribosomal DNA regions (ITS, ETS) to resolve the phylogenetic placement of this species. Our study reveals that E. griffithii is most closely related to E. cyprianii but differs from it by having linear bracts ??? 4 mm and distinctively longer than flowers (vs. bracts ??? 3 mm in E. cyprianii) and calyx teeth unequal, two anterior lobes shorter than three posterior lobes (vs. five lobes equal in length). In addition, monophyly of Elsholtzia was strongly supported and three clades were recognized, whereas all sections and series were not recovered as monophyletic, indicating that reclassification is needed at higher taxonomic levels.</t>
  </si>
  <si>
    <t>SUN, ZENG-PENG</t>
  </si>
  <si>
    <t>[SUN, ZENG-PENG; XIANG, CHUN-LEI] Chinese Acad Sci, Kunming Inst Bot, CAS Key Lab Plant Div &amp; Biogeog East Asia, Kunming 650201, Yunnan, Peoples R China; [SUN, ZENG-PENG] Yunnan Univ, Sch Life Sci, Kunming 650091, Yunnan, Peoples R China; [ZHAO, Y. U. E.] Inner Mongolia Univ, Sch Ecol &amp; Environm, Hohhot 010000, Inner Mongolia, Peoples R China; [BONGCHEEWIN, B. H. A. N. U. B. O. N. B.] Mahidol Univ, Dept Pharmaceut Bot, Fac Pharm, Bangkok 10400, Thailand; [KIM, S. A. N. G. T. A. E.] Sungshin Univ, Dept Biol, Seoul 136742, South Korea; [GUO, G. U. A. N. G.] Lincang Forestry &amp; Grassland Bur, Lincang 677099, Yunnan, Peoples R China; [FUNAMOTO, T. S. U. N. E. O.] Showa Pharmaceut Univ, Inst Biol, Fundamental Educ &amp; Res Ctr Pharmaceut Sci, 3 Chome,Higashi Tamagawagakuen, Machida, Tokyo 1948543, Japan; [WANG, HUAN-CHONG] Yunnan Univ, Sch Ecol &amp; Environm Sci, Kunming 650091, Yunnan, Peoples R China</t>
  </si>
  <si>
    <t>Chinese Academy of Sciences; Kunming Institute of Botany, CAS; Yunnan University; Inner Mongolia University; Mahidol University; Sungshin Women's University; Showa Pharmaceutical University; Yunnan University</t>
  </si>
  <si>
    <t>XIANG, CL (通讯作者)，Chinese Acad Sci, Kunming Inst Bot, CAS Key Lab Plant Div &amp; Biogeog East Asia, Kunming 650201, Yunnan, Peoples R China.</t>
  </si>
  <si>
    <t>sunzengpeng@mail.kib.ac.cn; zhaoyue@mail.kib.ac.cn; bhanubong.boc@mahidol.ac.th; amborella@sungshin.ac.kr; 1481888413@qq.com; onetsu_f@bay-ship.co.jp; hchwang@ynu.edu.cn; xiangchunlei@mail.kib.ac.cn</t>
  </si>
  <si>
    <t>Ten Thousand Talents Program of Yunnan (Top-notch Young Talents Project) [YNWR-QNBJ-2018-279]; Excellent Youth Program [2019FI009]; CAS Light of West China Program</t>
  </si>
  <si>
    <t>Ten Thousand Talents Program of Yunnan (Top-notch Young Talents Project); Excellent Youth Program; CAS Light of West China Program</t>
  </si>
  <si>
    <t>The authors are grateful to Dr. Ya-Ping Chen and Miss. Jin-Fei Xiao (Kunming Institute of Botany, China) for their help in field collection and Dr. Trevor Wilson (National Herbarium of New South Wales, Australia) for reviewing the manuscript. This study was funded by the Ten Thousand Talents Program of Yunnan (Top-notch Young Talents Project, No. YNWR-QNBJ-2018-279), the Excellent Youth Program (No. 2019FI009), and the CAS Light of West China Program to CLX.</t>
  </si>
  <si>
    <t>MAY 26</t>
  </si>
  <si>
    <t>10.11646/phytotaxa.548.1.3</t>
  </si>
  <si>
    <t>3J0KA</t>
  </si>
  <si>
    <t>WOS:000833092900002</t>
  </si>
  <si>
    <t>Xu, RJ; Li, L; Zhao, Q</t>
  </si>
  <si>
    <t>Xu, Rong-Ju; Li, Lu; Zhao, Qi</t>
  </si>
  <si>
    <t>Helvella cystidiata sp. nov. (Helvellaceae, Ascomycota) from Tibetan Plateau, China</t>
  </si>
  <si>
    <t>morphology; new taxa; Pezizales; phylogeny</t>
  </si>
  <si>
    <t>PHYLOGENY; DIVERSITY; COMPLEX; NAMES</t>
  </si>
  <si>
    <t>During investigations into fungal diversity in the Tibetan Plateau, two Helvella collections were made. Morphological characteristics and phylogenetic analyses of combined ITS and LSU sequence data revealed one collection represents a distinct new species that is introduced as Helvella cystidiata. Helvella cystidiata is characterized by having loosely saddle -shaped pileus, greyish to grey brown hymenium, lacunose stipe and inflated ectal excipulum cells. Furthermore, a known species Helvella lacunosa is reported in Tibetan Plateau. Detailed descriptions, illustrations and a phylogenetic tree to show the placement of two taxa are provided.</t>
  </si>
  <si>
    <t>Xu, Rong-Ju</t>
  </si>
  <si>
    <t>[Xu, Rong-Ju; Li, Lu; Zhao, Qi] Chinese Acad Sci, Kunming Inst Bot, Key Lab Plant Divers &amp; Biogeog East Asia, Yunnan Key Lab Fungal Divers &amp; Green Dev, Kunming 650201, Yunnan, Peoples R China; [Xu, Rong-Ju] Mae Fah Luang Univ, Ctr Excellence Fungal Res, Chiang Rai 57100, Thailand; [Xu, Rong-Ju] Mae Fah Luang Univ, Sch Sci, Chiang Rai 57100, Thailand</t>
  </si>
  <si>
    <t>Chinese Academy of Sciences; Kunming Institute of Botany, CAS; Mae Fah Luang University; Mae Fah Luang University</t>
  </si>
  <si>
    <t>Zhao, Q (通讯作者)，Chinese Acad Sci, Kunming Inst Bot, Key Lab Plant Divers &amp; Biogeog East Asia, Yunnan Key Lab Fungal Divers &amp; Green Dev, Kunming 650201, Yunnan, Peoples R China.</t>
  </si>
  <si>
    <t>xurongju1005@outlook.com; lilu@mail.kib.ac.cn; zhaoqi@mail.kib.ac.cn</t>
  </si>
  <si>
    <t>10.11646/phytotaxa.560.1.6</t>
  </si>
  <si>
    <t>4W0NG</t>
  </si>
  <si>
    <t>WOS:000859863800002</t>
  </si>
  <si>
    <t>Lu, ZH; Wanasinghe, DN; Madrid, H; Maharachchikumbura, SSN</t>
  </si>
  <si>
    <t>Lu, Zheng-Hua; Wanasinghe, Dhanushka N.; Madrid, Hugo; Maharachchikumbura, Sajeewa S. N.</t>
  </si>
  <si>
    <t>Hyphocapnodia sichuanensis gen. et sp. nov. (Capnodiaceae), a novel hyphomycete from Sichuan Province, China</t>
  </si>
  <si>
    <t>2 new taxa; anamorph; Dothideomycetes; phylogeny; sooty moulds</t>
  </si>
  <si>
    <t>PHYLOGENETIC-RELATIONSHIPS; FUNGUS</t>
  </si>
  <si>
    <t>A hyphomycetous sooty mould was collected on a dead bamboo (Bambusoideae, Gramineae) from a terrestrial habitat in Sichuan Province, China. To establish the phylogenetic position of newly collected sooty mould within the Capnodiales, we sequenced two rDNA regions, ITS1-5.8S-ITS2 (ITS) and 28S, and two protein-coding genes tef1-alpha and rpb2. Based on maximum likelihood and Bayesian analyses of a combined dataset and an examination of morphology, we describe and il-lustrate Hyphocapnodia gen. et sp. nov. Hyphocapnodia sichuanensis is characterized by subcylindrical, dark brown to black synnemata with monoblastic conidiogenous cells producing subcylindrical to fusiform, transversely septate, brown conidia with a truncate base.</t>
  </si>
  <si>
    <t>Lu, Zheng-Hua</t>
  </si>
  <si>
    <t>[Lu, Zheng-Hua; Maharachchikumbura, Sajeewa S. N.] Univ Elect Sci &amp; Technol China, Ctr Informat Biol, Sch Life Sci &amp; Technol, Chengdu 611731, Peoples R China; [Wanasinghe, Dhanushka N.] Chinese Acad Sci, Kunming Inst Bot, Honghe Ctr Mt Futures, Honghe 654400, Peoples R China; [Madrid, Hugo] Univ Tarapaca, Fac Ciencias Salud, Dept Tecnol Med, Av Luis Emilio Recabarren 2477, Iquique, Chile</t>
  </si>
  <si>
    <t>University of Electronic Science &amp; Technology of China; Chinese Academy of Sciences; Kunming Institute of Botany, CAS; Universidad de Tarapaca</t>
  </si>
  <si>
    <t>Maharachchikumbura, SSN (通讯作者)，Univ Elect Sci &amp; Technol China, Ctr Informat Biol, Sch Life Sci &amp; Technol, Chengdu 611731, Peoples R China.</t>
  </si>
  <si>
    <t>luzhenghua-kent@qq.com; dnadeeshan@gmail.com; hugo.madrid@gmail.com; sajeewa83@yahoo.com</t>
  </si>
  <si>
    <t>Maharachchikumbura, Sajeewa/C-9403-2013; Wanasinghe, Dhanushka Nadeeshan/P-1693-2017</t>
  </si>
  <si>
    <t>Maharachchikumbura, Sajeewa/0000-0001-9127-0783; Wanasinghe, Dhanushka Nadeeshan/0000-0003-1759-3933</t>
  </si>
  <si>
    <t>SEP 14</t>
  </si>
  <si>
    <t>10.11646/phytotaxa.564.1.6</t>
  </si>
  <si>
    <t>4X1NF</t>
  </si>
  <si>
    <t>WOS:000860616000006</t>
  </si>
  <si>
    <t>Ye, PM; Huang, YS; Huan, JF; Liu, ED; Ma, JL; Yang, SX</t>
  </si>
  <si>
    <t>Ye, Pin-Ming; Huang, Yu-Song; Huan, Jian-Feng; Liu, En-De; Ma, Jin-Lin; Yang, Shi-Xiong</t>
  </si>
  <si>
    <t>Camellia hainingii, a new species of Theaceae in China</t>
  </si>
  <si>
    <t>Daxin; Encheng National Nature Reserve; Guangxi; morphology; taxonomy</t>
  </si>
  <si>
    <t>YELLOW CAMELLIAS</t>
  </si>
  <si>
    <t>Camellia hainingii S.X.Yang et Y.S. Huang, a new species from Guangxi, China, is described and illustrated. It is morphologically similar to C. pachyandra Hu but can be easily distinguished from the latter by its glabrous leaf blade (vs. pubescent along the midvein abaxially), glabrous (vs. pubescent) petiole, bracteoles and sepals 9???11 (vs. 6) with dense pubescent (vs. glabrous) on the inner face, stamens 80???110 (vs. 40???50), slender (vs. thickening) inner filaments, glabrous (vs. dense tomentum) ovary and furfuraceous (vs. smooth) pericarp. The conservation status of this new species was assessed as Critically Endangered (CR).</t>
  </si>
  <si>
    <t>Ye, Pin-Ming</t>
  </si>
  <si>
    <t>[Ye, Pin-Ming] Nanning Golden Camellia Pk, Nanning 530022, Guangxi, Peoples R China; [Huang, Yu-Song] Chinese Acad Sci, Guangxi Inst Bot, Guilin 541006, Guangxi, Peoples R China; [Huan, Jian-Feng] Encheng Natl Nat Reserve, Daxin 532300, Guangxi, Peoples R China; [Liu, En-De; Yang, Shi-Xiong] Chinese Acad Sci, Kunming Inst Bot, CAS Key Lab Plant Divers &amp; Biogeog East Asia, Kunming 650201, Yunnan, Peoples R China; [Ma, Jin-Lin] Guangxi Forestry Res Inst, Nanning 530002, Guangxi, Peoples R China</t>
  </si>
  <si>
    <t>Chinese Academy of Sciences; Chinese Academy of Sciences; Kunming Institute of Botany, CAS</t>
  </si>
  <si>
    <t>Yang, SX (通讯作者)，Chinese Acad Sci, Kunming Inst Bot, CAS Key Lab Plant Divers &amp; Biogeog East Asia, Kunming 650201, Yunnan, Peoples R China.</t>
  </si>
  <si>
    <t>1289127377@qq.com; huang-yusong@163.com; 584638115@qq.com; liuende@mail.kib.ac.cn; majinlin009@163.com; shxyang@mail.kib.ac.cn</t>
  </si>
  <si>
    <t>AUG 17</t>
  </si>
  <si>
    <t>10.11646/phytotaxa.558.3.5</t>
  </si>
  <si>
    <t>4J5QY</t>
  </si>
  <si>
    <t>WOS:000851318500005</t>
  </si>
  <si>
    <t>Aluthmuhandiram, JVS; Wanasinghe, DN; Chethana, KWT; Gafforov, Y; Saichana, N; Li, XH; Yan, JY; Mamarakhimov, OM</t>
  </si>
  <si>
    <t>Aluthmuhandiram, Janith V. S.; Wanasinghe, Dhanushka N.; Chethana, K. W. Thilini; Gafforov, Yusufjon; Saichana, Natsaran; Li, Xing Hong; Yan, Jiye; Mamarakhimov, Oybek M.</t>
  </si>
  <si>
    <t>Lophiostomataceae (Dothideomycetes): Introducing Lophiostoma khanzada-kirgizbaeva sp. nov. and Paucispora xishanensis sp. nov.</t>
  </si>
  <si>
    <t>2 novel taxa; China; phylogeny; taxonomy; Uzbekistan</t>
  </si>
  <si>
    <t>FUNGI; PHYLOGENY; ALIGNMENT; NUCLEAR</t>
  </si>
  <si>
    <t>Lophiostomataceae species commonly occur as saprobes on twigs, stems or bark on diverse woody and herbaceous plants in aquatic and terrestrial habitats. In the present study, we introduce Lophiostoma khanzada-kirgizbaeva sp. nov. and Paucispora xishanensis sp. nov. as new species isolated from woody substrates from Uzbekistan and China, respectively. Species delimitation was conducted using morphological and molecular phylogenetic approaches. Maximum likelihood and Bayesian inference analyses of a combined SSU, ITS, LSU, tef1-?? and rpb2 sequence matrix revealed that L. khanzada-kirgizbaev and P. xishanensis are distinct from other Lophiostoma and Paucispora species in Lophiostomataceae, respectively.</t>
  </si>
  <si>
    <t>Aluthmuhandiram, Janith V. S.</t>
  </si>
  <si>
    <t>[Aluthmuhandiram, Janith V. S.; Chethana, K. W. Thilini] Mae Fah Luang Univ, Ctr Excellence Fungal Res, Chiang Rai 57100, Thailand; [Aluthmuhandiram, Janith V. S.; Chethana, K. W. Thilini; Saichana, Natsaran] Mae Fah Luang Univ, Sch Sci, Chiang Rai 57100, Thailand; [Aluthmuhandiram, Janith V. S.; Li, Xing Hong; Yan, Jiye] Beijing Acad Agr &amp; Forestry Sci, Beijing Key Lab Environm Friendly Management Frui, Inst Plant &amp; Environm Protect, Beijing 100097, Peoples R China; [Wanasinghe, Dhanushka N.] Kunming Inst Bot, Ctr Mt Futures, Honghe, Yunnan, Peoples R China; [Gafforov, Yusufjon] Acad Sci Uzbek, Inst Bot, Lab Mycol, 32 Durmon Yuli St, Tashkent 100125, Uzbekistan; [Gafforov, Yusufjon] AKFA Univ, 264 Milliy Bog St, Tashkent 111221, Uzbekistan; [Mamarakhimov, Oybek M.] Natl Univ Uzbekistan, Dept Ecol Monitoring, 4 Univ St, Tashkent 100174, Uzbekistan</t>
  </si>
  <si>
    <t>Mae Fah Luang University; Mae Fah Luang University; Beijing Academy of Agriculture &amp; Forestry; Chinese Academy of Sciences; Kunming Institute of Botany, CAS; Academy of Sciences of Uzbekistan; Institute of Botany, Uzbekistan; National University of Uzbekistan</t>
  </si>
  <si>
    <t>Wanasinghe, DN (通讯作者)，Kunming Inst Bot, Ctr Mt Futures, Honghe, Yunnan, Peoples R China.</t>
  </si>
  <si>
    <t>janithvishvakeerthi9@gmail.com; dnadeeshan@gmail.com; tchethi@yahoo.com; yugafforov@yahoo.com; natsaran.sai@mfu.ac.th; lixinghong1962@163.com; jiyeyan@vip.163.com; oybekmamarahimov74@gmail.com</t>
  </si>
  <si>
    <t>Kandawatte, Thilini Chethana/AAE-8036-2019; Gafforov, Yusufjon/C-5507-2015; Wanasinghe, Dhanushka Nadeeshan/P-1693-2017</t>
  </si>
  <si>
    <t>Kandawatte, Thilini Chethana/0000-0002-5816-9269; Gafforov, Yusufjon/0000-0003-3076-4709; Wanasinghe, Dhanushka Nadeeshan/0000-0003-1759-3933; Aluthmuhandiram, Janith/0000-0001-9585-0275</t>
  </si>
  <si>
    <t>10.11646/phytotaxa.559.3.3</t>
  </si>
  <si>
    <t>4F9SQ</t>
  </si>
  <si>
    <t>WOS:000848849300003</t>
  </si>
  <si>
    <t>Thiyagaraja, V; Ertz, D; Hyde, KD; Karunarathna, SC; To-Anun, C; Cheewangkoon, R</t>
  </si>
  <si>
    <t>Thiyagaraja, Vinodhini; Ertz, Damien; Hyde, Kevin D.; Karunarathna, Samantha C.; To-Anun, Chaiwat; Cheewangkoon, Ratchadawan</t>
  </si>
  <si>
    <t>Morphological and phylogenetic reassessment of Sclerococcum simplex from China</t>
  </si>
  <si>
    <t>asexual morph; Dactylosporaceae; lichenicolous; Pertusaria</t>
  </si>
  <si>
    <t>LICHENICOLOUS FUNGI; CHECKLIST; NOV.; GEN.</t>
  </si>
  <si>
    <t>Sclerococcum is a species rich lichenicolous genus in Ascomycota. However, many species of Sclerococcum have been described based only on morphology. This study provides sequences for the large-subunit ribosomal RNA (LSU), internal transcribed spacer (ITS) and mitochondrial small-subunit ribosomal RNA (mtSSU) for the first time for Sclerococcum simplex, and the first geographical record of the genus from China. Phylogenetic analyses confirmed that S. simplex clustered within Sclerococcum sensu stricto while the genus was recovered as paraphyletic in Dactylosporaceae. Our asexual specimen of Sclerococcum simplex was collected on a corticolous Pertusaria thallus. The taxonomic affinity of Sclerococcum simplex is investigated based on phylogenetic and morphological evidence.</t>
  </si>
  <si>
    <t>[Thiyagaraja, Vinodhini; Hyde, Kevin D.; To-Anun, Chaiwat; Cheewangkoon, Ratchadawan] Chiang Mai Univ, Fac Agr, Dept Entomol &amp; Plant Pathol, Chiang Mai 50200, Thailand; [Thiyagaraja, Vinodhini; Hyde, Kevin D.] Mae Fah Luang Univ, Ctr Excellence Fungal Res, Chiang Rai 57100, Thailand; [Thiyagaraja, Vinodhini; Karunarathna, Samantha C.] Chinese Acad Sci, Kunming Inst Bot, CAS Key Lab Plant Biodivers &amp; Biogeog East Asia K, Kunming 650201, Yunnan, Peoples R China; [Ertz, Damien] Meise Bot Garden, Res Dept, Nieuwelaan 38, BE-1860 Meise, Belgium; [Ertz, Damien] Serv Gen Enseignement Super &amp; Rech Sci, Federat Wallonie Bruxelles, Rue A Lavallee 1, BE-1080 Brussels, Belgium; [Hyde, Kevin D.] Zhongkai Univ Agr &amp; Engn, Innovat Inst Plant Hlth, Guangzhou 510225, Peoples R China; [Karunarathna, Samantha C.] World Agro Forestry Ctr East &amp; Cent Asia, Kunming 650201, Yunnan, Peoples R China</t>
  </si>
  <si>
    <t>Chiang Mai University; Mae Fah Luang University; Chinese Academy of Sciences; Kunming Institute of Botany, CAS; Zhongkai University of Agriculture &amp; Engineering</t>
  </si>
  <si>
    <t>vino.thiyagaraja@gmail.com; damien.ertz@jardinbotaniquemeise.be; kdhyde3@gmail.com; samakaru931@yahoo.com; chaiwat.toanun@gmail.com; ratchadawan.c@cmu.ac.th</t>
  </si>
  <si>
    <t>Hyde, Kevin D/F-7890-2010</t>
  </si>
  <si>
    <t>Bhunjun, Chitrabhanu Sharma/0000-0001-8098-3390; Karunarathna, Samantha Chandranath/0000-0001-7080-0781</t>
  </si>
  <si>
    <t>AUG 23</t>
  </si>
  <si>
    <t>10.11646/phytotaxa.559.2.5</t>
  </si>
  <si>
    <t>4G0IY</t>
  </si>
  <si>
    <t>WOS:000848892300002</t>
  </si>
  <si>
    <t>Li, CJY; Chethana, KWT; Hyde, KD; Zhao, Q</t>
  </si>
  <si>
    <t>Li, Cui-Jin-Yi; Chethana, K. W. Thilini; Hyde, Kevin D.; Zhao, Qi</t>
  </si>
  <si>
    <t>Phylogeny and morphology reveal a new species of Chlorociboria (Chlorociboriaceae, Leotiomycetes) from southwestern China</t>
  </si>
  <si>
    <t>1 new taxon; Helotiales; pairwise homoplasy index test; taxonomic key</t>
  </si>
  <si>
    <t>FUNGI; HELOTIALES</t>
  </si>
  <si>
    <t>A new species, Chlorociboria daliensis, was discovered on decayed decorticated wood in Yunnan Province, southwestern China. Chlorociboria daliensis can be distinguished from other Chlorociboria species by the colour of their discs which are light blue when fresh, pale yellowish-green, green or dark green when dry, branched paraphyses, cylindric or subclavate asci with J+, apical ring in Melzer???s reagent, elongate-ellipsoidal ascospores, and tomentum hyphae which are mostly absent. Phylogenetic analyses based on nLSU and ITS sequence data showed that C. daliensis forms a monophyletic group with a 99% maximum likelihood bootstrap support. The results of the pairwise homoplasy index (PHI) test revealed no significant genetic recombination (??w = 1.0) between the closely related C. daliensis and C. poutoensis. The current study introduces the new species, C. daliensis, with a detailed description, illustrations, and a taxonomic key for Chlorociboria.</t>
  </si>
  <si>
    <t>Li, Cui-Jin-Yi</t>
  </si>
  <si>
    <t>[Li, Cui-Jin-Yi; Hyde, Kevin D.; Zhao, Qi] Chinese Acad Sci, Kunming Inst Bot, Key Lab Plant Divers &amp; Biogeog East Asia, Yunnan Key Lab Fungal Divers &amp; Green Dev, Kunming 650201, Yunnan, Peoples R China; [Li, Cui-Jin-Yi; Chethana, K. W. Thilini; Hyde, Kevin D.] Mae Fah Luang Univ, Ctr Excellence Fungal Res, Chiang Rai 57100, Thailand; [Li, Cui-Jin-Yi; Chethana, K. W. Thilini; Hyde, Kevin D.] Mae Fah Luang Univ, Sch Sci, Chiang Rai 57100, Thailand; [Li, Cui-Jin-Yi; Zhao, Qi] Southwest Forestry Univ, Inst Appl Fungi, Kunming 650224, Yunnan, Peoples R China</t>
  </si>
  <si>
    <t>Chinese Academy of Sciences; Kunming Institute of Botany, CAS; Mae Fah Luang University; Mae Fah Luang University; Southwest Forestry University - China</t>
  </si>
  <si>
    <t>Zhao, Q (通讯作者)，Chinese Acad Sci, Kunming Inst Bot, Key Lab Plant Divers &amp; Biogeog East Asia, Yunnan Key Lab Fungal Divers &amp; Green Dev, Kunming 650201, Yunnan, Peoples R China.;Zhao, Q (通讯作者)，Southwest Forestry Univ, Inst Appl Fungi, Kunming 650224, Yunnan, Peoples R China.</t>
  </si>
  <si>
    <t>licuijinyi@163.com; tchethi@yahoo.com; kdhyde3@gmail.com; zhaoqi@mail.kib.ac.cn</t>
  </si>
  <si>
    <t>Kandawatte, Thilini Chethana/AAE-8036-2019; Hyde, Kevin D/F-7890-2010</t>
  </si>
  <si>
    <t xml:space="preserve">Kandawatte, Thilini Chethana/0000-0002-5816-9269; </t>
  </si>
  <si>
    <t>Second Tibetan Plateau Scientific Expedition and Research (STEP) Program [2019QZKK0503]; open research project of Cross-Cooperative Team of the Germplasm Bank of Wild Species, Kunming Institute of Botany, Chinese Academy of Sciences [292019312511043]; Natural Science Foundation of Guizhou Province [Qian Ke Zhong Yin Di [2021]4031, Qian Ke He Zhi Cheng [2021] Generally 200]; Science and Technology Service Network Initiative of the Chinese Academy of Sciences [KFJ-STSQYZD-171]; Biodiversity Survey and Assessment Project of the Ministry of Ecology and Environment, PR China [2019HJ2096001006]</t>
  </si>
  <si>
    <t>Second Tibetan Plateau Scientific Expedition and Research (STEP) Program; open research project of Cross-Cooperative Team of the Germplasm Bank of Wild Species, Kunming Institute of Botany, Chinese Academy of Sciences; Natural Science Foundation of Guizhou Province; Science and Technology Service Network Initiative of the Chinese Academy of Sciences; Biodiversity Survey and Assessment Project of the Ministry of Ecology and Environment, PR China</t>
  </si>
  <si>
    <t>This study is supported by the Second Tibetan Plateau Scientific Expedition and Research (STEP) Program (Grant No. 2019QZKK0503), the open research project of Cross-Cooperative Team of the Germplasm Bank of Wild Species, Kunming Institute of Botany, Chinese Academy of Sciences (Grant No. 292019312511043), Natural Science Foundation of Guizhou Province (Grant No. Qian Ke Zhong Yin Di [2021]4031, Qian Ke He Zhi Cheng [2021] Generally 200), Science and Technology Service Network Initiative of the Chinese Academy of Sciences (KFJ-STSQYZD-171), and the Biodiversity Survey and Assessment Project of the Ministry of Ecology and Environment, PR China (2019HJ2096001006). The authors would like to thank Dr. Shaun Pennycook for his valuable assistance with the Latin binomial, Ming Zeng for her comments and Feng-Ming Yu for her collections and comments in this study.</t>
  </si>
  <si>
    <t>10.11646/phytotaxa.554.2.2</t>
  </si>
  <si>
    <t>3K4BT</t>
  </si>
  <si>
    <t>WOS:000834023800002</t>
  </si>
  <si>
    <t>Liao, CF; Dong, W; Chethana, KWT; Pem, D; Phookamsak, R; Suwannarach, N; Doilom, M</t>
  </si>
  <si>
    <t>Liao, Chun-Fang; Dong Wei; Chethana, K. W. Thilini; Pem, Dhandevi; Phookamsak, Rungtiwa; Suwannarach, Nakarin; Doilom, Mingkwan</t>
  </si>
  <si>
    <t>Morphological and phylogenetic evidence reveal Tetraploa cylindrica sp. nov. (Tetraplosphaeriaceae, Pleosporales) from Saccharum arundinaceum (Poaceae) in Yunnan Province, China</t>
  </si>
  <si>
    <t>1 new taxon; asexual morph; Dothideomycetes; multi -locus phylogeny; saprobe; taxonomy</t>
  </si>
  <si>
    <t>PRIMER SETS; PROBABILITY; BOOTSTRAP</t>
  </si>
  <si>
    <t>During an investigation of fungal saprobes of Yunnan Province, China, a species in Tetraplosphaeriaceae was collected from decaying stems of Saccharum arundinaceum (Poaceae). The taxon has oblong, dark brown to black, four-columned conidia with mostly three long apical appendages. Phylogenetic analyses of combined LSU, SSU, ITS, ??-tubulin and tef1-?? sequence data revealed that our collection is a member of Tetraploa and has a close affinity to T. aquatica, T. dashaoensis, and T. nagasakiensis. Based on the morphological comparison and multi-locus phylogeny, we introduce T. cylindrica as a new species. The newly discovered taxon is described, illustrated, and compared to related taxa. A taxonomic insight is presented based on our new data regarding the classification problems of asexual and sexual morphs of Tetraploa. In addition, this is the first report of Tetraploa species that occur on Saccharum arundinaceum. The results of the present study will expand our ecological knowledge of Tetraploa.</t>
  </si>
  <si>
    <t>Liao, Chun-Fang</t>
  </si>
  <si>
    <t>[Liao, Chun-Fang; Dong Wei; Doilom, Mingkwan] Zhongkai Univ Agr &amp; Engn, Innovat Inst Plant Hlth, Key Lab Green Prevent &amp; Control Fruits &amp; Vegetabl, Minist Agr &amp; Rural Affairs, Guangzhou 510225, Guangdong, Peoples R China; [Liao, Chun-Fang; Chethana, K. W. Thilini; Pem, Dhandevi] Mae Fah Luang Univ, Ctr Excellence Fungal Res, Chiang Rai 57100, Thailand; [Liao, Chun-Fang; Chethana, K. W. Thilini; Pem, Dhandevi] Mae Fah Luang Univ, Sch Sci, Chiang Rai 57100, Thailand; [Phookamsak, Rungtiwa] Chinese Acad Sci, Kunming Inst Bot, Honghe Ctr Mt Futures, Honghe 654400, Yunnan, Peoples R China; [Phookamsak, Rungtiwa] World Agroforestry Ctr East &amp; Cent Asia, Kunming 650201, Yunnan, Peoples R China; [Suwannarach, Nakarin] Chiang Mai Univ, Res Ctr Microbial Div &amp; Sustainable Utilizat, Fac Sci, Chiang Mai 50200, Thailand; [Suwannarach, Nakarin] Chiang Mai Univ, Dept Biol, Fac Sci, Chiang Mai 50200, Thailand</t>
  </si>
  <si>
    <t>Ministry of Agriculture &amp; Rural Affairs; Zhongkai University of Agriculture &amp; Engineering; Mae Fah Luang University; Mae Fah Luang University; Chinese Academy of Sciences; Kunming Institute of Botany, CAS; Chiang Mai University; Chiang Mai University</t>
  </si>
  <si>
    <t>Doilom, M (通讯作者)，Zhongkai Univ Agr &amp; Engn, Innovat Inst Plant Hlth, Key Lab Green Prevent &amp; Control Fruits &amp; Vegetabl, Minist Agr &amp; Rural Affairs, Guangzhou 510225, Guangdong, Peoples R China.;Suwannarach, N (通讯作者)，Chiang Mai Univ, Res Ctr Microbial Div &amp; Sustainable Utilizat, Fac Sci, Chiang Mai 50200, Thailand.;Suwannarach, N (通讯作者)，Chiang Mai Univ, Dept Biol, Fac Sci, Chiang Mai 50200, Thailand.</t>
  </si>
  <si>
    <t>Fang04271@hotmail.com; Dongwei0312@hotmail.com; tchethi@yahoo.com; pem.dhandevi@gmail.com; jomjam.rp2@gmail.com; suwan_461@hotmail.com; j_hammochi@hotmail.com</t>
  </si>
  <si>
    <t>Kandawatte, Thilini Chethana/AAE-8036-2019; Phookamsak, Rungtiwa/O-9441-2019; Doilom, Mingkwan/V-3017-2017</t>
  </si>
  <si>
    <t>Kandawatte, Thilini Chethana/0000-0002-5816-9269; Phookamsak, Rungtiwa/0000-0002-6321-8416; Wei, Dong/0000-0003-4991-1529</t>
  </si>
  <si>
    <t>National Natural Foundation of China [31861143002]; Department of Science and Technology of Yunnan, China [202101AS070045]; Chiang Mai University, Thailand</t>
  </si>
  <si>
    <t>National Natural Foundation of China(National Natural Science Foundation of China (NSFC)); Department of Science and Technology of Yunnan, China; Chiang Mai University, Thailand</t>
  </si>
  <si>
    <t>We would like to thank Dr. Shaun Pennycook for his essential nomenclatural review. Dr. Ruvishika S. Jayawardena is thanked for sharing the unpublished data of Tetraploa dashaoensis in her FD notes series. Dr. Rungtiwa Phookamsak thanks the National Natural Foundation of China (Grant No: 31861143002) as well as the Department of Science and Technology of Yunnan, China (Grant No: 202101AS070045) under Jianchu Xu. Chun-Fang Liao thanks Dr. Dhanushka N. Wanasinghe for his valuable suggestion and help. This research work is partially supported by the Chiang Mai University, Thailand.</t>
  </si>
  <si>
    <t>10.11646/phytotaxa.554.2.7</t>
  </si>
  <si>
    <t>3F8HL</t>
  </si>
  <si>
    <t>WOS:000830903200003</t>
  </si>
  <si>
    <t>Yang, JJ; Wan, X; Zhao, WL; Liang, ZL; Zhang, L</t>
  </si>
  <si>
    <t>Yang, Jian-Jun; Wan, Xia; Zhao, Wang-Lin; Liang, Zhen-Long; Zhang, Liang</t>
  </si>
  <si>
    <t>Reinstatement of Loxogramme yigongensis (Polypodiaceae), an endemic species from southeastern Xizang, China</t>
  </si>
  <si>
    <t>Loxogramme; lamina texture; Medog; phylogeny</t>
  </si>
  <si>
    <t>FERN</t>
  </si>
  <si>
    <t>Loxogramme yigongensis, so far known only from the type specimens collected in 1965 and treated as a synonym of L. grammitoides, is reinstated. Morphologically, these two species are closely related but L. yigongensis differs in having succulent lamina, becoming rugose when dry, lamina lanceolate with acute apex, widest near middle of lamina, and costa not or slightly raised on lower surface. Molecular analyses based on five plastid loci resolved these two species as sister to each other with distinct divergence. In addition, the ploidy level of the two species are reported for the first time.</t>
  </si>
  <si>
    <t>Yang, Jian-Jun</t>
  </si>
  <si>
    <t>[Yang, Jian-Jun] Yunnan Univ, Sch Ecol &amp; Environm Sci, Kunming 650091, Yunnan, Peoples R China; [Wan, Xia; Liang, Zhen-Long] Chinese Acad Sci, Chengdu Inst Biol, Key Lab Mt Ecol Restorat &amp; Bioresource Utilizat, POB 416, Chengdu 610041, Sichuan, Peoples R China; [Zhao, Wang-Lin] Chinese Acad Sci, Inst Tibetan Plateau Res, CAS Key Lab Alpine Ecol, Beijing 100101, Peoples R China; [Zhang, Liang] Chinese Acad Sci, Kunming Inst Bot, CAS Key Lab Plant Div &amp; Biogeog East Asia, Kunming 650201, Yunnan, Peoples R China</t>
  </si>
  <si>
    <t>Yunnan University; Chinese Academy of Sciences; Chengdu Institute of Biology, CAS; Chinese Academy of Sciences; Institute of Tibetan Plateau Research, CAS; Chinese Academy of Sciences; Kunming Institute of Botany, CAS</t>
  </si>
  <si>
    <t>Yang, JJ (通讯作者)，Yunnan Univ, Sch Ecol &amp; Environm Sci, Kunming 650091, Yunnan, Peoples R China.;Wan, X (通讯作者)，Chinese Acad Sci, Chengdu Inst Biol, Key Lab Mt Ecol Restorat &amp; Bioresource Utilizat, POB 416, Chengdu 610041, Sichuan, Peoples R China.</t>
  </si>
  <si>
    <t>yjj2514@mail.ynu.edu.cn; wanxia@cib.ac.cn; zhaowanglin@itpcas.ac.cn; liangzl@cib.ac.cn; zhangliang@mail.kib.ac.cn</t>
  </si>
  <si>
    <t>Yang, Jian-Jun/0000-0002-4994-6345; Zhang, Liang/0000-0003-3784-3135</t>
  </si>
  <si>
    <t>Second Tibetan Plateau Scientific Expedition and Research (STEP) program [2019QZKK0502, 2019QZKK0301-1]</t>
  </si>
  <si>
    <t>Second Tibetan Plateau Scientific Expedition and Research (STEP) program</t>
  </si>
  <si>
    <t>The research was supported by the Second Tibetan Plateau Scientific Expedition and Research (STEP) program (2019QZKK0502 and 2019QZKK0301-1). We thank Dr. Li-Bing Zhang, Hong-Jin Wei, and C.R. Fraser-Jenkins for their helpful comments, Wen-Bin Ju and Heng-Ning Deng for their assistance during the field trips, and National Wild Plant Germplasm Resource Center for Shanghai Chenshan Botanical Garden for sharing one sample of Loxogramme grammitoides.</t>
  </si>
  <si>
    <t>10.11646/phytotaxa.555.1.7</t>
  </si>
  <si>
    <t>3F6LH</t>
  </si>
  <si>
    <t>WOS:000830777900004</t>
  </si>
  <si>
    <t>Zhang, X; Wu, G</t>
  </si>
  <si>
    <t>Zhang, Xin; Wu, Gang</t>
  </si>
  <si>
    <t>A new species of Boletellus Section Chrysenteroidei (Boletaceae, Boletales) from southeast Yunnan, China</t>
  </si>
  <si>
    <t>Asia; bolete; fungal taxonomy; molecular phylogeny</t>
  </si>
  <si>
    <t>PERFORMANCE; TOOL</t>
  </si>
  <si>
    <t>Species of Boletellus Section Chrysenteroidei are widely distributed in the world, especially in the subtropical to tropical regions. By means of molecular techniques, the species diversity of this section has become clearer and new taxa have been uncovered. In this study, a new species of this section from the southeast Yunnan of China, namely Boletellus wenshanensis, was identified based on molecular and morphological evidence. This species can be distinguised by the combination of morphological characters: a quick dark blue reaction on all parts of the basidiome when bruised, a brown to brownish orange pileus uncracking with age, a scaly stipe covered with brownish punctate squamules, yellow hymenophore, interwoven pileipellis, ellipsoid to broadly fusoid basidiospores ornamented with longitudinal ridges, and a hyphohymeniform stipitipellis. The new species is presented with illustrated description and comparisons with allied species.</t>
  </si>
  <si>
    <t>Zhang, Xin</t>
  </si>
  <si>
    <t>[Zhang, Xin] Yunnan Forestry Technol Coll, Coll Hort &amp; Landscape, Kunming 650224, Yunnan, Peoples R China; [Wu, Gang] Chinese Acad Sci, Kunming Inst Bot, CAS Key Lab Plant Div &amp; Biogeog East Asia, Kunming 650201, Yunnan, Peoples R China; [Wu, Gang] Yunnan Key Lab Fungal Div &amp; Green Dev, Kunming 650201, Yunnan, Peoples R China</t>
  </si>
  <si>
    <t>Wu, G (通讯作者)，Chinese Acad Sci, Kunming Inst Bot, CAS Key Lab Plant Div &amp; Biogeog East Asia, Kunming 650201, Yunnan, Peoples R China.;Wu, G (通讯作者)，Yunnan Key Lab Fungal Div &amp; Green Dev, Kunming 650201, Yunnan, Peoples R China.</t>
  </si>
  <si>
    <t>362005738@qq.com; wugang@mail.kib.ac.cn</t>
  </si>
  <si>
    <t>WU, Gang/0000-0002-0076-5957</t>
  </si>
  <si>
    <t>Doctoral Fund of Yunnan Forestry Technological College [KY(BS)201801]; National Natural Science Foundation of China [31500023, 31970015]; Yunnan Ten-Thousand-Talents Plan Young &amp; Elite Talents Project</t>
  </si>
  <si>
    <t>Doctoral Fund of Yunnan Forestry Technological College; National Natural Science Foundation of China(National Natural Science Foundation of China (NSFC)); Yunnan Ten-Thousand-Talents Plan Young &amp; Elite Talents Project</t>
  </si>
  <si>
    <t>The authors thank Mr. Zhi-Jia Gu at Kunming Institute of Botany, Chinese Academy of Sciences for scanning the basidiospores under SEM. The authors are also grateful to the editor and anonymous reviewers for their constructive suggestions. This study was supported by the Doctoral Fund of Yunnan Forestry Technological College under grant number KY(BS)201801, the National Natural Science Foundation of China under grant number 31500023, 31970015, Yunnan Ten-Thousand-Talents Plan Young &amp; Elite Talents Project.</t>
  </si>
  <si>
    <t>MAY 19</t>
  </si>
  <si>
    <t>10.11646/phytotaxa.547.2.5</t>
  </si>
  <si>
    <t>1N5VX</t>
  </si>
  <si>
    <t>WOS:000800724300001</t>
  </si>
  <si>
    <t>Cai, JH; Shui, YM; Song, XF; Wu, L</t>
  </si>
  <si>
    <t>Cai, Jia-hua; Shui, Yu-min; Song, Xiao-fei; Wu, Lei</t>
  </si>
  <si>
    <t>Validation of the name Spiradiclis elliptica (Rubiaceae), a new species endemic to southwestern China</t>
  </si>
  <si>
    <t>endemism; limestone flora; taxonomy; Yunnan</t>
  </si>
  <si>
    <t>SP-NOV RUBIACEAE; LIMESTONE AREAS; GUANGXI; OPHIORRHIZEAE</t>
  </si>
  <si>
    <t>The name Spiradiclis elliptica Y.M.Shui &amp; W.H.Chen is validly published here according to the Article 39.1 of ICN. Many detailed morphological characters as well as an illustration are also supplemented for further taxonomic identification. This new species is characterized by its persistent, ovate to ovate-oblong, 7???10 mm long stipules, and oblong to ovate-oblong, white or sometimes pink bracts with rounded apices. The conservation status was assessed as Least Concern (LC) according to the IUCN Red List categories and criteria.</t>
  </si>
  <si>
    <t>Cai, Jia-hua</t>
  </si>
  <si>
    <t>[Cai, Jia-hua; Song, Xiao-fei; Wu, Lei] Cent South Univ Forestry &amp; Technol, Coll Forestry, Changsha 410004, Hunan, Peoples R China; [Shui, Yu-min] Chinese Acad Sci, Kunming Inst Bot, CAS Key Lab Plant Divers &amp; Biogeog East Asia, Kunming 650201, Yunnan, Peoples R China</t>
  </si>
  <si>
    <t>Central South University of Forestry &amp; Technology; Chinese Academy of Sciences; Kunming Institute of Botany, CAS</t>
  </si>
  <si>
    <t>Wu, L (通讯作者)，Cent South Univ Forestry &amp; Technol, Coll Forestry, Changsha 410004, Hunan, Peoples R China.</t>
  </si>
  <si>
    <t>1758724226@qq.com; ymshui@mail.kib.ac.cn; 1050876575@qq.com; wuleiibk@163.com</t>
  </si>
  <si>
    <t>Natural Science Foundation of Hunan Province [2021JJ31152]; Scientific Research Project of Education Department of Hunan Province [18B178]; Monitoring Program of the Hekou Field Station of Tropical Karst Ecosystem [2021-YN-06]</t>
  </si>
  <si>
    <t>Natural Science Foundation of Hunan Province(Natural Science Foundation of Hunan Province); Scientific Research Project of Education Department of Hunan Province; Monitoring Program of the Hekou Field Station of Tropical Karst Ecosystem</t>
  </si>
  <si>
    <t>The authors are grateful to the curators of herbaria GXMI, IBSC KUN and PE for kindly offering permission to examine specimens, Mr. Zhao-Jie Wen and Mr. Xi-Bing Guo for their help in the field investigation, and Ms. Ming-Min Chen for her excellent drawing. This study was supported by the Natural Science Foundation of Hunan Province (grant. no. 2021JJ31152) , the Scientific Research Project of Education Department of Hunan Province (grant. no. 18B178) and the Monitoring Program of the Hekou Field Station of Tropical Karst Ecosystem (2021-YN-06) .</t>
  </si>
  <si>
    <t>PO BOX 41383, AUCKLAND, ST LUKES 1030, NEW ZEALAND</t>
  </si>
  <si>
    <t>10.11646/phytotaxa.545.1.10</t>
  </si>
  <si>
    <t>1I0VD</t>
  </si>
  <si>
    <t>WOS:000796955000002</t>
  </si>
  <si>
    <t>Yang, E; Tibpromma, S; Dai, DQ; Promputtha, I; Mortimer, PE; Karunarathna, SC</t>
  </si>
  <si>
    <t>YANG, E. R. F. U.; TIBPROMMA, S. A. O. W. A. L. U. C. K.; DAI, D. O. N. G. Q. I. N.; PROMPUTTHA, I. T. T. H. A. Y. A. K. O. R. N.; MORTIMER, P. E. T. E. R. E.; KARUNARATHNA, S. A. M. A. N. T. H. A. C.</t>
  </si>
  <si>
    <t>Three interesting fungal species associated with the Asian House Gecko in Kunming, China</t>
  </si>
  <si>
    <t>Basidiobolus ranarum; Beauveria bassiana; Colletotrichum jianxiense; Entomopathogenic fungi; Reptile</t>
  </si>
  <si>
    <t>INSECT-PATHOGENIC FUNGI; BASIDIOBOLUS-RANARUM EIDAM; ENTOMOPATHOGENIC FUNGUS; BEAUVERIA-BASSIANA; GENUS BEAUVERIA; PRIMER SETS; SP-NOV; ANTHRACNOSE; AMPHIBIANS; INFECTION</t>
  </si>
  <si>
    <t>A dead Asian House Gecko, infected with multiple species of fungi, was found floating in a jug of water inside a building in Kunming, China The dead gecko was taken to the mycology laboratory at the Kunming Institute of Botany, Chinese Academy of Sciences and different fungal species were isolated. Phylogenetic analyses were carried out on the resultant isolates based on multiple gene sequences (ITS, LSU, mtSSU, rpb1, rpb2, tub2, Bloc, CAL, CHS-1, GAPDH, tef1-alpha). In addition to the phylogenetic analyses, morphological characteristics were also used to describe the fungal taxa. The entomopathogenic fungus Basidiobolus ranarum was isolated from the gecko's inflamed right forelimb, while Beauveria bassiana was isolated from the gecko's forehead. In addition, the neck skin yielded a common and important plant pathogen Colletotrichum jianxiense. Full descriptions, color plates of macro and micro structures of fungal taxa, and phylogenetic trees to show the placements of fungal taxa are provided. These findings represent either new host records or new country records for the three fungal species.</t>
  </si>
  <si>
    <t>YANG, E. R. F. U.</t>
  </si>
  <si>
    <t>[YANG, E. R. F. U.; TIBPROMMA, S. A. O. W. A. L. U. C. K.; DAI, D. O. N. G. Q. I. N.; KARUNARATHNA, S. A. M. A. N. T. H. A. C.] Qujing Normal Univ, Coll Biol Resource &amp; Food Engn, Ctr Yunnan Plateau Biol Resources Protect &amp; Utili, Qujing 655011, Yunnan, Peoples R China; [YANG, E. R. F. U.] Chiang Mai Univ, Master Sci Program Appl Microbiol, Fac Sci, Int Program, Chiang Mai 50200, Thailand; [YANG, E. R. F. U.; PROMPUTTHA, I. T. T. H. A. Y. A. K. O. R. N.] Chiang Mai Univ, Res Ctr Bioresources Agr, Ind &amp; Med, Chiang Mai, Thailand; [YANG, E. R. F. U.; PROMPUTTHA, I. T. T. H. A. Y. A. K. O. R. N.] Chiang Mai Univ, Environm Sci Res Ctr, Fac Sci, Chiang Mai 50200, Thailand; [YANG, E. R. F. U.; PROMPUTTHA, I. T. T. H. A. Y. A. K. O. R. N.] Chiang Mai Univ, Dept Biol, Fac Sci, Chiang Mai, Thailand; [MORTIMER, P. E. T. E. R. E.] Kunming Inst Bot, Ctr Mt Futures CMF, Kunming 650201, Yunnan, Peoples R China</t>
  </si>
  <si>
    <t>Chiang Mai University; Chiang Mai University; Chiang Mai University; Chiang Mai University; Chinese Academy of Sciences; Kunming Institute of Botany, CAS</t>
  </si>
  <si>
    <t>Karunarathna, SC (通讯作者)，Qujing Normal Univ, Coll Biol Resource &amp; Food Engn, Ctr Yunnan Plateau Biol Resources Protect &amp; Utili, Qujing 655011, Yunnan, Peoples R China.;Mortimer, PE (通讯作者)，Kunming Inst Bot, Ctr Mt Futures CMF, Kunming 650201, Yunnan, Peoples R China.</t>
  </si>
  <si>
    <t>erfu20170431@gmail.com; saowaluckfai@gmail.com; cicidaidongqin@gmail.com; itthayakorn.p@cmu.ac.th; peter@mail.kib.ac.cn; samantha@mail.kib.ac.cn</t>
  </si>
  <si>
    <t>; Dai, Dong-Qin/C-4303-2015</t>
  </si>
  <si>
    <t>Karunarathna, Samantha Chandranath/0000-0001-7080-0781; Promputtha, Itthayakorn/0000-0003-3376-4376; Dai, Dong-Qin/0000-0001-8935-8807</t>
  </si>
  <si>
    <t>Faculty of Science and Graduate School, Chiang Mai University; International Postdoctoral Exchange Fellowship Program [Y9180822S1]; CAS President's International Fellowship Initiative (PIFI) [2020FYC0002]; China Postdoctoral Science Foundation; Yunnan Human Resources, and Social Security Department Foundation; National Science Foundation of China (NSFC) [31851110759]; National Natural Science Foundation of China [NSFC 31760013]; High-Level Talent Recruitment Plan of Yunnan Provinces ('Young Talents' Program)</t>
  </si>
  <si>
    <t>Faculty of Science and Graduate School, Chiang Mai University; International Postdoctoral Exchange Fellowship Program; CAS President's International Fellowship Initiative (PIFI); China Postdoctoral Science Foundation(China Postdoctoral Science Foundation); Yunnan Human Resources, and Social Security Department Foundation; National Science Foundation of China (NSFC)(National Natural Science Foundation of China (NSFC)); National Natural Science Foundation of China(National Natural Science Foundation of China (NSFC)); High-Level Talent Recruitment Plan of Yunnan Provinces ('Young Talents' Program)</t>
  </si>
  <si>
    <t>Erfu Yang and Itthayakorn Promputtha are grateful to Faculty of Science and Graduate School, Chiang Mai University for supporting M.Sc. scholarship, and Saowaluck Tibpromma thanks the International Postdoctoral Exchange Fellowship Program (number Y9180822S1) , CAS President's International Fellowship Initiative (PIFI) (number 2020PC0009) , China Postdoctoral Science Foundation and the Yunnan Human Resources, and Social Security Department Foundation for funding her postdoctoral research. Samantha C. Karunarathna would like to thank the CAS President's International Fellowship Initiative (PIFI) young staff under the grant number: 2020FYC0002 and the National Science Foundation of China (NSFC) under the project code 31851110759. Austin G. Smith at World Agroforestry (ICRAF) , Kunming Institute of Botany, China, is thanked for English grammar amending. Dong-Qin Dai thanks the National Natural Science Foundation of China (NSFC 31760013) and High-Level Talent Recruitment Plan of Yunnan Provinces ('Young Talents' Program) for support.</t>
  </si>
  <si>
    <t>10.11646/phytotaxa.545.1.3</t>
  </si>
  <si>
    <t>1I0TM</t>
  </si>
  <si>
    <t>WOS:000796950500001</t>
  </si>
  <si>
    <t>Goonasekara, ID; Jayawardena, RS; Saichana, N</t>
  </si>
  <si>
    <t>Goonasekara, Ishani D.; Jayawardena, Ruvishika S.; Saichana, Natsaran</t>
  </si>
  <si>
    <t>New records of two appendage bearing ceolomycetes on grasses in Thailand</t>
  </si>
  <si>
    <t>Dinemasporium; Poaceae; Robillarda; saprobes; Sordariomycetes; taxonomy</t>
  </si>
  <si>
    <t>FUNGAL DIVERSITY; SP NOV.; MORPHOLOGY; BAMBOO; GENERA; BIODIVERSITY; PROBABILITY; MAGNITUDE; SEIRIDIUM; BOOTSTRAP</t>
  </si>
  <si>
    <t>Grasses are agriculturally, economically and ecologically dominant among plants. Their fungal diversity is fascinating but has been relatively poorly studied or restricted to a few important hosts or pathogens. Therefore, numerous grassinhabiting fungal species are awaiting discovery or re-study based on morphology and molecular phylogeny. In an ongoing study of grass-inhabiting fungi in Thailand, two interesting saprobic members of Sodariomycetes were collected. Based on morphology, coupled with combined gene analyses of LSU and ITS sequence data, they were identified as Dinemasporium pseudostrigosum and Robillarda africana belonging to Chaetosphaeriaceae and Sporocadaceae, respectively. This is the first report of the two species for Thailand as well as the first record of R. africana occurring on grasses. The newly collected species are compared to other related species and comprehensive descriptions and photomicrographs are provided.</t>
  </si>
  <si>
    <t>Goonasekara, Ishani D.</t>
  </si>
  <si>
    <t>[Goonasekara, Ishani D.; Jayawardena, Ruvishika S.] Mae Fah Luang Univ, Ctr Excellence Fungal Res, Chiang Rai 57100, Thailand; [Goonasekara, Ishani D.; Jayawardena, Ruvishika S.; Saichana, Natsaran] Mae Fah Luang Univ, Sch Sci, Chiang Rai 57100, Thailand; [Goonasekara, Ishani D.] Chinese Acad Sci, Kunming Inst Bot, Key Lab Plant Div &amp; Biogeog East Asia KLPB, Kunming 650201, Yunnan, Peoples R China</t>
  </si>
  <si>
    <t>Mae Fah Luang University; Mae Fah Luang University; Chinese Academy of Sciences; Kunming Institute of Botany, CAS</t>
  </si>
  <si>
    <t>Goonasekara, ID (通讯作者)，Mae Fah Luang Univ, Ctr Excellence Fungal Res, Chiang Rai 57100, Thailand.;Goonasekara, ID (通讯作者)，Mae Fah Luang Univ, Sch Sci, Chiang Rai 57100, Thailand.;Goonasekara, ID (通讯作者)，Chinese Acad Sci, Kunming Inst Bot, Key Lab Plant Div &amp; Biogeog East Asia KLPB, Kunming 650201, Yunnan, Peoples R China.</t>
  </si>
  <si>
    <t>ishanidg@gmail.com; ruvi.jaya@yahoo.com; natsaran.sai@mfu.ac.th</t>
  </si>
  <si>
    <t>Jayawardena, Ruvishika/0000-0001-7702-4885; Saichana, Natsaran/0000-0002-4357-7980</t>
  </si>
  <si>
    <t>Mushroom Research Foundation, Chiang Rai</t>
  </si>
  <si>
    <t>The authors acknowledge the Mushroom Research Foundation, Chiang Rai for funding this research.</t>
  </si>
  <si>
    <t>10.11646/phytotaxa.541.2.2</t>
  </si>
  <si>
    <t>0U3NX</t>
  </si>
  <si>
    <t>WOS:000787560400002</t>
  </si>
  <si>
    <t>Cui, YY; Yang, ZL; Cai, Q</t>
  </si>
  <si>
    <t>Yang-Yang Cui; Yang, Zhu L.; Cai, Qing</t>
  </si>
  <si>
    <t>Amanita pallidoverruca, a new species of Amanita section Validae from the Hengduan Mountains, southwestern China</t>
  </si>
  <si>
    <t>Agaricales; phylogeny; taxonomy</t>
  </si>
  <si>
    <t>BASIDIOMYCOTA; ALIGNMENTS; SELECTION; VAGINATAE; TOOL</t>
  </si>
  <si>
    <t>Amanita pallidoverruca, a new species of A. sect. Validae, is described from the Hengduan Mountains, southwestern China. This species is associated with Picea trees and is characterized by a greyish brown pileus decorated with dirty white to greyish warts, non-striate and non-appendiculate pileal margin, subapical annulus with a greyish yellow to olivaceous edge, and amyloid, ellipsoid basidiospores measuring 8-10 x 6-7 mu m. Phylogenetic analyses based on nrLSU, ITS, rpb2 and tef1-alpha indicated that it is closely related to A. excelsa. Illustrated morphological descriptions, and comparisons with closely related and similar species are provided.</t>
  </si>
  <si>
    <t>Yang-Yang Cui</t>
  </si>
  <si>
    <t>[Yang-Yang Cui; Yang, Zhu L.; Cai, Qing] Chinese Acad Sci, Kunming Inst Bot, CAS Key Lab Plant Divers &amp; Biogeog East Asia, Kunming 650201, Yunnan, Peoples R China; [Yang-Yang Cui; Yang, Zhu L.; Cai, Qing] Chinese Acad Sci, Kunming Inst Bot, Yunnan Key Lab Fungal Divers &amp; Green Dev, Kunming 650201, Yunnan, Peoples R China</t>
  </si>
  <si>
    <t>Cai, Q (通讯作者)，Chinese Acad Sci, Kunming Inst Bot, CAS Key Lab Plant Divers &amp; Biogeog East Asia, Kunming 650201, Yunnan, Peoples R China.;Cai, Q (通讯作者)，Chinese Acad Sci, Kunming Inst Bot, Yunnan Key Lab Fungal Divers &amp; Green Dev, Kunming 650201, Yunnan, Peoples R China.</t>
  </si>
  <si>
    <t>cuiyangyang@mail.kib.ac.cn; fungi@mail.kib.ac.cn; caiqing@mail.kib.ac.cn</t>
  </si>
  <si>
    <t>National Natural Science Foundation of China [31970023]; Natural Science Foundation of Yunnan Province [2018FB029, 202101AT070165]; Yunnan Provincial High-Level Talents Support Program [YNWR-QNBJ-2020-295]</t>
  </si>
  <si>
    <t>National Natural Science Foundation of China(National Natural Science Foundation of China (NSFC)); Natural Science Foundation of Yunnan Province(Natural Science Foundation of Yunnan Province); Yunnan Provincial High-Level Talents Support Program</t>
  </si>
  <si>
    <t>The authors are very grateful to Drs., Bang Feng, Zai Wei Ge (Kunming Institute of Botany) , and Kuan Zhao (Jiangxi Science and Technology Normal University) for providing valuable collections. We also thank the two anonymous reviewers for their professional suggestions and comments. This study was funded by the National Natural Science Foundation of China (No.31970023) , the Natural Science Foundation of Yunnan Province (2018FB029 and 202101AT070165) , and the Yunnan Provincial High-Level Talents Support Program (YNWR-QNBJ-2020-295) .</t>
  </si>
  <si>
    <t>10.11646/phytotaxa.542.1.6</t>
  </si>
  <si>
    <t>0L5GJ</t>
  </si>
  <si>
    <t>WOS:000781501500006</t>
  </si>
  <si>
    <t>Bakalin, V; Vilnet, A; Long, D; Klimova, K; Maltseva, Y; Nguyen, V; Zhang, W</t>
  </si>
  <si>
    <t>Bakalin, Vadim; Vilnet, Anna; Long, David; Klimova, Ksenia; Maltseva, Yulia; Nguyen, Van Sinh; Zhang, Wen</t>
  </si>
  <si>
    <t>On two species of Gymnomitrion (Gymnomitriaceae, Marchantiophyta) in the Eastern Sino-Himalaya</t>
  </si>
  <si>
    <t>Gymnomitrion; Apomarsupella; taxonomy; Eastern Sino-Himalaya; Gymnomitriaceae</t>
  </si>
  <si>
    <t>MAXIMUM-LIKELIHOOD; SCAPANIACEAE</t>
  </si>
  <si>
    <t>Two Sino-Himalayan taxa of Gymnomitrion are reviewed, based on materials from South China and North Vietnam. Gymnomitrion sichuanicum is newly described from Sichuan Province of China and is characterized by the dioicous inflorescence, very short semi-crescentic leaf sinus and acute to obtuse leaf lobes. The habit of the species is superficially similar to Marsupella sprucei, but it differs in a number of features including perianth absence, dioicy, smaller leaf cells and distribution pattern. The genetically closely related Gymnomitrion africanum differs in its deeply gibbous sinus and rounded leaf lobes. Another taxon, Gymnomirion rubidum-still a poorly-known species, although described much earlier-is found to be genetically polymorphous with two defined haplotypes which are not easily distinguished morphologically; one of these is described as a new subspecies. The species is newly recorded from North Vietnam; collected in a degenerating relict Abies delavayi stand on a substrate very unusual for Gymnomitriaceae (decaying wood). Both taxa are described, discussed and supplemented with illustrations. These findings extend a series of similar records showing the great importance of the Eastern Sino-Himalaya and its surroundings in the survival of a unique complex of narrowly distributed montane taxa.</t>
  </si>
  <si>
    <t>Bakalin, Vadim</t>
  </si>
  <si>
    <t>[Bakalin, Vadim; Klimova, Ksenia; Maltseva, Yulia] Russian Acad Sci, Far Eastern Brunch, Bot Garden Inst, Makovskogo St 142, Vladivostok 690024, Russia; [Vilnet, Anna] Russian Acad Sci, Polar Alpine Bot Garden Inst, Fersmana St 18A, Apatity 184209, Murmansk Provin, Russia; [Long, David] Royal Bot Garden Edinburgh, Edinburgh EH3 5LR, Midlothian, Scotland; [Nguyen, Van Sinh] Vietnam Acad Sci &amp; Technol, Grad Univ Sci &amp; Technol, Inst Ecol &amp; Biol Resources, 18 Hoang Quoc Viet, Hanoi, Vietnam; [Zhang, Wen] Chinese Acad Sci, Kunming Inst Bot, Key Lab Plant Divers &amp; Biogeog East Asia, Herbarium, Kunming 650201, Yunnan, Peoples R China</t>
  </si>
  <si>
    <t>Russian Academy of Sciences; Botanical Garden Institute of the Far Eastern Branch of the Russian Academy of Sciences; Russian Academy of Sciences; Vietnam Academy of Science &amp; Technology (VAST); Chinese Academy of Sciences; Kunming Institute of Botany, CAS</t>
  </si>
  <si>
    <t>Bakalin, V (通讯作者)，Russian Acad Sci, Far Eastern Brunch, Bot Garden Inst, Makovskogo St 142, Vladivostok 690024, Russia.</t>
  </si>
  <si>
    <t>vabakalin@gmail.com; anya_v@list.ru; lammermuir10@gmail.com; ksenia.g.klimova@mail.ru; maltseva.yu.dm@gmail.com; nvsinh@gmail.com; mawenzhang@mail.kib.ac.cn</t>
  </si>
  <si>
    <t>Klimova, Ksenia G/S-9150-2017; Bakalin, Vadim A./S-8876-2017</t>
  </si>
  <si>
    <t>Klimova, Ksenia G/0000-0002-3229-1880; Bakalin, Vadim A./0000-0001-7897-4305; Maltseva, Yulia/0000-0002-0275-6819; Long, David/0000-0003-0816-0124; Vil'net, Anna/0000-0001-7779-2593</t>
  </si>
  <si>
    <t>Russian Foundation for Basic Researches [20-54-54002]; U.S. National Science Foundation [DEB-0103795]; Vietnam Academy of Science and Technology [KHCBTD.02/21-23]</t>
  </si>
  <si>
    <t>Russian Foundation for Basic Researches(Russian Foundation for Basic Research (RFBR)); U.S. National Science Foundation(National Science Foundation (NSF)); Vietnam Academy of Science and Technology</t>
  </si>
  <si>
    <t>The line art figures were kindly prepared by Mr. Matvei Bakalin to whom authors are sincerely grateful. The work by VB, KK and YM was partially supported by the Russian Foundation for Basic Researches (grant no. 20-54-54002) and is within the frame of institutional research project Cryptogamic Biota of Pacific Asia: taxonomy, floristics and distribution patterns of taxa (no. ????-?20-120031990012-4) . DGL wishes to acknowledge support for field work in Yunnan on the Biotic Survey of Gaoligong Shan project by the U.S. National Science Foundation grant DEB-0103795. The work in Vietnam also was partially supported by the Vietnam Academy of Science and Technology (grant no. KHCBTD.02/21-23) .</t>
  </si>
  <si>
    <t>10.11646/phytotaxa.533.2.1</t>
  </si>
  <si>
    <t>0O0DM</t>
  </si>
  <si>
    <t>WOS:000783199300001</t>
  </si>
  <si>
    <t>Matthews, PJ; Nguyen, VD; Fang, Q; Long, CL</t>
  </si>
  <si>
    <t>Matthews, Peter J.; Van Du Nguyen; Fang, Qiong; Long, Chun-Lin</t>
  </si>
  <si>
    <t>Colocasia spongifolia sp. nov. (Araceae) in southern China and central Vietnam</t>
  </si>
  <si>
    <t>Aroideae; new species; substomatal cavity; marginal vein; peduncle; staminodes; fruit</t>
  </si>
  <si>
    <t>YUNNAN</t>
  </si>
  <si>
    <t>Colocasia spongifolia sp. nov. (Araceae) is a large herb in forest edges on mountain slopes in southern China and central Vietnam. The plant is remarkable for its distinct vegetative morphology, while floral morphology places it as a close wild relative of C. esculenta (taro), among other closely-related species. The name given here reflects a thick, rubbery, spongy leaf blade unlike the blades in other Colocasia species known to us. The blade has exceptionally large spongy mesophyll cavities that are visible to the naked eye. Vegetative reproduction appears to be limited to direct (though shy) sprouting of lateral buds to form new erect stems, without production of side-tubers or stolons. In contrast to other Colocasia species, dense spreading colonies (clumps or patches) were not seen.</t>
  </si>
  <si>
    <t>Matthews, Peter J.</t>
  </si>
  <si>
    <t>[Matthews, Peter J.] Natl Museum Ethnol, Senri Expo Pk 10-1, Suita, Osaka 5658511, Japan; [Van Du Nguyen] Vietnam Acad Sci &amp; Technol VAST, Inst Ecol &amp; Biol Resources IEBR, A11-18 Hoang Quoc Viet St, Hanoi, Vietnam; [Van Du Nguyen] Vietnam Acad Sci &amp; Technol VAST, Grad Univ Sci &amp; Technol, 18 Hoang Quoc Viet St, Hanoi, Vietnam; [Fang, Qiong; Long, Chun-Lin] Minzu Univ China, Coll Life &amp; Environm Sci, 27 Zhong Guan Cun South Ave, Beijing 100081, Peoples R China; [Long, Chun-Lin] Chinese Acad Sci, Kunming Inst Bot, 132 Lanhei Rd, Kunming 650204, Yunnan, Peoples R China</t>
  </si>
  <si>
    <t>Vietnam Academy of Science &amp; Technology (VAST); Vietnam Academy of Science &amp; Technology (VAST); Minzu University of China; Chinese Academy of Sciences; Kunming Institute of Botany, CAS</t>
  </si>
  <si>
    <t>Nguyen, VD (通讯作者)，Vietnam Acad Sci &amp; Technol VAST, Inst Ecol &amp; Biol Resources IEBR, A11-18 Hoang Quoc Viet St, Hanoi, Vietnam.;Nguyen, VD (通讯作者)，Vietnam Acad Sci &amp; Technol VAST, Grad Univ Sci &amp; Technol, 18 Hoang Quoc Viet St, Hanoi, Vietnam.</t>
  </si>
  <si>
    <t>pjm@minpaku.ac.jp; vandu178@gmail.com; qiongfang620@foxmail.com; long@mail.kib.ac.cn</t>
  </si>
  <si>
    <t>Matthews, Peter J./AID-1290-2022</t>
  </si>
  <si>
    <t>Matthews, Peter/0000-0003-2563-0976; Long, Chunlin/0000-0002-6573-6049</t>
  </si>
  <si>
    <t>JSPS Kakenhi [17H04614, 17H01682]; Vietnam National Foundation for Science and Technology Development (NAFOSTED) [106.03-2019.322]; National Natural Science Foundation of China [31761143001, 31870316]; Ministry of Ecology and Environment [2019HB2096001006]; Minzu University of China [2020MDJC03]</t>
  </si>
  <si>
    <t>JSPS Kakenhi(Ministry of Education, Culture, Sports, Science and Technology, Japan (MEXT)Japan Society for the Promotion of ScienceGrants-in-Aid for Scientific Research (KAKENHI)); Vietnam National Foundation for Science and Technology Development (NAFOSTED)(National Foundation for Science &amp; Technology Development (NAFOSTED)); National Natural Science Foundation of China(National Natural Science Foundation of China (NSFC)); Ministry of Ecology and Environment; Minzu University of China</t>
  </si>
  <si>
    <t>Fieldwork was carried out in collaboration with local research organisations and counterparts in 2018-2019. We thank staff of Xishuangbanna Tropical Botanical Garden, Yunnan, and Dr Hoang Thien An, Research Director, Bach Ma National Park, for discussions. Field surveys of C. formosana (by first author) were carried out in the Philippines and Taiwan with kind assistance by K.-C. Tsai, D. Tandang, D. Madulid, and E. M. Agoo (2005-2014). Grants supporting the present work were: JSPS Kakenhi Nos 17H04614 and 17H01682 (Matthews), Vietnam National Foundation for Science and Technology Development (NAFOSTED) 106.03-2019.322 (Nguyen), National Natural Science Foundation of China 31761143001 and 31870316 (Long), Ministry of Ecology and Environment 2019HB2096001006 (Long), and Minzu University of China 2020MDJC03 (Long). The authors have no conflicts of interest regarding this work. We thank our journal editor and reviewers for very helpful comments.</t>
  </si>
  <si>
    <t>10.11646/phytotaxa.541.1.1</t>
  </si>
  <si>
    <t>0D6FK</t>
  </si>
  <si>
    <t>WOS:000776088800002</t>
  </si>
  <si>
    <t>Nimalrathna, TS; Tibpromma, S; Nakamura, A; Galappaththi, MCA; Xu, JC; Mortimer, PE; Karunarathna, SC</t>
  </si>
  <si>
    <t>Nimalrathna, Thilina S.; Tibpromma, Saowaluck; Nakamura, Akihiro; Galappaththi, Mahesh C. A.; Xu, Jianchu; Mortimer, Peter E.; Karunarathna, Samantha C.</t>
  </si>
  <si>
    <t>The case of the missing mushroom: a novel bioluminescent species discovered within Favolaschia in southwestern China</t>
  </si>
  <si>
    <t>bioluminescent fungi; Favolaschia xtbgensis; macrofungi; Yunnan Province</t>
  </si>
  <si>
    <t>MYCENACEAE; RORIDOMYCES; FUNGUS; LIGHT</t>
  </si>
  <si>
    <t>Seven species of bioluminescent mushrooms belonging to seven genera have been described in the tropical rainforests of China. This study contributes the eighth species, found growing on decaying bamboo in Xishuangbanna Tropical Botanical Garden (XTBG). Morphological characteristics and phylogenetic analyses using internal transcribed spacer (ITS) and ribosomal large subunit (LSU) gene regions placed the species within the genus Favolaschia. Comprehensive morphological descriptions, micro and macro photographs, and a phylogenetic tree showing the placement of the new species are provided. This is the second report of bioluminescent Favolaschia in China.</t>
  </si>
  <si>
    <t>[Nimalrathna, Thilina S.; Nakamura, Akihiro] Chinese Acad Sci, CAS Key Lab Trop Forest Ecol, Xishuangbanna Trop Bot Garden, Mengla, Yunnan, Peoples R China; [Nimalrathna, Thilina S.] Univ Chinese Acad Sci, Beijing, Peoples R China; [Tibpromma, Saowaluck; Xu, Jianchu; Mortimer, Peter E.; Karunarathna, Samantha C.] Chinese Acad Sci, Kunming Inst Bot, Ctr Mt Futures CMF, Kunming 650201, Yunnan, Peoples R China; [Galappaththi, Mahesh C. A.] Univ Peradeniya, Postgrad Inst Sci PGIS, Peradeniya, Sri Lanka; [Tibpromma, Saowaluck; Karunarathna, Samantha C.] Qujing Normal Univ, Coll Biol Resource &amp; Food Engn, Ctr Yunnan Plateau Biol Resources Protect &amp; Utili, Qujing 655011, Peoples R China</t>
  </si>
  <si>
    <t>Chinese Academy of Sciences; Xishuangbanna Tropical Botanical Garden, CAS; Chinese Academy of Sciences; University of Chinese Academy of Sciences, CAS; Chinese Academy of Sciences; Kunming Institute of Botany, CAS; University of Peradeniya</t>
  </si>
  <si>
    <t>Mortimer, PE; Karunarathna, SC (通讯作者)，Chinese Acad Sci, Kunming Inst Bot, Ctr Mt Futures CMF, Kunming 650201, Yunnan, Peoples R China.;Karunarathna, SC (通讯作者)，Qujing Normal Univ, Coll Biol Resource &amp; Food Engn, Ctr Yunnan Plateau Biol Resources Protect &amp; Utili, Qujing 655011, Peoples R China.</t>
  </si>
  <si>
    <t>tnimalrathna@gmail.com; saowaluckfai@gmail.com; a.nakamura@xtbg.ac.cn; mcagalappaththi@gmail.com; jxu@mail.kib.ac.cn; peter@mail.kib.ac.cn; samanthakarunarathna@gmail.com</t>
  </si>
  <si>
    <t>Nakamura, Akihiro/0000-0001-7349-5102; Karunarathna, Samantha Chandranath/0000-0001-7080-0781; Nimalrathna, Thilina/0000-0002-2368-042X; Abraham Galappaththi, Mahesh/0000-0002-8375-7601</t>
  </si>
  <si>
    <t>International Postdoctoral Exchange Fellowship Program [Y9180822S1]; CAS President's International Fellowship Initiative (PIFI) [2020PC0009, 2020FYC0002]; China Postdoctoral Science Foundation; Yunnan Human Resources, and Social Security Department Foundation; National Science Foundation of China (NSFC) [31750110478]; 'High-End Foreign Experts' in the High-Level Talent Recruitment Plan of Yunnan Province, 2021; CAS President's International Fellowship Initiative (PIFI) young staff [2020FYC0002]</t>
  </si>
  <si>
    <t>International Postdoctoral Exchange Fellowship Program; CAS President's International Fellowship Initiative (PIFI); China Postdoctoral Science Foundation(China Postdoctoral Science Foundation); Yunnan Human Resources, and Social Security Department Foundation; National Science Foundation of China (NSFC)(National Natural Science Foundation of China (NSFC)); 'High-End Foreign Experts' in the High-Level Talent Recruitment Plan of Yunnan Province, 2021; CAS President's International Fellowship Initiative (PIFI) young staff</t>
  </si>
  <si>
    <t>Saowaluck Tibpromma thanks the International Postdoctoral Exchange Fellowship Program (number Y9180822S1) , CAS President's International Fellowship Initiative (PIFI) (number 2020PC0009) , China Postdoctoral Science Foundation and the Yunnan Human Resources, and Social Security Department Foundation for funding her postdoctoral research. Samantha C. Karunarathna thanks CAS President's International Fellowship Initiative (PIFI) young staff under the grant number: 2020FYC0002 and the National Science Foundation of China (NSFC) for funding this research work under project code 31750110478. Peter E. Mortimer thanks the 'High-End Foreign Experts' in the High-Level Talent Recruitment Plan of Yunnan Province, 2021, for support. Austin Smith at World Agroforestry (ICRAF) , Kunming Institute of Botany, China, is thanked for English editing.</t>
  </si>
  <si>
    <t>MAR 17</t>
  </si>
  <si>
    <t>10.11646/phytotaxa.539.3.3</t>
  </si>
  <si>
    <t>ZZ5JQ</t>
  </si>
  <si>
    <t>WOS:000773305300003</t>
  </si>
  <si>
    <t>Liang, ZL; Yu, ZY; Chen, WH; Tunckol, B; Zhang, L; Zhang, LB</t>
  </si>
  <si>
    <t>Liang, Zhen-Long; Yu, Zhi-Yong; Chen, Wen-Hong; Tunckol, Bilge; Zhang, Liang; Zhang, Li-Bing</t>
  </si>
  <si>
    <t>Polystichum jinpingense (subg. Haplopolystichum; Dryopteridaceae), a new fern from southeastern Yunnan, China</t>
  </si>
  <si>
    <t>Critically Endangered; Fern Flora of Yunnan; limestone habitats</t>
  </si>
  <si>
    <t>A new fern species, Polystichum jinpingense, a member of P. subg. Haplopolystichum sect. Haplopolystichum, is described and illustrated from southeastern Yunnan, China. Polystichum jinpingense is most similar to P. subacutidens in plant size and having numerous pinnae, but the former has thinner (0.7-0.9 mm in diam.) rachis, oblong pinnae, pinna margins undulate, and pinna apex cuspidate, whereas the latter has thicker (1.1-1.4 mm in diam.) rachis, triangular pinnae, pinna margins serrate, and pinna apex acuminate. Polystichum jinpingense has an extremely narrow distribution and is classified as Critically Endangered (CR) following IUCN Red List Criteria.</t>
  </si>
  <si>
    <t>Liang, Zhen-Long</t>
  </si>
  <si>
    <t>[Liang, Zhen-Long; Zhang, Li-Bing] Chinese Acad Sci, Key Lab Mt Ecol Restorat &amp; Bioresourre Utilizat, Chengdu Inst Biol, POB 416, Chengdu 610041, Sichuan, Peoples R China; [Yu, Zhi-Yong] Yunnan Jinping Fenshuiling Natl Nat Reserve, Honghe 661500, Yunnan, Peoples R China; [Chen, Wen-Hong; Zhang, Liang] Chinese Acad Sci, Kunming Inst Bot, Key Lab Plant Divers &amp; Biogeog East Asia, Kunming 650201, Yunnan, Peoples R China; [Tunckol, Bilge] Bartin Univ, Ulus Vocat Sch Dept Forestry, TR-74600 Ulus, Bartin, Turkey; [Zhang, Li-Bing] Missouri Bot Garden, 4344 Shaw Blvd, St Louis, MO 63110 USA</t>
  </si>
  <si>
    <t>Chinese Academy of Sciences; Chengdu Institute of Biology, CAS; Chinese Academy of Sciences; Kunming Institute of Botany, CAS; Bartin University; Missouri Botanical Gardens</t>
  </si>
  <si>
    <t>Zhang, LB (通讯作者)，Chinese Acad Sci, Key Lab Mt Ecol Restorat &amp; Bioresourre Utilizat, Chengdu Inst Biol, POB 416, Chengdu 610041, Sichuan, Peoples R China.;Zhang, L (通讯作者)，Chinese Acad Sci, Kunming Inst Bot, Key Lab Plant Divers &amp; Biogeog East Asia, Kunming 650201, Yunnan, Peoples R China.;Zhang, LB (通讯作者)，Missouri Bot Garden, 4344 Shaw Blvd, St Louis, MO 63110 USA.</t>
  </si>
  <si>
    <t>liangzl@cib.ac.cn; 782545984@qq.com; whchen@mail.kib.ac.cn; btunckol@bartin.edu.tr; zhangliang@mail.kib.ac.cn; Libing.Zhang@mobot.otg</t>
  </si>
  <si>
    <t>tunçkol, bilge/AHB-6353-2022</t>
  </si>
  <si>
    <t>tunçkol, bilge/0000-0001-8135-1475; Zhang, Liang/0000-0003-3784-3135</t>
  </si>
  <si>
    <t>Second Integrated Surveys of Jinping Fenshuiling National Natural Reserve in China (2020-2024); Monitoring Program of the Hekou Field Station of Tropical Karst Ecosystem [2021-YN-06]; Tropical Mountain Forest Eco-station in Southeast Yunnan (TFEY)</t>
  </si>
  <si>
    <t>Second Integrated Surveys of Jinping Fenshuiling National Natural Reserve in China (2020-2024); Monitoring Program of the Hekou Field Station of Tropical Karst Ecosystem; Tropical Mountain Forest Eco-station in Southeast Yunnan (TFEY)</t>
  </si>
  <si>
    <t>We thank Dr. Wen-Zhang Ma for providing help in the field and curators of CDBI, KUN, for providing access to the material in their care. The research was supported by the Second Integrated Surveys of Jinping Fenshuiling National Natural Reserve in China (2020-2024), the Monitoring Program of the Hekou Field Station of Tropical Karst Ecosystem (2021-YN-06) and the Tropical Mountain Forest Eco-station in Southeast Yunnan (TFEY).</t>
  </si>
  <si>
    <t>MAR 11</t>
  </si>
  <si>
    <t>10.11646/phytotaxa.539.1.8</t>
  </si>
  <si>
    <t>ZZ4MD</t>
  </si>
  <si>
    <t>WOS:000773244200001</t>
  </si>
  <si>
    <t>Zuo, ZY; Lu, JM; Wang, YH; Li, DZ</t>
  </si>
  <si>
    <t>Zuo, Zheng-Yu; Lu, Jin-Mei; Wang, Yue-Hua; LI, De-Zhu</t>
  </si>
  <si>
    <t>Dryopteris sukungiana (Dryopteridaceae), a new species of the D. sparsa complex from Southwest China</t>
  </si>
  <si>
    <t>Dryopteris sect; Diclisodon; Dryopteris sect; Nephrocystis; plastome; nuclear gene AK1; Taxonomy; Yunnan Province</t>
  </si>
  <si>
    <t>Dryopteris sukungiana, a new tetraploid fern species of Dryopteridaceae in Yunnan, Southwest China, is described and illustrated. Morphologically, D. sukungiana belongs to the D. sparsa complex but is unique in spreading blackish brown scales on the stipe, glandular hairs and small fibrillose scales on the abaxial surface of the lamina. Phylogenetic analyses show that D. sukungiana is of hybrid origin; its paternal parent is the Sino-Himalayan D. sparsa, and its maternal parent might be an undetected diploid species closely related to the Sino-Japanese D. sparsa.</t>
  </si>
  <si>
    <t>[Zuo, Zheng-Yu; Wang, Yue-Hua] Yunnan Univ, Sch Life Sci, Kunming 650500, Yunnan, Peoples R China; [Zuo, Zheng-Yu; Lu, Jin-Mei; LI, De-Zhu] Chinese Acad Sci, Germplasm Bank Wild Species, Kunming Inst Bot, Kunming 650201, Yunnan, Peoples R China; [Zuo, Zheng-Yu; LI, De-Zhu] Univ Chinese Acad Sci, Kunming Coll Life Sci, Kunming 650201, Yunnan, Peoples R China</t>
  </si>
  <si>
    <t>Yunnan University; Chinese Academy of Sciences; Kunming Institute of Botany, CAS; Chinese Academy of Sciences; University of Chinese Academy of Sciences, CAS</t>
  </si>
  <si>
    <t>Wang, YH (通讯作者)，Yunnan Univ, Sch Life Sci, Kunming 650500, Yunnan, Peoples R China.;Li, DZ (通讯作者)，Chinese Acad Sci, Germplasm Bank Wild Species, Kunming Inst Bot, Kunming 650201, Yunnan, Peoples R China.;Li, DZ (通讯作者)，Univ Chinese Acad Sci, Kunming Coll Life Sci, Kunming 650201, Yunnan, Peoples R China.</t>
  </si>
  <si>
    <t>zuozhengyu@mail.kib.ac.cn; lujinmei@mail.kib.ac.cn; wangyh58212@126.com; dzl@mail.kib.ac.cn</t>
  </si>
  <si>
    <t>Strategic Priority Research Program of Chinese Academy of Sciences [XDB31000000]; National Natural Science Foundation of China [31970232]</t>
  </si>
  <si>
    <t>Strategic Priority Research Program of Chinese Academy of Sciences(Chinese Academy of Sciences); National Natural Science Foundation of China(National Natural Science Foundation of China (NSFC))</t>
  </si>
  <si>
    <t>The study was supported by the Strategic Priority Research Program of Chinese Academy of Sciences (XDB31000000) and the National Natural Science Foundation of China (31970232). We thank two anonymous reviewers for their constructive comments and suggestions.</t>
  </si>
  <si>
    <t>10.11646/phytotaxa.533.5.2</t>
  </si>
  <si>
    <t>ZG1TR</t>
  </si>
  <si>
    <t>WOS:000760046100002</t>
  </si>
  <si>
    <t>Qiu, YL; Zhang, L; Zhang, LB; Zhou, XM; Zhang, L</t>
  </si>
  <si>
    <t>Qiu, Yong-Ling; Zhang, Lin; Zhang, Li-Bing; Zhou, Xin-Mao; Zhang, Liang</t>
  </si>
  <si>
    <t>Athyrium aberrans (Athyriaceae), a new species of the lady ferns from southeastern Xizang, China, based on morphological and molecular evidence</t>
  </si>
  <si>
    <t>Athyrium epirachis; bulbil; lady ferns; Medog</t>
  </si>
  <si>
    <t>GENUS ATHYRIUM; PHYLOGENY</t>
  </si>
  <si>
    <t>A new fern species, Athyrium aberrans (Athyriaceae), currently only known from southeastern Xizang, China is described. Morphologically, A. aberrans is superficially similar to A. falcatum in the habit and pinna shape, but the new species can easily be distinguished from the latter by having purplish petioles and rachises, a bulbil on the rachis below the lamina apex, and finely toothed pinna margins. A phylogenetic analysis based on five plastid markers demonstrates that A. aberrans is most closely related to but obviously distinct from A. epirachis.</t>
  </si>
  <si>
    <t>Qiu, Yong-Ling</t>
  </si>
  <si>
    <t>[Qiu, Yong-Ling; Zhou, Xin-Mao] Yunnan Univ, Sch Ecol &amp; Environm Sci, Kunming 650091, Yunnan, Peoples R China; [Zhang, Lin] Chinese Acad Sci, Inst Tibetan Plateau Res, State Key Lab Tibetan Plateau Earth Syst Sci, Beijing 100101, Peoples R China; [Zhang, Li-Bing] Missouri Bot Garden, 4344 Shaw Blvd, St Louis, MO 63110 USA; [Zhang, Liang] Chinese Acad Sci, Kunming Inst Bot, CAS Key Lab Plant Divers &amp; Biogeog East Asia, Kunming 650201, Yunnan, Peoples R China</t>
  </si>
  <si>
    <t>Yunnan University; Chinese Academy of Sciences; Institute of Tibetan Plateau Research, CAS; Missouri Botanical Gardens; Chinese Academy of Sciences; Kunming Institute of Botany, CAS</t>
  </si>
  <si>
    <t>Zhou, XM (通讯作者)，Yunnan Univ, Sch Ecol &amp; Environm Sci, Kunming 650091, Yunnan, Peoples R China.;Zhang, L (通讯作者)，Chinese Acad Sci, Kunming Inst Bot, CAS Key Lab Plant Divers &amp; Biogeog East Asia, Kunming 650201, Yunnan, Peoples R China.</t>
  </si>
  <si>
    <t>2077713881@qq.com; zhanglin@itpcas.ac.cn; Libing.Zhang@mobot.org; xinmao.zhou@ynu.edu.cn; zhangliang@mail.kib.ac.cn</t>
  </si>
  <si>
    <t>zhang, lin/0000-0002-3252-0751; , Yong-Ling Qiu/0000-0002-7828-3317; Zhang, Liang/0000-0003-3784-3135</t>
  </si>
  <si>
    <t>The research was supported by the Second Tibetan Plateau Scientific Expedition and Research (STEP) program (2019QZKK0502 and 2019QZKK0301-1). We thank Wang-Lin Zhao and Bin Wang for their assistance in the field, Wei-Ming Zhu and C.R. Fraser-Jenkins for their comments on the new species. Special thanks go to Min-Shu Song for her assistance in the lab, and the curators of the herbaria KUN and PYU for providing access to the material in their care.</t>
  </si>
  <si>
    <t>FEB 11</t>
  </si>
  <si>
    <t>10.11646/phytotaxa.533.3.2</t>
  </si>
  <si>
    <t>YZ9FH</t>
  </si>
  <si>
    <t>WOS:000755775000002</t>
  </si>
  <si>
    <t>Zhao, Y; Chi, JC; Chen, YP; Liang, CZ; Turginov, OT; Pulatov, SO; Rakhmatov, AA; Aromov, TB; Xiang, CL</t>
  </si>
  <si>
    <t>Zhao, Yue; Chi, Jian-Cai; Chen, Ya-Ping; Liang, Cun-Zhu; Turginov, Orzimat T.; Pulatov, Sardor O.; Rakhmatov, Abdurashid A.; Aromov, Tolmas B.; Xiang, Chun-Lei</t>
  </si>
  <si>
    <t>Three new records of Lamiaceae from China and Uzbekistan</t>
  </si>
  <si>
    <t>Lamioideae; Nepetinae; Nepetoideae; Phlomoides; Phlomideae; Nepeta</t>
  </si>
  <si>
    <t>LAMIOIDEAE</t>
  </si>
  <si>
    <t>Geographic novelties of three species of Lamiaceae are newly reported in this paper. Phlomoides zenaidae, previously known only from a few collections from Kazakhstan, is reported from Xinjiang Province, China for the first time. Phlomoides baldschuanica and Nepeta badachschanica, previously only known from Tajikistan, are also newly reported for Uzbekistan. Diagnostic characters, additional descriptions, detailed illustrations, taxonomic comments and conservation status are provided.</t>
  </si>
  <si>
    <t>Zhao, Yue</t>
  </si>
  <si>
    <t>[Zhao, Yue; Liang, Cun-Zhu] Inner Mongolia Univ, Key Lab Ecol &amp; Resource Use Mongolian Plateau, Minist Educ, Hohhot 010000, Inner Mongolia, Peoples R China; [Zhao, Yue; Liang, Cun-Zhu] Inner Mongolia Univ, Inner Mongolia Key Lab Grassland Ecol, Sch Ecol &amp; Environm, Hohhot 010000, Inner Mongolia, Peoples R China; [Zhao, Yue; Chen, Ya-Ping; Xiang, Chun-Lei] Chinese Acad Sci, Kunming Inst Bot, CAS Key Lab Plant Divers &amp; Biogeog East Asia Kunm, Kunming 650201, Yunnan, Peoples R China; [Chi, Jian-Cai] Beijing Huasheng Tianqiao Folk Culture Pk, Beijing 100124, Peoples R China; [Turginov, Orzimat T.; Pulatov, Sardor O.; Rakhmatov, Abdurashid A.; Aromov, Tolmas B.] Acad Sci Uzbek, Inst Bot, Durmon Yuli Str 32, Tashkent 100125, Uzbekistan</t>
  </si>
  <si>
    <t>Inner Mongolia University; Inner Mongolia University; Chinese Academy of Sciences; Kunming Institute of Botany, CAS; Academy of Sciences of Uzbekistan; Institute of Botany, Uzbekistan</t>
  </si>
  <si>
    <t>Xiang, CL (通讯作者)，Chinese Acad Sci, Kunming Inst Bot, CAS Key Lab Plant Divers &amp; Biogeog East Asia Kunm, Kunming 650201, Yunnan, Peoples R China.;Turginov, OT (通讯作者)，Acad Sci Uzbek, Inst Bot, Durmon Yuli Str 32, Tashkent 100125, Uzbekistan.</t>
  </si>
  <si>
    <t>zhaoyue@mail.kib.ac.cn; 448407731@qq.com; chenyaping@mail.kib.ac.cn; bilcz@imu.edu.cn; orzimat@mail.ru; sardor7244@mail.ru; abdurashid.rahmatov@mail.ru; aromov83@mail.ru; xiangchunlei@mail.kib.ac.cn</t>
  </si>
  <si>
    <t>Pulatov, Sardor/CAG-2736-2022</t>
  </si>
  <si>
    <t>National Natural Science Foundation of China [32161143015, 31872648]; Natural Science Foundation of Yunnan Province [202001AS070016]; Ten Thousand Talents Program of Yunnan (Top-notch Young Talents Project) [YNWR-QNBJ-2018-279]; Excellent Youth Program [2019FI009]; CAS Light of West China Program</t>
  </si>
  <si>
    <t>National Natural Science Foundation of China(National Natural Science Foundation of China (NSFC)); Natural Science Foundation of Yunnan Province(Natural Science Foundation of Yunnan Province); Ten Thousand Talents Program of Yunnan (Top-notch Young Talents Project); Excellent Youth Program; CAS Light of West China Program</t>
  </si>
  <si>
    <t>We are grateful to Dr. Alan J. Paton (Royal Botanic Gardens, Kew) and Dr. Enrico Vito Perrino (CIHEAM, Mediterranean Agronomic Institute of Bari, Italy) for reviewing the manuscript. We would like to thank the curators of K, KUN, LE, MW, PE, and TASH for herbaria access. This study was funded by the National Natural Science Foundation of China (Nos. 32161143015, 31872648), the Natural Science Foundation of Yunnan Province (202001AS070016), the Ten Thousand Talents Program of Yunnan (Top-notch Young Talents Project, No. YNWR-QNBJ-2018-279), the Excellent Youth Program (No. 2019FI009) to CLX, the CAS Light of West China Program to CLX and YPC, and the project of &lt;&lt; Grid mapping of the flora of Uzbekistan &gt;&gt; from 2021 to 2025.</t>
  </si>
  <si>
    <t>10.11646/phytotaxa.531.2.3</t>
  </si>
  <si>
    <t>YL5JE</t>
  </si>
  <si>
    <t>WOS:000745926300003</t>
  </si>
  <si>
    <t>Xu, RF; Hyde, KD; Karunarathna, SC; Xu, JC; Mortimer, PE; Tibpromma, S</t>
  </si>
  <si>
    <t>Xu, Ruifang; Hyde, Kevin D.; Karunarathna, Samantha C.; Xu, Jian-Chu; Mortimer, Peter E.; Tibpromma, Saowaluck</t>
  </si>
  <si>
    <t>Morphology and multi-gene phylogeny reveal a new fungal genus and species from Hevea brasiliensis latex in Yunnan, China</t>
  </si>
  <si>
    <t>1 new genus; 1 new species; multi -gene phylogenetic analyses; PHI test; taxonomy; Xishuangbanna</t>
  </si>
  <si>
    <t>PARA RUBBER; SP. NOV.; BIODIVERSITY; DIVERSITY; LITTER</t>
  </si>
  <si>
    <t>During a survey of rubber tree plantations in Yunnan Province, China, a fungus growing on natural rubber latex was collected and isolated. Maximum likelihood and Bayesian analyses of combined ITS, LSU, SSU, tef-alpha and rpb2 genes showed the isolated taxon belongs to Wiesneriomycetaceae and was well separated from closely related genera with high statistical support. It can be differentiated from other genera in Wiesneriomycetaceae by synnemata with catenate conidia that are cylindrical, 0-4 to multi-septate, often with a dark brown band at the septa. Morphology, phylogenetic analyses and pairwise homoplasy index (PHI) tests provide evidence that the new isolate is a distinct genus. The genus Heveicola is introduced, with H. xishuangbannaensis as the type species. A key to the genera in Wiesneriomycetaceae is also provided.</t>
  </si>
  <si>
    <t>Xu, Ruifang</t>
  </si>
  <si>
    <t>[Xu, Ruifang; Karunarathna, Samantha C.; Xu, Jian-Chu; Mortimer, Peter E.; Tibpromma, Saowaluck] Kunming Inst Bot, Ctr Fountain Futures, Kunming 650201, Yunnan, Peoples R China; [Xu, Ruifang; Hyde, Kevin D.] Mae Fah Luang Univ, Ctr Excellence Fungal Res, Chiang Rai 57100, Thailand; [Xu, Ruifang; Karunarathna, Samantha C.; Xu, Jian-Chu; Mortimer, Peter E.; Tibpromma, Saowaluck] World Agroforestry ICRA, CIFOR ICRAF China Program, Kunming 650201, Yunnan, Peoples R China; [Xu, Ruifang; Hyde, Kevin D.] Mae Fah Luang Univ, Sch Sci, Chiang Rai 57100, Thailand; [Hyde, Kevin D.] Zhongkai Univ, Innovat Inst Plant Hlth, Guangzhou, Guangdong, Peoples R China</t>
  </si>
  <si>
    <t>Mortimer, PE; Tibpromma, S (通讯作者)，Kunming Inst Bot, Ctr Fountain Futures, Kunming 650201, Yunnan, Peoples R China.;Mortimer, PE; Tibpromma, S (通讯作者)，World Agroforestry ICRA, CIFOR ICRAF China Program, Kunming 650201, Yunnan, Peoples R China.</t>
  </si>
  <si>
    <t>2417745253@qq.com; kdhyde3@gmail.com; samantha@mail.kib.ac.cn; jxu@mail.kib.ac.cn; peter@mail.kib.ac.cn; showaluckfai@gmail.com</t>
  </si>
  <si>
    <t>Hyde, Kevin D/F-7890-2010; Tibpromma, Saowaluck/AAY-9436-2021</t>
  </si>
  <si>
    <t>Karunarathna, Samantha Chandranath/0000-0001-7080-0781</t>
  </si>
  <si>
    <t>Thailand Science Research and Innovation (TSRI) grant Macrofungi diversity research from the Lancang-Mekong watershed and surrounding areas [DBG6280009]; International Postdoctoral Exchange Fellowship Program [Y9180822S1]; CAS President's International Fellowship Initiative (PIFI) [2020PC0009, 2018PC0006]; China Postdoctoral Science Foundation; Yunnan Human Resources, and Social Security Department Foundation; National Science Foundation of China (NSFC) [31750110478, 41761144055, 41771063]</t>
  </si>
  <si>
    <t>Thailand Science Research and Innovation (TSRI) grant Macrofungi diversity research from the Lancang-Mekong watershed and surrounding areas; International Postdoctoral Exchange Fellowship Program; CAS President's International Fellowship Initiative (PIFI); China Postdoctoral Science Foundation(China Postdoctoral Science Foundation); Yunnan Human Resources, and Social Security Department Foundation; National Science Foundation of China (NSFC)(National Natural Science Foundation of China (NSFC))</t>
  </si>
  <si>
    <t>We are grateful to CAS Key Laboratory for Plant Diversity and Biogeography of East Asia, Kunming Institute of Botany, Chinese Academy of Sciences for providing the facilities for molecular phylogenetic experiments and Centre for Mountain Futures, Kunming Institute of Botany for providing the facilities for the morphological studies. Kevin D. Hyde would like to thank Thailand Science Research and Innovation (TSRI) grant Macrofungi diversity research from the Lancang-Mekong watershed and surrounding areas (grant no. DBG6280009) . Saowaluck Tibpromma thanks the International Postdoctoral Exchange Fellowship Program (number Y9180822S1) , CAS President's International Fellowship Initiative (PIFI) (number 2020PC0009) , China Postdoctoral Science Foundation and the Yunnan Human Resources, and Social Security Department Foundation for funding her postdoctoral research. Samantha C. Karunarathna thanks CAS President's International Fellowship Initiative (PIFI) for funding his postdoctoral research (number 2018PC0006) and the National Science Foundation of China (NSFC) for funding this research work under project code 31750110478. Peter E. Mortimer thanks the National Science Foundation of China (NSFC) , project codes 41761144055 and 41771063 for support. Austin Smith at World Agroforestry (ICRAF) , Kunming Institute of Botany, China, is thanked for English editing. Dr Shaun Pennycook is thanked for nomenclatural advice.</t>
  </si>
  <si>
    <t>JAN 6</t>
  </si>
  <si>
    <t>10.11646/phytotaxa.530.1.5</t>
  </si>
  <si>
    <t>YG5MA</t>
  </si>
  <si>
    <t>WOS:000742531300005</t>
  </si>
  <si>
    <t>Liu, LR; Wang, GS; Jia, LK; Kang, JQ; Yang, ZL; Li, YC</t>
  </si>
  <si>
    <t>Liu, Li-Rong; Wang, Geng-Shen; Jia, Liu-Kun; Kang, Ju-Qing; Yang, Zhu-Liang; Li, Yan-Chun</t>
  </si>
  <si>
    <t>Type studies on two Paxillus species (Paxillaceae, Boletales) described from China</t>
  </si>
  <si>
    <t>molecular phylogeny; taxonomy; Boletinellus; Tricholomopsis</t>
  </si>
  <si>
    <t>AMMONIAVIRESCENS; FUNGI</t>
  </si>
  <si>
    <t>Types and recently collected samples of two Paxillus species namely P. rhytidophyllus and P. yunnanensis, originally described from southwestern China, were critically restudied based on morphology and molecular phylogenetic data of DNA sequences from the large subunit of the nuclear ribosomal RNA (nrLSU), the nuclear ribosomal internal transcribed spacer (ITS), and the translation elongation factor 1-alpha (tef1-alpha). The results showed that these two species belong to Boletinellus and Tricholomopsis, respectively. Thus, two new combinations, Boletinellus rhytidophyllus and Tricholomopsis yunnanensis are proposed. Boletinellus rhytidophyllus is characterized by a deeply decurrent and shallow hymenophore which is poroidlamellate to alveolate, slightly thick-walled (0.6-1 mu m) basidiospores, occasionally 2- to 4-spored basidia, rare or infrequent hymenial cystidia, and a trichodermal pileipellis. Tricholomopsis yunnanensis is characterized by a convex pileus densely covered by red-violet to red-brown fibrillose squamules, a yellowish stipe sparsely covered with red to red-brown fibrillose squamules, subglobose to broadly ellipsoid basidiospores, prominent large cheilocystidia measuring 60-195 x 11-39 mu m, and a palisadic pileipellis. New descriptions and line drawings of these two species and their comparisons with allied taxa are presented.</t>
  </si>
  <si>
    <t>Liu, Li-Rong</t>
  </si>
  <si>
    <t>[Liu, Li-Rong; Wang, Geng-Shen; Jia, Liu-Kun; Yang, Zhu-Liang; Li, Yan-Chun] Chinese Acad Sci, Kunming Inst Bot, Key Lab Plant Divers &amp; Biogeog East Asia, Kunming 650201, Yunnan, Peoples R China; [Liu, Li-Rong; Kang, Ju-Qing] Shaanxi Normal Univ, Coll Life Sci, Xian 710119, Peoples R China; [Liu, Li-Rong; Wang, Geng-Shen; Jia, Liu-Kun; Yang, Zhu-Liang; Li, Yan-Chun] Yunnan Key Lab Fungal Divers &amp; Green Dev, Kunming 650201, Yunnan, Peoples R China; [Liu, Li-Rong; Kang, Ju-Qing] Shaanxi Normal Univ, Coll Life Sci, Minist Educ, Key Lab Med Plant Resource &amp; Nat Pharmaceut Chem, Xian 710119, Peoples R China; [Wang, Geng-Shen; Jia, Liu-Kun] Univ Chinese Acad Sci, Beijing 100049, Peoples R China</t>
  </si>
  <si>
    <t>Yang, ZL; Li, YC (通讯作者)，Chinese Acad Sci, Kunming Inst Bot, Key Lab Plant Divers &amp; Biogeog East Asia, Kunming 650201, Yunnan, Peoples R China.;Yang, ZL; Li, YC (通讯作者)，Yunnan Key Lab Fungal Divers &amp; Green Dev, Kunming 650201, Yunnan, Peoples R China.</t>
  </si>
  <si>
    <t>liulirong@mail.kib.ac.cn; wanggengshen@mail.kib.ac.cn; jialiukun@mail.kib.ac.cn; kangjq@snnu.edu.cn; fungi@mail.kib.ac.cn; liyanch@mail.kib.ac.cn</t>
  </si>
  <si>
    <t>Li, Yanchun/0000-0002-7109-9269; Wang, Gengshen/0000-0002-9496-4358</t>
  </si>
  <si>
    <t>National Natural Science Foundation of China [31872618, 31750001, 32070024]; Ten Thousand Talents Program of Yunnan [YNWR-QNBJ-2018-125]; Key Research Program of Frontier Sciences, CAS [QYZDY-SSW-SMC029]; Natural Science Basic Research Program of Shaanxi [2020JM-285]</t>
  </si>
  <si>
    <t>National Natural Science Foundation of China(National Natural Science Foundation of China (NSFC)); Ten Thousand Talents Program of Yunnan; Key Research Program of Frontier Sciences, CAS; Natural Science Basic Research Program of Shaanxi</t>
  </si>
  <si>
    <t>We are grateful to Drs. X.-H. Wang and R. Zhang (Kunming Institute of Botany, Chinese Academy of Sciences), Prof. J.-F. Liang (Research Institute of Tropical Forestry, Chinese Academy of Forestry) for providing related pictures. This study was financially supported by the National Natural Science Foundation of China (Nos. 31872618, 31750001, 32070024), the Ten Thousand Talents Program of Yunnan (YNWR-QNBJ-2018-125), the Key Research Program of Frontier Sciences, CAS (QYZDY-SSW-SMC029), and the Natural Science Basic Research Program of Shaanxi (2020JM-285). We thank the two anonymous reviewers for their corrections and suggestions to improve our work.</t>
  </si>
  <si>
    <t>JAN 10</t>
  </si>
  <si>
    <t>10.11646/phytotaxa.530.2.4</t>
  </si>
  <si>
    <t>YH9HD</t>
  </si>
  <si>
    <t>WOS:000743469500004</t>
  </si>
  <si>
    <t>Herrera, M; Yu, FQ; Ramos-Rendon, D; Martinez-Reyes, M; Hernandez-Santiago, F; Chater, CCC; Perez-Moreno, J</t>
  </si>
  <si>
    <t>Herrera, Mariana; Yu, Fu-Qiang; Ramos-Rendon, David; Martinez-Reyes, Magdalena; Hernandez-Santiago, Faustino; Chater, Caspar C. C.; Perez-Moreno, Jesus</t>
  </si>
  <si>
    <t>MORPHOANATOMICAL AND PHYLOGENETIC CHARACTERIZATION OF THE ECTOMYCORRHIZA BETWEEN LACCARIA SQUARROSA WITH PINUS PSEUDOSTROBUS AND ITS RELEVANCE FOR REFORESTATION PROGRAMS</t>
  </si>
  <si>
    <t>BOTANICAL SCIENCES</t>
  </si>
  <si>
    <t>Ectomycorrhizal symbiosis; edible wild mushrooms; inoculants; Neotropics; pines</t>
  </si>
  <si>
    <t>PRIMARY SUCCESSION; DOUGLAS-FIR; FUNGUS; FOREST; MONTEZUMAE; GROWTH</t>
  </si>
  <si>
    <t>Background: Pinus (Coniferophyta) and Laccaria (Basidiomycota) establish ectomycorrhizal symbioses in natural forests. However, their detailed morphoanatomical and phylogenetic characterization have received little attention. Accurate identification of native host symbionts is of paramount relevance to the production of mycorrhized seedlings for successful reforestation programs. Questions/Objective: We aimed to determine if L. squarrosa is able to establish ectomycorrhizal symbiosis with gymnosperms, thereby widening its host range and highlighting its relevance as a potential inoculant for pine seedlings. Currently, L. squarrosa is only known from its type collection associated with the angiosperm Fagus grandifolia var. mexicana. Studied species: The fungus L. squarrosa and Pinus pseudostrobus, a tree endemic to Mexico. Study site and dates: A Pinus-Quercus forest in Piedra Canteada, Nanacamilpa, Tlaxcala; 2018-2020. Methods: L. squarrosa basidiomata were identified and ectomycorrhizal roots were collected and morphoanatomically characterized. For molecular identification, DNA was extracted, PCR was performed targeting the nuclear ribosomal internal transcribed spacer region (nucrDNA ITS) for the mycobiont identification and the chloroplastic single-locus trnL region for the phytobiont. Results: In the phylogenetic analyses, our sequences from basidiomata and ectomycorrhizae clustered together with L. squarrosa with high values of supporting identity. Meanwhile, P. pseudostrobus was molecularly identified as the phytobiont. Conclusions: This is one of the few worldwide characterizations of Laccaria ectomycorrhiza under field conditions and contributes to the understanding of the ecology, distribution, and economic relevance of the symbiotic association. Our data suggest that L. squarrosa has potential for use as a native inoculant for P. pseudostrobus tree production.</t>
  </si>
  <si>
    <t>[Herrera, Mariana; Yu, Fu-Qiang] Chinese Acad Sci, Kunming Inst Bot, Yunnan Key Lab Fungal Divers &amp; Green Dev, Germplasm Bank Wild Species, Kunming, Yunnan, Peoples R China; [Martinez-Reyes, Magdalena; Hernandez-Santiago, Faustino; Perez-Moreno, Jesus] Colegio Postgrad, Edafol, Campus Montecillo, Texcoco, Mexico; [Hernandez-Santiago, Faustino] Univ Intercultural Estado Mexico, Campus Tepetlixpa, Tepetlixpa, Mexico; [Chater, Caspar C. C.] Royal Bot Gardens, Dept Nat Capital &amp; Plant Hlth, Richmond, Surrey, England</t>
  </si>
  <si>
    <t>Chinese Academy of Sciences; Kunming Institute of Botany, CAS; Colegio de Postgraduados - Mexico; Royal Botanic Gardens, Kew</t>
  </si>
  <si>
    <t>Perez-Moreno, J (通讯作者)，Colegio Postgrad, Edafol, Campus Montecillo, Texcoco, Mexico.</t>
  </si>
  <si>
    <t>jperezm@colpos.mx</t>
  </si>
  <si>
    <t>Perez-Moreno, Jesus/HGC-6312-2022; Herrera, Mariana/X-2976-2018</t>
  </si>
  <si>
    <t>Perez-Moreno, Jesus/0000-0001-5216-8313; Herrera, Mariana/0000-0001-5832-9667; MARTINEZ REYES, MAGDALENA/0000-0003-2352-917X; Chater, Caspar/0000-0003-2058-2020</t>
  </si>
  <si>
    <t>Mexican Council of Science and Technology (CONACyT)-PRONACES Food Sovereignty [FOP07-2021-03, 316198]</t>
  </si>
  <si>
    <t>Mexican Council of Science and Technology (CONACyT)-PRONACES Food Sovereignty</t>
  </si>
  <si>
    <t>The first author thanks the China-Latin America Young Scientists Exchange Program (2017) from the Ministry of Science and Technology of China. Financial support from the Mexican Council of Science and Technology (CONACyT)-PRONACES Food Sovereignty FOP07-2021-03 Project 316198 is also gratefully acknowledged. The authors also deeply acknowledge the valuable collaboration of Aurelio Hernandez-Lopez, Ascension Guzman Garcia, Eliseo Guzman Brindis, Sixto Guzman Rivera, Juan Jose Morales Perez y Lucia Garcia Guzman (members of the Social Solidarity Society Piedra Canteada from San Felipe Hidalgo community in Nanacamilpa, Tlaxcala) during the fieldwork and sampling of this research. We are also grateful to two anonymous reviewers for a revision and helpful comments that improved the manuscript.</t>
  </si>
  <si>
    <t>SOC BOTANICA MEXICO</t>
  </si>
  <si>
    <t>MEXICO</t>
  </si>
  <si>
    <t>APARTADO POSTAL 70-385  DELEGACION COYOACAN, CIUDAD UNIV, MEXICO, D F 00000, MEXICO</t>
  </si>
  <si>
    <t>2007-4298</t>
  </si>
  <si>
    <t>2007-4476</t>
  </si>
  <si>
    <t>BOT SCI</t>
  </si>
  <si>
    <t>Bot. Sci.</t>
  </si>
  <si>
    <t>APR-JUN</t>
  </si>
  <si>
    <t>10.17129/botsci.2830</t>
  </si>
  <si>
    <t>0B3AA</t>
  </si>
  <si>
    <t>WOS:000750868900001</t>
  </si>
  <si>
    <t>Chen, YP; Sun, ZP; Xiao, JF; Yan, KJ; Xiang, CL</t>
  </si>
  <si>
    <t>Chen, Ya-Ping; Sun, Zeng-Peng; Xiao, Jin-Fei; Yan, Ke-Jian; Xiang, Chun-Lei</t>
  </si>
  <si>
    <t>Paraphlomis longicalyx (Lamiaceae), a New Species from the Limestone Area of Guangxi and Guizhou Provinces, Southern China</t>
  </si>
  <si>
    <t>SYSTEMATIC BOTANY</t>
  </si>
  <si>
    <t>Calyx; molecular phylogenetics; morphology; Paraphlomideae</t>
  </si>
  <si>
    <t>CLASSIFICATION; PHYLOGENY</t>
  </si>
  <si>
    <t>The genus Paraphlomis (Lamiaceae) consists of approximately 30 species, most of which are restricted to the subtropical area of China. In this study, P. longicalyx Y.P.Chen &amp; C.L.Xiang, a new species from southern China, is described and illustrated. Molecular phylogenetic analyses implemented based on two nuclear ribosomal DNA and four plastid DNA regions showed that P. longicalyx is a distinct lineage from all morphologically similar species within the genus. Morphological examination demonstrated that the new species is most similar to P. javanica and P. foliata, but can be distinguished from these species by its densely hispidulous surfaces, much longer calyces, and pale-yellow corollas with reddish-purple spots on the lower lips.</t>
  </si>
  <si>
    <t>[Chen, Ya-Ping; Xiao, Jin-Fei; Xiang, Chun-Lei] Chinese Acad Sci, Kunming Inst Bot, CAS Key Lab Plant Divers &amp; Biogeog East Asia, 132 Lanhei Rd, Kunming 650201, Yunnan, Peoples R China; [Sun, Zeng-Peng] Yunnan Univ, Sch Life Sci, East Outer Ring Rd, Kunming 650091, Yunnan, Peoples R China; [Xiao, Jin-Fei] Univ Chinese Acad Sci, 19 Yuquan Rd, Beijing 100049, Peoples R China; [Yan, Ke-Jian] Guangxi Inst Chinese Med &amp; Pharmaceut Sci, 20-1 Dongge Rd, Nanning 530022, Guangxi, Peoples R China</t>
  </si>
  <si>
    <t>Xiang, CL (通讯作者)，Chinese Acad Sci, Kunming Inst Bot, CAS Key Lab Plant Divers &amp; Biogeog East Asia, 132 Lanhei Rd, Kunming 650201, Yunnan, Peoples R China.</t>
  </si>
  <si>
    <t>National Natural Science Foundation of China [31800168, 31872648]; Yunnan Fundamental Research Projects [2019FI009]; Ten Thousand Talents Program of Yunnan [YNWR-QNBJ-2018-279]; CAS Light of West China program</t>
  </si>
  <si>
    <t>National Natural Science Foundation of China(National Natural Science Foundation of China (NSFC)); Yunnan Fundamental Research Projects; Ten Thousand Talents Program of Yunnan; CAS Light of West China program</t>
  </si>
  <si>
    <t>We would like to thank the staff of following herbaria for their kind assistance in research facilities: BM, CDBI, E, HIB, IBK, IBSC, K, KUN, KYO, NAS, PE, SZ, TI. Thanks are also given to Dr. Guo-Xiong Hu, Dr. Ying Tang, Dr. Lin-Bo Jia, and Dr. Jian Huang for their help during field collection. We are grateful to Dr. Trevor C. Wilson from the National Herbarium of New South Wales, Australia for improving the English. Our manuscript also benefitted greatly from the constructive comments of two anonymous reviewers and Dr. Luciano Paganucci de Queiroz. This work was supported by the National Natural Science Foundation of China (31800168 &amp; 31872648), the Yunnan Fundamental Research Projects (2019FI009), the Ten Thousand Talents Program of Yunnan (YNWR-QNBJ-2018-279), and the CAS Light of West China program.</t>
  </si>
  <si>
    <t>AMER SOC PLANT TAXONOMISTS</t>
  </si>
  <si>
    <t>LARAMIE</t>
  </si>
  <si>
    <t>UNIV WYOMING, DEPT BOTANY 3165, 1000 E UNIVERSITY AVE, LARAMIE, WY 82071 USA</t>
  </si>
  <si>
    <t>0363-6445</t>
  </si>
  <si>
    <t>1548-2324</t>
  </si>
  <si>
    <t>SYST BOT</t>
  </si>
  <si>
    <t>Syst. Bot.</t>
  </si>
  <si>
    <t>JAN-MAR</t>
  </si>
  <si>
    <t>10.1600/036364422X16442668423572</t>
  </si>
  <si>
    <t>2J6PM</t>
  </si>
  <si>
    <t>WOS:000815776200019</t>
  </si>
  <si>
    <t>Martine, E; Zeuss, D; Lampei, C; Sun, H; Miehe, G; Opgenoorth, L</t>
  </si>
  <si>
    <t>Martine, Eric; Zeuss, Dirk; Lampei, Christian; Sun, Hang; Miehe, Georg; Opgenoorth, Lars</t>
  </si>
  <si>
    <t>The South Asian monsoon maintains the disjunction of Rumex hastatus between the western Himalayas and the Hengduan Mountains, southwest China</t>
  </si>
  <si>
    <t>NORDIC JOURNAL OF BOTANY</t>
  </si>
  <si>
    <t>down-sampling; ecological barrier; ecological niche modeling; niche divergence; random forest</t>
  </si>
  <si>
    <t>MADREAN-TETHYAN; POTENTIAL DISTRIBUTION; DISTRIBUTION MODELS; PLANT DISJUNCTIONS; TIBETAN PLATEAU; RANDOM FORESTS; CLIMATE-CHANGE; EVOLUTION; BIODIVERSITY; UPLIFT</t>
  </si>
  <si>
    <t>The Himalayas and the Hengduan Mountains of southwest China are hotspots of both climatic and species diversity. Yet, the distribution patterns of semi-arid plant communities that have arisen throughout the region's complex uplift history remain insufficiently understood. In particular, the striking disjunctions of plants associated with dry river valleys that solely occur on the eastern and western ends of the Himalayan arc, but are absent in between, lack a sound explanation. Here we aim to disentangle the more recent environmental drivers behind the disjunction of the semi-woody shrub Rumex hastatus found in dry river valleys of the western Himalayas and the Hengduan Mountains. We used ecological niche modeling and enhanced random forest parameterizations (down-sampling) to infer suitable and unsuitable habitats within the study area during the last glacial maximum, under present climate conditions, and under four future climate scenarios. Annual and seasonal precipitation contributed the strongest to the discrimination between occurrences and the distribution gap, with the latter showing much higher rainfall amounts. The gap was also characterized by low overall habitat suitability, whereas occurrence probabilities in dry river valleys inhabited by R. hastatus were very high. However, some suitable but isolated habitats within the gap were detected in Bhutan and the southeastern Tibetan Plateau. The identified distribution gap was consistent in all simulated scenarios from the last glacial maximum to the near future. Our results suggest that the South Asian summer monsoon system acts as a persistent ecological barrier maintaining the disjunct distribution of dry river valley-dwelling plants in the western Himalayas and the Hengduan Mountains.</t>
  </si>
  <si>
    <t>Martine, Eric</t>
  </si>
  <si>
    <t>[Martine, Eric; Lampei, Christian; Opgenoorth, Lars] Univ Marburg, Fac Biol, Plant Ecol &amp; Geobot, Marburg, Germany; [Zeuss, Dirk] Univ Marburg, Fac Geog, Environm Informat, Marburg, Germany; [Miehe, Georg] Univ Marburg, Fac Geog, Biogeog &amp; High Mt Res, Marburg, Germany; [Sun, Hang] Chinese Acad Sci, CAS Key Lab Plant Divers &amp; Biogeog East Asia, Kunming Inst Bot, Kunming, Yunnan, Peoples R China</t>
  </si>
  <si>
    <t>Philipps University Marburg; Philipps University Marburg; Philipps University Marburg; Chinese Academy of Sciences; Kunming Institute of Botany, CAS</t>
  </si>
  <si>
    <t>Martine, E (通讯作者)，Univ Marburg, Fac Biol, Plant Ecol &amp; Geobot, Marburg, Germany.</t>
  </si>
  <si>
    <t>eric.martine@web.de</t>
  </si>
  <si>
    <t>Lampei, Christian/Z-2465-2019; Martiné, Eric/GMW-5455-2022</t>
  </si>
  <si>
    <t>Lampei, Christian/0000-0003-2866-2869; Martiné, Eric/0000-0003-1451-0506; Sun, Hang/0000-0001-5127-4579</t>
  </si>
  <si>
    <t>Projekt DEAL</t>
  </si>
  <si>
    <t>We kindly thank Suzanne Cubey from the Royal Botanic Garden Edinburgh (RBGE) for providing herbarium specimens. We also thank Jill Sekely and Barbara Diez for their insightful comments that greatly improved the manuscript. Open Access funding enabled and organized by Projekt DEAL.</t>
  </si>
  <si>
    <t>0107-055X</t>
  </si>
  <si>
    <t>1756-1051</t>
  </si>
  <si>
    <t>NORD J BOT</t>
  </si>
  <si>
    <t>Nord. J. Bot.</t>
  </si>
  <si>
    <t>10.1111/njb.03706</t>
  </si>
  <si>
    <t>7W0KV</t>
  </si>
  <si>
    <t>WOS:000871399500001</t>
  </si>
  <si>
    <t>Han, MQ; Ya, JD; Li, CQ; Cai, J</t>
  </si>
  <si>
    <t>Han, Meng-Qi; Ya, Ji-Dong; Li, Chao-Qun; Cai, Jie</t>
  </si>
  <si>
    <t>Petrocosmea purpureomaculata sp. nov. and P. wui sp. nov. (Gesneriaceae) from Yunnan, China with additions to P. coerulea and P. parryorum</t>
  </si>
  <si>
    <t>Flora of Yunnan; Karst habitats; marlstone; Petrocosmea coerulea; P; parryorum</t>
  </si>
  <si>
    <t>Two new species of Petrocosmea (Gesneriaceae), P. purpureomaculata M.Q. Han, J. Cai &amp; J. D. Ya from Jinping County and P. wui M.Q. Han, J. Cai &amp; J. D. Ya from Eshan County, Yunnan Province, China, are described and illustrated. Petrocosmea wui was previously misidentified as P. coerulea due to its shield-shaped leaf base, but can be distinguished by several salient characters. Petrocosmea purpureomaculata is most similar to but distinguishable from P. parryorum. Additions and revisions of previously published descriptions of P. coerulea and P. parryorum, are also provided.</t>
  </si>
  <si>
    <t>Han, Meng-Qi</t>
  </si>
  <si>
    <t>[Han, Meng-Qi] Chinese Acad Sci, Inst Bot, State Key Lab Systemat &amp; Evolutionary Bot, Beijing, Peoples R China; [Han, Meng-Qi] Univ Chinese Acad Sci, Beijing, Peoples R China; [Ya, Ji-Dong; Cai, Jie] Chinese Acad Sci, Kunming Inst Bot, Germplasm Bank Wild Species, Kunming, Yunnan, Peoples R China; [Li, Chao-Qun] Shandong Univ, Sch Environm Sci &amp; Engn, Shandong Key Lab Water Pollut Control &amp; Resource, Qingdao, Shandong, Peoples R China</t>
  </si>
  <si>
    <t>Chinese Academy of Sciences; Institute of Botany, CAS; Chinese Academy of Sciences; University of Chinese Academy of Sciences, CAS; Chinese Academy of Sciences; Kunming Institute of Botany, CAS; Shandong University</t>
  </si>
  <si>
    <t>Cai, J (通讯作者)，Chinese Acad Sci, Kunming Inst Bot, Germplasm Bank Wild Species, Kunming, Yunnan, Peoples R China.</t>
  </si>
  <si>
    <t>j.cai@mail.kib.ac.cn</t>
  </si>
  <si>
    <t>Li, Chao/GSM-8117-2022</t>
  </si>
  <si>
    <t>Li, Chao/0000-0001-6110-6210; Cai, Jie/0000-0003-1627-3700</t>
  </si>
  <si>
    <t>National Wild Plant Germplasm Resource Center</t>
  </si>
  <si>
    <t>The study was supported by National Wild Plant Germplasm Resource Center.</t>
  </si>
  <si>
    <t>e03568</t>
  </si>
  <si>
    <t>10.1111/njb.03568</t>
  </si>
  <si>
    <t>2H8NC</t>
  </si>
  <si>
    <t>WOS:000768415100001</t>
  </si>
  <si>
    <t>Hu, XX; Huang, ZF; Lu, GS; Huang, JY; Li, XN; Tan, X; Feng, D</t>
  </si>
  <si>
    <t>Hu, X. X.; Huang, Z. F.; Lu, G. S.; Huang, J. Y.; Li, X. N.; Tan, X.; Feng, D.</t>
  </si>
  <si>
    <t>Synthesis, Crystal Structures, and Cytotoxic Activity of Two Acetyl Chroman Derivatives</t>
  </si>
  <si>
    <t>RUSSIAN JOURNAL OF ORGANIC CHEMISTRY</t>
  </si>
  <si>
    <t>acetyl chroman derivative; X-ray analysis; crystal structures; cytotoxicity</t>
  </si>
  <si>
    <t>Two acetyl chroman derivative, 1-(5,7-dihydroxy-2,2-dimethylchroman-8-yl)ethan-1-one (1) and 1-(5,7-dihydroxy-2,2-dimethylchroman-6-yl)ethan-1-one (2) were synthesized as intermediate products in the preparation of flavonoids. Their structures were characterized by NMR and IR and confirmed by high-resolution mass spectra and single crystal X-ray analysis. The inhibitory effects of the synthesized compounds on the growth of A549, HepG2, SW480, and MCF-7 cancer cell lines were evaluated by the CCK8 methods. Compound 1 showed cytotoxicity against HepG2, SW480, and MCF-7 cell lines with IC50 values of 12.85, 23.94, and 28.72 mu M, respectively, and compound 2 showed cytotoxicity against HepG2 and MCF-7 cell lines with IC50 values of 24.78 and 23.87 mu M, respectively.</t>
  </si>
  <si>
    <t>Hu, X. X.</t>
  </si>
  <si>
    <t>[Hu, X. X.; Huang, Z. F.; Lu, G. S.; Huang, J. Y.; Tan, X.; Feng, D.] Guangxi Inst Tradit Med &amp; Pharmaceut Sci, Key Lab Tradit Chinese Med Qual Stand, Nanning 530022, Peoples R China; [Li, X. N.] Chinese Acad Sci, Kunming Inst Bot, Kunming 650000, Peoples R China</t>
  </si>
  <si>
    <t>Hu, XX (通讯作者)，Guangxi Inst Tradit Med &amp; Pharmaceut Sci, Key Lab Tradit Chinese Med Qual Stand, Nanning 530022, Peoples R China.</t>
  </si>
  <si>
    <t>huxiaoxi0124@126.com</t>
  </si>
  <si>
    <t>Natural Science Foundation of Guangxi Province [2019GXNSFAA245081]</t>
  </si>
  <si>
    <t>Natural Science Foundation of Guangxi Province(National Natural Science Foundation of Guangxi Province)</t>
  </si>
  <si>
    <t>This work was supported by the Natural Science Foundation of Guangxi Province (2019GXNSFAA245081).</t>
  </si>
  <si>
    <t>MAIK NAUKA/INTERPERIODICA/SPRINGER</t>
  </si>
  <si>
    <t>233 SPRING ST, NEW YORK, NY 10013-1578 USA</t>
  </si>
  <si>
    <t>1070-4280</t>
  </si>
  <si>
    <t>1608-3393</t>
  </si>
  <si>
    <t>RUSS J ORG CHEM+</t>
  </si>
  <si>
    <t>Russ. J. Organ. Chem.</t>
  </si>
  <si>
    <t>10.1134/S1070428022120156</t>
  </si>
  <si>
    <t>http://dx.doi.org/10.1134/S1070428022120156</t>
  </si>
  <si>
    <t>9A0SN</t>
  </si>
  <si>
    <t>WOS:000933777000015</t>
  </si>
  <si>
    <t>Yan, YX; Yan, LJ; Wang, YC; Qiu, MH</t>
  </si>
  <si>
    <t>Yan, Yu-Xin; Yan, Li-Jun; Wang, Yong-Chao; Qiu, Ming-Hua</t>
  </si>
  <si>
    <t>A NEW LIMONOID FROM Azadirachta indica</t>
  </si>
  <si>
    <t>CHEMISTRY OF NATURAL COMPOUNDS</t>
  </si>
  <si>
    <t>Meliaceae; Azadirachta indica; 3-acetoxy-7-(2 '-methylpropenoyl)-vilasinin lactone</t>
  </si>
  <si>
    <t>A. JUSS.; SEEDS</t>
  </si>
  <si>
    <t>A new limonoid, 3-acetoxy-7-(2'-methylpropenoyl)-vilasinin lactone (1), together with a known analogue, 3-acetoxy-7-tigloylvilasinin lactone (2), was isolated from the leaves and stems of Azadirachta indica. Their structures were elucidated based on spectral methods and by comparison with the literature.</t>
  </si>
  <si>
    <t>[Yan, Yu-Xin; Yan, Li-Jun; Wang, Yong-Chao] Yunnan Normal Univ, Coll Vocat &amp; Tech Educ, Kunming 650092, Yunnan, Peoples R China; [Yan, Yu-Xin; Qiu, Ming-Hua] Chinese Acad Sci, Kunming Inst Bot, State Key Lab Phytochem &amp; Plant Resources West Ch, Kunming 650204, Yunnan, Peoples R China</t>
  </si>
  <si>
    <t>Yan, YX (通讯作者)，Yunnan Normal Univ, Coll Vocat &amp; Tech Educ, Kunming 650092, Yunnan, Peoples R China.;Yan, YX; Qiu, MH (通讯作者)，Chinese Acad Sci, Kunming Inst Bot, State Key Lab Phytochem &amp; Plant Resources West Ch, Kunming 650204, Yunnan, Peoples R China.</t>
  </si>
  <si>
    <t>549723642@qq.com; mhchiu@mail.kib.ac.cn</t>
  </si>
  <si>
    <t>National Natural Science Foundation of China [82003616]; Foundation of State Key Laboratory of Phytochemistry and Plant Resources in West China [P2010-ZZ14]</t>
  </si>
  <si>
    <t>National Natural Science Foundation of China(National Natural Science Foundation of China (NSFC)); Foundation of State Key Laboratory of Phytochemistry and Plant Resources in West China</t>
  </si>
  <si>
    <t>This work was financially supported by the National Natural Science Foundation of China (Grant No. 82003616) as well as the Foundation of State Key Laboratory of Phytochemistry and Plant Resources in West China (P2010-ZZ14).</t>
  </si>
  <si>
    <t>0009-3130</t>
  </si>
  <si>
    <t>1573-8388</t>
  </si>
  <si>
    <t>CHEM NAT COMPD+</t>
  </si>
  <si>
    <t>Chem. Nat. Compd.</t>
  </si>
  <si>
    <t>10.1007/s10600-022-03715-9</t>
  </si>
  <si>
    <t>Chemistry, Medicinal; Chemistry, Organic</t>
  </si>
  <si>
    <t>Pharmacology &amp; Pharmacy; Chemistry</t>
  </si>
  <si>
    <t>2S6KN</t>
  </si>
  <si>
    <t>WOS:000814025200028</t>
  </si>
  <si>
    <t>Fan, BB; Liu, JX; Hu, HJ; Zhang, YM</t>
  </si>
  <si>
    <t>Fan, Bin-Bin; Liu, Jia-Xiang; Hu, Hai-Jun; Zhang, Yu-Mei</t>
  </si>
  <si>
    <t>A New Triterpene from Metadina trichotoma</t>
  </si>
  <si>
    <t>Metadina trichotoma; triterpenoid; glucose uptake</t>
  </si>
  <si>
    <t>ACID; CONSTITUENTS; GLYCOSIDES; TRANSPORT; SAPONINS; LEAVES; FRUIT</t>
  </si>
  <si>
    <t>One new triterpene, 6 alpha-hydroxyilexosapogenin A (1), and nine known compounds were isolated from Metadina trichotoma. Their structures were mainly elucidated by NMR and MS spectra. As evidenced by a glucose concentration assay, compound 2 can stimulate glucose uptake in 3T3-L1 adipocytes and is the first pyrocincholic acid type triterpenoid that shows promoting glucose uptake activity.</t>
  </si>
  <si>
    <t>Fan, Bin-Bin</t>
  </si>
  <si>
    <t>[Fan, Bin-Bin; Liu, Jia-Xiang; Zhang, Yu-Mei] Chinese Acad Sci, Key Lab Trop Plant Resources &amp; Sustainable Use, Xishuangbanna Trop Bot Garden, Kunming 650223, Yunnan, Peoples R China; [Fan, Bin-Bin; Liu, Jia-Xiang; Hu, Hai-Jun] Univ Chinese Acad Sci, Beijing 100049, Peoples R China; [Hu, Hai-Jun] Chinese Acad Sci, Kunming Inst Bot, State Key Lab Phytochem &amp; Plant Resources West Ch, Kunming 650204, Yunnan, Peoples R China</t>
  </si>
  <si>
    <t>Chinese Academy of Sciences; Xishuangbanna Tropical Botanical Garden, CAS; Chinese Academy of Sciences; University of Chinese Academy of Sciences, CAS; Chinese Academy of Sciences; Kunming Institute of Botany, CAS</t>
  </si>
  <si>
    <t>Zhang, YM (通讯作者)，Chinese Acad Sci, Key Lab Trop Plant Resources &amp; Sustainable Use, Xishuangbanna Trop Bot Garden, Kunming 650223, Yunnan, Peoples R China.</t>
  </si>
  <si>
    <t>zymei@xtbg.ac.cn</t>
  </si>
  <si>
    <t>Fan, Bin/HKN-3438-2023</t>
  </si>
  <si>
    <t>Institute of Drug Innovation of the Chinese Academy of Sciences [CASIMM0520181002]; Special Project for Environmental Protection in Yunnan Province</t>
  </si>
  <si>
    <t>Institute of Drug Innovation of the Chinese Academy of Sciences; Special Project for Environmental Protection in Yunnan Province</t>
  </si>
  <si>
    <t>This investigation was supported by grants from the Institute of Drug Innovation of the Chinese Academy of Sciences (Grant No. CASIMM0520181002), and the Special Project for Environmental Protection in Yunnan Province (Grant No. E1YN051K). Binbin Fan and Jiaxiang Liu contributed equally to this work.</t>
  </si>
  <si>
    <t>10.1007/s10600-022-03663-4</t>
  </si>
  <si>
    <t>1I1CO</t>
  </si>
  <si>
    <t>WOS:000789721700006</t>
  </si>
  <si>
    <t>Zhang, X; Ge, J; Ruan, ZY; Gao, Y; An, J; Wu, G</t>
  </si>
  <si>
    <t>Zhang, X.; Ge, J.; Ruan, Z. Y.; Gao, Y. Q.; An, J.; Wu, G.</t>
  </si>
  <si>
    <t>CHARACTERIZING THE SOIL PROPERTIES AND MICROBIAL DIVERSITY ASSOCIATED TO THE ENDANGERED BUDDLEJA SESSILIFOLIA</t>
  </si>
  <si>
    <t>APPLIED ECOLOGY AND ENVIRONMENTAL RESEARCH</t>
  </si>
  <si>
    <t>soil microbiome; metagenome; PSESP; Buddleja; ex-situ conservation; Scrophulariaceae</t>
  </si>
  <si>
    <t>PLANT-GROWTH; POTASSIUM; RHIZOSPHERE; CONSERVATION; BIODIVERSITY; COMMUNITIES; ECOSYSTEM; ARCHAEA; STRESS; BULK</t>
  </si>
  <si>
    <t>Buddleja sessilifolia is a plant species with extremely small populations (PSESP) in southwest China. The trial of transplantation failed in our Buddleja outdoor garden, and only succeeded in the flowerpots of greenhouse. In this study, we conducted metagenomic analyses on microbial diversity in bulk soil from wild habitat of B. sessilifolia, the Buddleja garden and the B. sessilifolia pots of greenhouse, and meanwhile analyzed soil physicochemical properties. We aimed to uncover the related soil factors which may influence the transplantation of B. sessilifolia. Our results showed the bulk soil from the wild habitat of B. sessilifolia and the B. sessilifolia pots had significantly richer total potassium content than that from the Buddleja garden. Bacterial order Rhizobiales and archaeal class Nitrososphaeria showed a higher diversity in both the wild habitat and the pot than the garden. Furthermore, soil total potassium content was the most correlated to bacterial community structure of the bulk soil, while soil total nitrogen content and total phosphorus content were most important to archaeal and fungal community structures. We accordingly inferred that B. sessilifolia had a high demand on potassium and microbial Rhizobiales and Nitrososphaeria in soil for its survival. Our findings will contribute to the ex-situ conservation of B. sessilifolia.</t>
  </si>
  <si>
    <t>Zhang, X.</t>
  </si>
  <si>
    <t>[Zhang, X.; Ruan, Z. Y.; Gao, Y. Q.; An, J.] Yunnan Forestry Technol Coll, Coll Hort &amp; Landscape, Kunming 650224, Peoples R China; [Ge, J.; Wu, G.] Chinese Acad Sci, Kunming Inst Bot, CAS Key Lab Plant Divers &amp; Biogeog East Asia, Kunming 650201, Peoples R China; [Ge, J.] Yunnan Key Lab Integrat Conservat Plant Species Ex, Kunming 650201, Peoples R China</t>
  </si>
  <si>
    <t>Wu, G (通讯作者)，Chinese Acad Sci, Kunming Inst Bot, CAS Key Lab Plant Divers &amp; Biogeog East Asia, Kunming 650201, Peoples R China.</t>
  </si>
  <si>
    <t>wugang@mail.kib.ac.cn</t>
  </si>
  <si>
    <t>Doctoral Fund of Yunnan Forestry Technological College [KY (BS) 201801]; National Natural Science Foundation of China [32071653]; Yunnan Young &amp; Elite Talents Project</t>
  </si>
  <si>
    <t>Doctoral Fund of Yunnan Forestry Technological College; National Natural Science Foundation of China(National Natural Science Foundation of China (NSFC)); Yunnan Young &amp; Elite Talents Project</t>
  </si>
  <si>
    <t>The authors are grateful to Ms. Gui-Fen Luo for caring the seedlings in the pot of greenhouse. They also thank Prof. Wei -Bang Sun, the director of Kunming Botanic Garden, for allowing to transplant Buddleja sessilifolia in the garden, and Dr. Gao Chen at Kunming Institute of Botany, Chinese Academy of Sciences, for his assistance on sampling. The anonymous reviewers are also thanked for their constructive suggestions and comments. This research was supported by the Doctoral Fund of Yunnan Forestry Technological College [grant number KY (BS) 201801] , the National Natural Science Foundation of China (32071653) and Yunnan Young &amp; Elite Talents Project.</t>
  </si>
  <si>
    <t>CORVINUS UNIV BUDAPEST</t>
  </si>
  <si>
    <t>BUDAPEST</t>
  </si>
  <si>
    <t>VILLANYI UT 29/43, BUDAPEST, H-1118, HUNGARY</t>
  </si>
  <si>
    <t>1589-1623</t>
  </si>
  <si>
    <t>1785-0037</t>
  </si>
  <si>
    <t>APPL ECOL ENV RES</t>
  </si>
  <si>
    <t>Appl. Ecol. Environ. Res.</t>
  </si>
  <si>
    <t>10.15666/aeer/2101_735752</t>
  </si>
  <si>
    <t>http://dx.doi.org/10.15666/aeer/2101_735752</t>
  </si>
  <si>
    <t>Ecology; Environmental Sciences</t>
  </si>
  <si>
    <t>8P3NK</t>
  </si>
  <si>
    <t>WOS:000926431800001</t>
  </si>
  <si>
    <t>Yang, B; Ya, JD; Tong, YH; Wang, PY; Liu, C; Zhao, WL; Liu, Z; Tan, YH</t>
  </si>
  <si>
    <t>Yang, Bin; Ya, Ji-Dong; Tong, Yi-Hua; Wang, Ping-Yuan; Liu, Cheng; Zhao, Wang-Lin; Liu, Zhen; Tan, Yun-Hong</t>
  </si>
  <si>
    <t>Agapetes huangiana (Ericaceae), a new species from Southeast Xizang, China</t>
  </si>
  <si>
    <t>TAIWANIA</t>
  </si>
  <si>
    <t>Agapetes epacridea; A; guangxiensis; floristic exploration; M?dog; morphology; Taxonomy</t>
  </si>
  <si>
    <t>ORCHIDACEAE</t>
  </si>
  <si>
    <t>Agapetes huangiana Bin Yang, Y.H.Tan &amp; Y.H.Tong (Ericaceae) is described and illustrated as a new species endemic to Xizang, China. It is morphologically similar to A. guangxiensis D. Fang and A. epacridea Airy Shaw, but clearly differs in having thinly leathery leaf blades with verrucose-scabrid trichomes abaxially, shorter pedicel, and densely white-puberulent calyx and corolla.</t>
  </si>
  <si>
    <t>Yang, Bin</t>
  </si>
  <si>
    <t>[Yang, Bin; Wang, Ping-Yuan; Tan, Yun-Hong] Chinese Acad Sci, Chinese Acad Sci Ctr Integrat Conservat, Southeast Asia Biodivers Res Inst, Xishuangbanna Trop Bot Garden, Mengla 666303, Yunnan, Peoples R China; [Yang, Bin; Wang, Ping-Yuan; Tan, Yun-Hong] Chinese Acad Sci, Ctr Conservat Biol, Core Bot Gardens, Mengla 666303, Yunnan, Peoples R China; [Ya, Ji-Dong; Liu, Cheng] Chinese Acad Sci, Kunming Inst Bot, Germplasm Bank Wild Species, Kunming 650201, Yunnan, Peoples R China; [Tong, Yi-Hua] Chinese Acad Sci, Key Lab Plant Resources Conservat &amp; Sustainable U, South China Bot Garden, Guangzhou 510650, Peoples R China; [Zhao, Wang-Lin] Chinese Acad Sci, Motuo Observat &amp; Res Ctr Earth Landscape &amp; Earth, Linzhi 860712, Xizang, Peoples R China; [Liu, Zhen] Motuo Forestry &amp; Grassland Bur, Motuo 860700, Xizang, Peoples R China</t>
  </si>
  <si>
    <t>Chinese Academy of Sciences; Xishuangbanna Tropical Botanical Garden, CAS; Chinese Academy of Sciences; Chinese Academy of Sciences; Kunming Institute of Botany, CAS; Chinese Academy of Sciences; South China Botanical Garden, CAS; Chinese Academy of Sciences</t>
  </si>
  <si>
    <t>Tan, YH (通讯作者)，Chinese Acad Sci, Chinese Acad Sci Ctr Integrat Conservat, Southeast Asia Biodivers Res Inst, Xishuangbanna Trop Bot Garden, Mengla 666303, Yunnan, Peoples R China.;Tan, YH (通讯作者)，Chinese Acad Sci, Ctr Conservat Biol, Core Bot Gardens, Mengla 666303, Yunnan, Peoples R China.</t>
  </si>
  <si>
    <t>tyh@xtbg.org.cn</t>
  </si>
  <si>
    <t>National Natural Science Foundation of China [31900180, 31970223, 31870180]; Natural Science Foundation of Yunnan Province [202101AT070058]; Southeast Asia Biodiversity Research Institute, Chinese Academy of Sciences [Y4ZK111B01]; National Wild Plant Germplasm Resource Center, and Transboundary cooperation on biodiversity research and conservation in Gaoligong mountains [E1ZK251]</t>
  </si>
  <si>
    <t>National Natural Science Foundation of China(National Natural Science Foundation of China (NSFC)); Natural Science Foundation of Yunnan Province(Natural Science Foundation of Yunnan Province); Southeast Asia Biodiversity Research Institute, Chinese Academy of Sciences; National Wild Plant Germplasm Resource Center, and Transboundary cooperation on biodiversity research and conservation in Gaoligong mountains</t>
  </si>
  <si>
    <t>We are grateful to the editors and the anonymous reviewers for critical comments on the manuscript. We express sincere thanks to Mr. Ci-Ren Bai-Ma (Ge Feng) , Mr. Dun-Zhu Bai-Ma, Zhuo-Ma Na-Jie, Jia-Bin Huang, Hai-Kun Xu and staff members from Forestry and Grassland Bureau, Science and Technology Bureau, Agriculture and Rural Bureau of Motuo County for their assistance during the field work. We are also grateful to Ms. Li-Hua Liu for the line-drawing, Dr. Feng-Mao Yang for providing the photos of Agapetes guangxiensis, Dr. Ruo-Peng Zhang for scanning the flowering specimens deposited in PE, and the curators of HITBC, PE, KUN for the high-resolution images of specimens. We are also grateful to National Plant Specimen Resource Center (NPSRC) for providing some occurrence data to guide our field work. This work was financially supported by the National Natural Science Foundation of China (Grants no. 31900180, 31970223 and 31870180) , the Natural Science Foundation of Yunnan Province (No.202101AT070058) , and a project of the Southeast Asia Biodiversity Research Institute, Chinese Academy of Sciences (Grant no. Y4ZK111B01) , National Wild Plant Germplasm Resource Center, and Transboundary cooperation on biodiversity research and conservation in Gaoligong mountains (No. E1ZK251) .</t>
  </si>
  <si>
    <t>NATL TAIWAN UNIV PRESS</t>
  </si>
  <si>
    <t>TAIPEI</t>
  </si>
  <si>
    <t>NO 1 SECTION 4, ROOSEVELT RD, TAIPEI, 106, TAIWAN</t>
  </si>
  <si>
    <t>0372-333X</t>
  </si>
  <si>
    <t>Taiwania</t>
  </si>
  <si>
    <t>APR 28</t>
  </si>
  <si>
    <t>10.6165/tai.2022.67.254</t>
  </si>
  <si>
    <t>1H2IQ</t>
  </si>
  <si>
    <t>WOS:000796369600002</t>
  </si>
  <si>
    <t>Cai, L; Ya, JD; Yu, ZY; Liang, ZL; Wen, F; Cai, J</t>
  </si>
  <si>
    <t>Cai, Lei; Ya, Ji-Dong; Yu, Zhi-Yong; Liang, Zong-Li; Wen, Fang; Cai, Jie</t>
  </si>
  <si>
    <t>Petrocosmea hsiwenii (Gesneriaceae), a new species from Yunnan, China</t>
  </si>
  <si>
    <t>Flora of Yunnan; Hsi-Wen Li; karst region; new taxa; Petrocosmea rhombifolia; Petrocosmea rosettifolia</t>
  </si>
  <si>
    <t>Petrocosmea hsiwenii Lei Cai, J.D.Ya &amp; J.Cai, a new species of Gesneriaceae from Jinping County, southeastern Yunnan, China, is described and illustrated. The new species is morphologically similar to P. rosettifolia C.Y.Wu ex H.W.Li in the shape, color and structure of the flowers, but it can be easily distinguished by the shape of the leaf blade, the number of lateral veins, the indumentum characters of the leaves, stem, anther and pistil, as well as the type of inflorescence. The morphological relationship between this and similar species is discussed, and a detailed descriptions is provided, together with colored photographs, and information on the distribution. We propose that P. hsiwenii be assigned an IUCN conservation status of endangered (EN).</t>
  </si>
  <si>
    <t>Cai, Lei</t>
  </si>
  <si>
    <t>[Cai, Lei] Chinese Acad Sci, Kunming Inst Bot, Yunnan Key Lab Integrat Conservat Plant Species Ex, Key Lab Plant Divers &amp; Biogeog East Asia, Kunming 650201, Yunnan, Peoples R China; [Cai, Lei; Wen, Fang] Gesneriad Conservat Ctr China, Gesneriad Comm China Wild Plant Conservat Assoc, Natl Gesneriaceae Germplasm Resource Bank GXIB, Guilin 541006, Peoples R China; [Ya, Ji-Dong; Cai, Jie] Chinese Acad Sci, Kunming Inst Bot, Germplasm Bank Wild Species, Kunming 650201, Yunnan, Peoples R China; [Ya, Ji-Dong] Southwest Forestry Univ, Acad Biodivers, Kunming 650224, Yunnan, Peoples R China; [Yu, Zhi-Yong; Liang, Zong-Li] Jinping Fenshuiling Natl Nat Reserve Adm, Jinping 661500, Yunnan, Peoples R China; [Wen, Fang] Guangxi Zhuang Autonomous Reg &amp; Chinese Acad Sci, Guangxi Inst Bot, Guangxi Key Lab Plant Conservat &amp; Restorat Ecol Ka, Guilin 541006, Peoples R China</t>
  </si>
  <si>
    <t>Cai, J (通讯作者)，Chinese Acad Sci, Kunming Inst Bot, Germplasm Bank Wild Species, Kunming 650201, Yunnan, Peoples R China.</t>
  </si>
  <si>
    <t>National Science &amp; Technology Basic Resources Investigation Program of China [2017FY100100]; National Natural Science Foundation of China [32101407]; Yunnan Fundamental Research Projects [202101AT070173]; Key Sci. &amp; Tech. Research and Development Project of Guangxi [Guike AD20159091, ZY21195050]; capacity-building project of SBR of CAS [KFJ-BRP-017-68]; National Wild Plant Germplasm Resource Center</t>
  </si>
  <si>
    <t>National Science &amp; Technology Basic Resources Investigation Program of China; National Natural Science Foundation of China(National Natural Science Foundation of China (NSFC)); Yunnan Fundamental Research Projects; Key Sci. &amp; Tech. Research and Development Project of Guangxi; capacity-building project of SBR of CAS; National Wild Plant Germplasm Resource Center</t>
  </si>
  <si>
    <t>We are grateful to Mr. Meng-Qi Han for his assistance on species identification and providing valuable suggestions, and Mr. Cheng Liu for providing photos of wild habitats and plants, and Ms. Jane for the professional language editing services. This study was jointly supported by the National Science &amp; Technology Basic Resources Investigation Program of China (grant no. 2017FY100100) , the National Natural Science Foundation of China (grant no. 32101407) , Yunnan Fundamental Research Projects (grant no. 202101AT070173) , the Key Sci. &amp; Tech. Research and Development Project of Guangxi (Guike AD20159091 &amp; ZY21195050) , the capacity-building project of SBR of CAS (KFJ-BRP-017-68) and National Wild Plant Germplasm Resource Center.</t>
  </si>
  <si>
    <t>NOV 14</t>
  </si>
  <si>
    <t>10.6165/tai.2022.67.591</t>
  </si>
  <si>
    <t>6J6GH</t>
  </si>
  <si>
    <t>WOS:000886918700016</t>
  </si>
  <si>
    <t>Liu, C; Hu, XJ; Zhang, JP; Yu, WB; Tan, YH</t>
  </si>
  <si>
    <t>Liu, Cheng; Hu, Xiao-Jian; Zhang, Jin-Ping; Yu, Wen-Bin; Tan, Yun-Hong</t>
  </si>
  <si>
    <t>Two new species of Pentasacme (Apocynaceae, Asclepiadoideae) from Yunnan, China</t>
  </si>
  <si>
    <t>KEY WORDS; Apocynaceae; Pentasacme caudatum; P; malipoense; P; shanense; P; tubulosum; P; wallichii; Yunnan; China</t>
  </si>
  <si>
    <t>CLASSIFICATION</t>
  </si>
  <si>
    <t>Yunnan, China, which are described and illustrated in this study. Molecular phylogenies using the nrITS, rps16 and trnT-F datasets support these two new species formed a clade in the genus Pentasacme, then as the sister to P. caudatum, which is the only Chinese species hitherto included in phylogenetic studies. Pentasacme tubulosum can be clearly distinguished from the other five recognized species of this genus by its tubular corolla and tube much longer than lobes. Pentasacme malipoense is characterized by having campanulate and deeply lobed corolla, tube much shorter than lobes, corolline coronas present and inverted conical style-head, which is remarkably different from its sister species P. tubulosum. In addition, P. malipoense differs from P. caudatum by the reddish pedicels and calyces, oblong-lanceolate corolla lobes, staminal coronas present and inverted conical style-head, and from P. wallichii and P. shanense by its lanceolate leaf blades, reddish pedicels and calyces, both corolline coronas and staminal coronas present, purple-red anther appendages and inverted conical style-head. Furthermore, for illustrating the two species, diagnostic characters, photographs, morphological descriptions, distribution, and habitat are also provided, as well as the geographical distribution and the diagnostic key to all recognized species of Pentasacme.</t>
  </si>
  <si>
    <t>Liu, Cheng</t>
  </si>
  <si>
    <t>[Liu, Cheng; Hu, Xiao-Jian; Zhang, Jin-Ping] Chinese Acad Sci, Kunming Inst Bot, Germplasm Bank Wild Species, Kunming 650201, Yunnan, Peoples R China; [Yu, Wen-Bin; Tan, Yun-Hong] Chinese Acad Sci, Southeast Asia Biodivers Res Inst, Mengla 666303, Yunnan, Peoples R China; [Yu, Wen-Bin; Tan, Yun-Hong] Chinese Acad Sci, Ctr Integrat Conservat, Xishuangbanna Trop Bot Garden, Mengla 666303, Yunnan, Peoples R China; [Yu, Wen-Bin; Tan, Yun-Hong] Chinese Acad Sci, Ctr Conservat Biol, Core Bot Gardens, Mengla 666303, Yunnan, Peoples R China</t>
  </si>
  <si>
    <t>Chinese Academy of Sciences; Kunming Institute of Botany, CAS; Chinese Academy of Sciences; Chinese Academy of Sciences; Xishuangbanna Tropical Botanical Garden, CAS; Chinese Academy of Sciences</t>
  </si>
  <si>
    <t>Yu, WB; Tan, YH (通讯作者)，Chinese Acad Sci, Southeast Asia Biodivers Res Inst, Mengla 666303, Yunnan, Peoples R China.;Yu, WB; Tan, YH (通讯作者)，Chinese Acad Sci, Ctr Integrat Conservat, Xishuangbanna Trop Bot Garden, Mengla 666303, Yunnan, Peoples R China.;Yu, WB; Tan, YH (通讯作者)，Chinese Acad Sci, Ctr Conservat Biol, Core Bot Gardens, Mengla 666303, Yunnan, Peoples R China.</t>
  </si>
  <si>
    <t>tyh@xtbg.org.cn; yuwenbin@xtbg.ac.cn</t>
  </si>
  <si>
    <t>zhang, jin/GXV-9154-2022</t>
  </si>
  <si>
    <t>Largescale Scientific Facilities of the Chinese Academy of Sciences [2017-LSFGBOWS-02]; National Wild Plant Germplasm Resource Center; Shandong Provincial Agricultural Elite Varieties Project [2019LZGC01801]; Project of the Southeast Asia Biodiversity Research Institute, Chinese Academy of Sciences [Y4ZK111B01]; Biodiversity Investigation Observation and Assessment Program (2019-2023) of the Ministry of Ecology and Environment of China; China (Yunnan) Laos transboundary biodiversity conservation project (2021-2022)</t>
  </si>
  <si>
    <t>Largescale Scientific Facilities of the Chinese Academy of Sciences; National Wild Plant Germplasm Resource Center; Shandong Provincial Agricultural Elite Varieties Project; Project of the Southeast Asia Biodiversity Research Institute, Chinese Academy of Sciences; Biodiversity Investigation Observation and Assessment Program (2019-2023) of the Ministry of Ecology and Environment of China; China (Yunnan) Laos transboundary biodiversity conservation project (2021-2022)</t>
  </si>
  <si>
    <t>We are grateful to Mr. Bo Xiao from Malipo Forestry and Grassland Administration, Mr. De-Ming He from Wenshan Laojunshan National Nature Reserve, Mr. Rong Tian and Mr. Tian-Yang Liu from Xinfu Forestry Station of Mojiang Forestry and Grassland Administration, Mr. Chang-Hong Li, Mr. MingJian Feng, Mr. Xin Li and Ms. Li Huang from Kunming Institute of Botany (KIB), Chinese Academy of Sciences for their kind help during the fieldwork; to Dr. Chun-Xia Zeng and Mr. ZhiRong Zhang from KIB for providing the molecular data, to Mr. Lian-Yi Li from KIB for taking morphological photographs of basal glands in the calyx and pollinarium by the Keyence VHX700F Digital Microscope (Keyence, Osaka, Japan); to Dr. JianWen Zhang from KIB for his good suggestions for the manuscript. This research was supported by grant of the Largescale Scientific Facilities of the Chinese Academy of Sciences (2017-LSFGBOWS-02) and the National Wild Plant Germplasm Resource Center, the Shandong Provincial Agricultural Elite Varieties Project `Research on key techniques for conservation of wild forest species in germplasm bank' (2019LZGC01801), the Project of the Southeast Asia Biodiversity Research Institute, Chinese Academy of Sciences (Y4ZK111B01) and the Biodiversity Investigation Observation and Assessment Program (2019-2023) of the Ministry of Ecology and Environment of China and the China (Yunnan) Laos transboundary biodiversity conservation project (20212022).</t>
  </si>
  <si>
    <t>JUN 8</t>
  </si>
  <si>
    <t>10.6165/tai.2022.67.326</t>
  </si>
  <si>
    <t>2B1IN</t>
  </si>
  <si>
    <t>WOS:000809947900001</t>
  </si>
  <si>
    <t>LIU, C; HAN, MQ; CAI, J</t>
  </si>
  <si>
    <t>LIU, Cheng; HAN, Meng-Qi; CAI, Jie</t>
  </si>
  <si>
    <t>Mitreola liuyanii (Loganiaceae), a new species from Guizhou, China</t>
  </si>
  <si>
    <t>Flora of Guizhou; limestone caves; Mitreola pingtaoi; M; liui; M; petiolatoides; new taxon; taxonomy</t>
  </si>
  <si>
    <t>Mitreola liuyanii, a new species from Guizhou Province, China, are described and illustrated in this study. Morphologically, it is most similar to M. pingtaoi but can be distinguished from the latter in the characteristics of leaves arranged in a basal rosette or clustered at the stem or branch apex, shorter stem internodes and petioles, smaller narrowly oblanceolate leaf blades with ciliate margin, narrowly lanceolate bracts and glabrous capsules.</t>
  </si>
  <si>
    <t>LIU, Cheng</t>
  </si>
  <si>
    <t>[LIU, Cheng; CAI, Jie] Chinese Acad Sci, Kunming Inst Bot, Germplasm Bank Wild Species, Kunming 650201, Yunnan, Peoples R China; [HAN, Meng-Qi] Univ Chinese Acad Sci, Beijing 100049, Peoples R China; [HAN, Meng-Qi] Chinese Acad Sci, Inst Bot, State Key Lab Systemat &amp; Evolutionary Bot, Beijing 100093, Peoples R China</t>
  </si>
  <si>
    <t>Chinese Academy of Sciences; Kunming Institute of Botany, CAS; Chinese Academy of Sciences; University of Chinese Academy of Sciences, CAS; Chinese Academy of Sciences; Institute of Botany, CAS</t>
  </si>
  <si>
    <t>CAI, J (通讯作者)，Chinese Acad Sci, Kunming Inst Bot, Germplasm Bank Wild Species, Kunming 650201, Yunnan, Peoples R China.</t>
  </si>
  <si>
    <t>grant of the Large-scale Scientific Facilities of the Chinese Academy of Sciences [2017-LSFGBOWS-02]; National Wild Plant Germplasm Resource Center</t>
  </si>
  <si>
    <t>grant of the Large-scale Scientific Facilities of the Chinese Academy of Sciences; National Wild Plant Germplasm Resource Center</t>
  </si>
  <si>
    <t>We are grateful to Chang-Hong Li, Jin-Quan Huang and Ming-Jian Feng for their kind help during the fieldwork, and to Yan Liu for his constructive suggestions. This research was supported by grant of the Large-scale Scientific Facilities of the Chinese Academy of Sciences (2017-LSFGBOWS-02) and the National Wild Plant Germplasm Resource Center.</t>
  </si>
  <si>
    <t>APR 27</t>
  </si>
  <si>
    <t>10.6165/tai.2022.67.250</t>
  </si>
  <si>
    <t>1B6BZ</t>
  </si>
  <si>
    <t>WOS:000792522000001</t>
  </si>
  <si>
    <t>Zhang, XJ; Kuang, TH; Chen, JT; Li, LJ; Peng, JY; Guan, KL; Huang, XH; Wang, HC; Deng, T</t>
  </si>
  <si>
    <t>Zhang, Xin-Jian; Kuang, Tian-hui; Chen, Jun-Tong; LI, Li-Juan; Peng, Jing-Yi; Guan, Kailang; Huang, Xian-Han; Wang, Heng-Chang; Deng, Tao</t>
  </si>
  <si>
    <t>Saxifraga sunhangiana (Saxifragaceae), a new species from Gansu, China</t>
  </si>
  <si>
    <t>Irregulares; ITS sequences; Saxifraga fortune; S; rufescens; taxonomy; phylogeny</t>
  </si>
  <si>
    <t>MOLECULAR PHYLOGENETICS; REVISED CLASSIFICATION; HUNAN PROVINCE; SYSTEMATICS; MORPHOLOGY; EVOLUTION</t>
  </si>
  <si>
    <t>Saxifraga sunhangiana, a new species of the genus Saxifraga sect. Irregulares (Saxifragaceae) from Gansu, China, is described and illustrated. This species is distinguishable by its abaxial leaf surface with singularly long white villous hairs and rather long rhizomes. Morphological and molecular data indicate that S. sunhangiana belongs to S. sect. Irregulares, and closely related to S. rufescens. The new species differs from S. rufescens by its terminal flower with two elongated, fusiform-lanceolate petals and leaves with glabrous petiole.</t>
  </si>
  <si>
    <t>Zhang, Xin-Jian</t>
  </si>
  <si>
    <t>[Zhang, Xin-Jian; Kuang, Tian-hui; Chen, Jun-Tong; Huang, Xian-Han; Deng, Tao] Chinese Acad Sci, Kunming Inst Bot, CAS Key Lab Plant Divers &amp; Biogeog East Asia, Kunming 650201, Yunnan, Peoples R China; [Zhang, Xin-Jian; Kuang, Tian-hui; Chen, Jun-Tong; LI, Li-Juan] Univ Chinese Acad Sci, Beijing 100049, Peoples R China; [LI, Li-Juan; Wang, Heng-Chang] Chinese Acad Sci, CAS Key Lab Plant Germplasm Enhancement &amp; Special, Wuhan Bot Garden, Wuhan 430074, Hubei, Peoples R China; [Peng, Jing-Yi] Jishou Univ, Coll Biol &amp; Environm Sci, Jishou 416000, Hunan, Peoples R China; [Guan, Kailang] Pubang Landscape Architecture Co Ltd, Guangzhou 510600, Peoples R China</t>
  </si>
  <si>
    <t>Chinese Academy of Sciences; Kunming Institute of Botany, CAS; Chinese Academy of Sciences; University of Chinese Academy of Sciences, CAS; Chinese Academy of Sciences; Wuhan Botanical Garden, CAS; Jishou University</t>
  </si>
  <si>
    <t>Deng, T (通讯作者)，Chinese Acad Sci, Kunming Inst Bot, CAS Key Lab Plant Divers &amp; Biogeog East Asia, Kunming 650201, Yunnan, Peoples R China.</t>
  </si>
  <si>
    <t>dengtao@mail.kib.ac.cn</t>
  </si>
  <si>
    <t>Second Tibetan Plateau Scientific Expedition and Research (STEP) program [2019QZKK0502]; Strategic Priority Research Program of Chinese Academy of Sciences [XDA20050203]; Key Projects of the Joint Fund of the National Natural Science Foundation of China [U1802232]; Youth Innovation Promotion Association of Chinese Academy of Sciences [2019382]; Young Academic and Technical Leader Raising Foundation of Yunnan Province [2019HB039, 2019HB2096001006]</t>
  </si>
  <si>
    <t>Second Tibetan Plateau Scientific Expedition and Research (STEP) program; Strategic Priority Research Program of Chinese Academy of Sciences(Chinese Academy of Sciences); Key Projects of the Joint Fund of the National Natural Science Foundation of China(National Natural Science Foundation of China (NSFC)); Youth Innovation Promotion Association of Chinese Academy of Sciences; Young Academic and Technical Leader Raising Foundation of Yunnan Province</t>
  </si>
  <si>
    <t>This study was supported by grants from the Second Tibetan Plateau Scientific Expedition and Research (STEP) program (2019QZKK0502), the Strategic Priority Research Program of Chinese Academy of Sciences (XDA20050203), the Key Projects of the Joint Fund of the National Natural Science Foundation of China (U1802232), the Youth Innovation Promotion Association of Chinese Academy of Sciences (2019382), the Young Academic and Technical Leader Raising Foundation of Yunnan Province (2019HB039), the Chinese Academy of Sciences Light of West China Program, and the Biodiversity Survey, Monitoring and Assessment (2019HB2096001006).</t>
  </si>
  <si>
    <t>MAR 3</t>
  </si>
  <si>
    <t>10.6165/tai.2022.67.195</t>
  </si>
  <si>
    <t>ZP9QG</t>
  </si>
  <si>
    <t>WOS:000766750100001</t>
  </si>
  <si>
    <t>Cai, L; He, DM; Huang, TW; Haw, ZL; Wang, WG</t>
  </si>
  <si>
    <t>Cai, Lei; He, De-Ming; Huang, Tai-Wen; Haw, Zhi-Ling; Wang, Wen-Guang</t>
  </si>
  <si>
    <t>Begonia erythrofolia, a new species of Begoniaceae from southeastern Yunnan, China</t>
  </si>
  <si>
    <t>SECT. PLATYCENTRUM BEGONIACEAE</t>
  </si>
  <si>
    <t>Begonia erythrofolia, a new species of Begonia sect. Platycentrum (Begoniaceae) from Yunnan, China is described and illustrated. Morphologically, it is most similar to B. dielsiana and B. edulis, but differs in having broadly ovate leaves which are undivided or shallowly triangular lobed, crimson on the abaxial leaf surface, and more veins in the lamina. The new species also resembles B. subhowii in its similar leaf shape and in having erect stems when flowering, but differs in its larger leaf size, and smaller bracts and flowers.</t>
  </si>
  <si>
    <t>[Cai, Lei; Haw, Zhi-Ling] Chinese Acad Sci, Kunming Inst Bot, Key Lab Plant Divers &amp; Biogeog East Asia, Yunnan Key Lab Integrat Conservat Plant Species E, Kunming 650201, Yunnan, Peoples R China; [He, De-Ming; Huang, Tai-Wen] Wenshan Natl Nat Reserve Adm, Wenshan 663000, Yunnan, Peoples R China; [Wang, Wen-Guang] Chinese Acad Sci, Xishuangbanna Trop Bot Garden, Mengla 666303, Yunnan, Peoples R China</t>
  </si>
  <si>
    <t>Chinese Academy of Sciences; Kunming Institute of Botany, CAS; Chinese Academy of Sciences; Xishuangbanna Tropical Botanical Garden, CAS</t>
  </si>
  <si>
    <t>Wang, WG (通讯作者)，Chinese Acad Sci, Xishuangbanna Trop Bot Garden, Mengla 666303, Yunnan, Peoples R China.</t>
  </si>
  <si>
    <t>wangwenguang@xtbg.ac.cn</t>
  </si>
  <si>
    <t>National Science &amp; Technology Basic Resources Investigation Program of China: Survey and Germplasm Conservation of Plant Species with Extremely Small Population in South-west China [2017FY100100]</t>
  </si>
  <si>
    <t>National Science &amp; Technology Basic Resources Investigation Program of China: Survey and Germplasm Conservation of Plant Species with Extremely Small Population in South-west China</t>
  </si>
  <si>
    <t>We are grateful to Professor Daike Tian who is from Shanghai Chenshan Botanical Garden for his assistance on species identification and providing valuable suggestions. This study was supported by the National Science &amp; Technology Basic Resources Investigation Program of China: Survey and Germplasm Conservation of Plant Species with Extremely Small Population in South-west China (grant no. 2017FY100100)</t>
  </si>
  <si>
    <t>JAN 15</t>
  </si>
  <si>
    <t>10.6165/tai.2022.67.110</t>
  </si>
  <si>
    <t>YN4LI</t>
  </si>
  <si>
    <t>WOS:000747231300001</t>
  </si>
  <si>
    <t>Wang, H; Wang, DQ; Zhao, CL</t>
  </si>
  <si>
    <t>Wang, Hui; Wang, Dong-Qiong; Zhao, Chang-Lin</t>
  </si>
  <si>
    <t>Eichleriella aculeobasidiata sp. nov. (Auriculariales, Basidiomycota) evidenced by morphological characters and phylogenetic analyses in China</t>
  </si>
  <si>
    <t>KEW BULLETIN</t>
  </si>
  <si>
    <t>phylogeny; taxonomy; wood-inhabiting fungi; Yunnan province</t>
  </si>
  <si>
    <t>MOLECULAR-IDENTIFICATION; POLYPORALES; DIVERSITY; TAXONOMY</t>
  </si>
  <si>
    <t>A new wood-inhabiting fungal species, Eichleriellaaculeobasidiata sp. nov, is described based on a combination of morphological features and molecular evidence. E.aculeobasidiata is characterised by a dimitic hyphal system with clamped generative hyphae, and narrowly ovoid to obconical, distinctly curved, hyaline, smooth, thin-walled basidiospores which contain oil droplets. Sequences of the ITS gene region of the studied samples were generated, and phylogenetic analyses were performed with maximum likelihood, maximum parsimony and Bayesian inference methods. The phylogenetic analysis showed that E.aculeobasidiata belonged to Eichleriella and formed a monophyletic lineage with strong support (100% BS, 100% BP, 1.00 BPP), and then grouped with a clade comprised of E. xinpingensis and E. tenuicula.</t>
  </si>
  <si>
    <t>[Wang, Hui; Wang, Dong-Qiong; Zhao, Chang-Lin] Southwest Forestry Univ, Key Lab Forest Resources Conservat &amp; Utilizat Sou, Minist Educ, Kunming 650224, Yunnan, Peoples R China; [Wang, Hui; Wang, Dong-Qiong; Zhao, Chang-Lin] Southwest Forestry Univ, Coll Biodivers Conservat, Kunming 650224, Yunnan, Peoples R China; [Wang, Hui; Zhao, Chang-Lin] Southwest Forestry Univ, Yunnan Acad Biodivers, Kunming 650224, Yunnan, Peoples R China; [Zhao, Chang-Lin] Southwest Forestry Univ, Key Lab Forest Disaster Warning &amp; Control Yunnan, Kunming 650224, Yunnan, Peoples R China; [Zhao, Chang-Lin] Chinese Acad Sci, Kunming Inst Bot, Yunnan Key Lab Fungal Divers &amp; Green Dev, Kunming 650201, Yunnan, Peoples R China</t>
  </si>
  <si>
    <t>Southwest Forestry University - China; Southwest Forestry University - China; Southwest Forestry University - China; Southwest Forestry University - China; Chinese Academy of Sciences; Kunming Institute of Botany, CAS</t>
  </si>
  <si>
    <t>Zhao, CL (通讯作者)，Southwest Forestry Univ, Key Lab Forest Resources Conservat &amp; Utilizat Sou, Minist Educ, Kunming 650224, Yunnan, Peoples R China.;Zhao, CL (通讯作者)，Southwest Forestry Univ, Coll Biodivers Conservat, Kunming 650224, Yunnan, Peoples R China.;Zhao, CL (通讯作者)，Southwest Forestry Univ, Yunnan Acad Biodivers, Kunming 650224, Yunnan, Peoples R China.;Zhao, CL (通讯作者)，Southwest Forestry Univ, Key Lab Forest Disaster Warning &amp; Control Yunnan, Kunming 650224, Yunnan, Peoples R China.;Zhao, CL (通讯作者)，Chinese Acad Sci, Kunming Inst Bot, Yunnan Key Lab Fungal Divers &amp; Green Dev, Kunming 650201, Yunnan, Peoples R China.</t>
  </si>
  <si>
    <t>The research was supported by the National Natural Science Foundation of China (Project No. 32170004, U2102220), Yunnan Fundamental Research Project (Grant No. 202001AS070043) and High-level Talents Program of Yunnan Province (YNQR-QNRC-2018-111).</t>
  </si>
  <si>
    <t>SPRINGER LONDON LTD</t>
  </si>
  <si>
    <t>236 GRAYS INN RD, 6TH FLOOR, LONDON WC1X 8HL, ENGLAND</t>
  </si>
  <si>
    <t>0075-5974</t>
  </si>
  <si>
    <t>1874-933X</t>
  </si>
  <si>
    <t>KEW BULL</t>
  </si>
  <si>
    <t>Kew Bull.</t>
  </si>
  <si>
    <t>10.1007/s12225-022-10001-y</t>
  </si>
  <si>
    <t>0P9VN</t>
  </si>
  <si>
    <t>WOS:000773848600001</t>
  </si>
  <si>
    <t>Alcantara, MJM; Modi, S; Ling, TC; Monkai, J; Xu, H; Huang, SY; Nakamura, A</t>
  </si>
  <si>
    <t>Alcantara, Mark Jun M.; Modi, Shrushti; Ling, Tial C.; Monkai, Jutamart; Xu, He; Huang, Shuyin; Nakamura, Akihiro</t>
  </si>
  <si>
    <t>Impacts of rubber plantations on community assembly of ants (Hymenoptera: Formicidae): a case study from monsoonal tropics of Xishuangbanna, southwest China</t>
  </si>
  <si>
    <t>NORTH-WESTERN JOURNAL OF ZOOLOGY</t>
  </si>
  <si>
    <t>biodiversity; Formicidae; Hevea brasiliensis; IndVal; Menglun; Southeast Asia; Winkler extractor</t>
  </si>
  <si>
    <t>VIETNAM INSECTA HYMENOPTERA; RAIN-FOREST; HABITAT COMPLEXITY; GENERIC SYNOPSIS; SOUTHEAST-ASIA; DIVERSITY; BIODIVERSITY; SUSTAINABILITY; CONVERSION; EXPANSION</t>
  </si>
  <si>
    <t>Rubber plantation has become one of the most dominant human-modified landscape features in continental Southeast Asia. Xishuangbanna, a monsoonal tropical region of southern Yunnan in China, is a hotspot of rubber cultivation and represents the northern margins of rubber expansion in Asia. Here, we compared the species richness, beta diversity patterns, and assemblage composition of ants from a rubber plantation and two forest types (alluvial and limestone forest) common in Xishuangbanna. We hypothesized that species richness is higher in forest habitats than the rubber plantation. Due to habitat similarities between the limestone forest and the rubber plantation (tree defoliation, dry condition, thinner soil), we hypothesized that ant assemblages in these habitats are similar, and beta diversity is driven by nestedness. We found the highest ant species richness in the alluvial forest, followed by the limestone forest and rubber plantation. Ant assemblages were similar between alluvial and limestone forests but different in the rubber plantation. Beta diversity estimation showed that beta diversity patterns were driven by species turnover in all three habitats. Our results showed that the rubber plantation was species-poor and harbored unique ant assemblages compared to forest habitats. Moreover, the assemblages in the rubber plantation were often dominated by numerically dominant and aggressive taxa. Our study highlights: biodiversity changes associated with forest conversion into monoculture rubber plantations; the conservation value of limestone forests, a common yet understudied forest type in Southeast Asia; and the importance of considering species identities when determining the impacts of habitat modification on ant diversity.</t>
  </si>
  <si>
    <t>Alcantara, Mark Jun M.</t>
  </si>
  <si>
    <t>[Alcantara, Mark Jun M.; Modi, Shrushti; Xu, He; Huang, Shuyin; Nakamura, Akihiro] Chinese Acad Sci, Xishuangbanna Trop Bot Garden, CAS Key Lab Trop Forest Ecol, Mengla 666303, Yunnan, Peoples R China; [Alcantara, Mark Jun M.; Modi, Shrushti; Ling, Tial C.; Monkai, Jutamart; Xu, He; Nakamura, Akihiro] Chinese Acad Sci, Xishuangbanna Trop Bot Garden, Program Field Studies Trop Asia, Mengla 666303, Yunnan, Peoples R China; [Alcantara, Mark Jun M.; Ling, Tial C.] Univ Chinese Acad Sci, Beijing 100049, Peoples R China; [Modi, Shrushti] Wildlife Inst India, Dept Anim Ecol &amp; Conservat Biol, Dehra Dun 248001, Uttarakhand, India; [Ling, Tial C.] Chinese Acad Sci, Kunming Inst Bot, Key Lab Plant Divers &amp; Biogeog East Asia, Kunming 650201, Yunnan, Peoples R China; [Ling, Tial C.] Chinese Acad Sci, Kunming Inst Bot, Inst Tibetan Plateau Res Kunming, Kunming 650201, Yunnan, Peoples R China; [Monkai, Jutamart] Chinese Acad Sci, Kunming Inst Bot, Ctr Mt Ecosyst Studies, Kunming 650201, Yunnan, Peoples R China; [Monkai, Jutamart] World Agroforestry Ctr East &amp; Cent Asia, Kunming 650201, Yunnan, Peoples R China; [Xu, He] Linyi Univ, Inst Geol &amp; Paleontol, Linyi 276000, Shandong, Peoples R China</t>
  </si>
  <si>
    <t>Chinese Academy of Sciences; Xishuangbanna Tropical Botanical Garden, CAS; Chinese Academy of Sciences; Xishuangbanna Tropical Botanical Garden, CAS; Chinese Academy of Sciences; University of Chinese Academy of Sciences, CAS; Wildlife Institute of India; Chinese Academy of Sciences; Kunming Institute of Botany, CAS; Chinese Academy of Sciences; Kunming Institute of Botany, CAS; Chinese Academy of Sciences; Kunming Institute of Botany, CAS; Linyi University</t>
  </si>
  <si>
    <t>Nakamura, A (通讯作者)，Chinese Acad Sci, Xishuangbanna Trop Bot Garden, CAS Key Lab Trop Forest Ecol, Mengla 666303, Yunnan, Peoples R China.;Nakamura, A (通讯作者)，Chinese Acad Sci, Xishuangbanna Trop Bot Garden, Program Field Studies Trop Asia, Mengla 666303, Yunnan, Peoples R China.</t>
  </si>
  <si>
    <t>Nakamura, Akihiro/0000-0001-7349-5102</t>
  </si>
  <si>
    <t>CAS Key Laboratory of Tropical Forest Ecology; CAS-TWAS President's Fellowship; CSIR-SRF Fellowship; High-End Foreign Experts Program of the High-Level Talent Recruitment Plan of Yunnan Province; National Natural Science Foundation of China General [31770472]; CAS 135 Programs [2017XTBG-T01, 2017XTBG-F01]; Program for Field Studies at XTBG, CAS</t>
  </si>
  <si>
    <t>CAS Key Laboratory of Tropical Forest Ecology; CAS-TWAS President's Fellowship; CSIR-SRF Fellowship(Council of Scientific &amp; Industrial Research (CSIR) - India); High-End Foreign Experts Program of the High-Level Talent Recruitment Plan of Yunnan Province; National Natural Science Foundation of China General(National Natural Science Foundation of China (NSFC)); CAS 135 Programs; Program for Field Studies at XTBG, CAS</t>
  </si>
  <si>
    <t>We thank CAS Key Laboratory of Tropical Forest Ecology and Program for Field Studies at XTBG, CAS, for funding the study. We are grateful for the technical support provided by Jingxin Liu during fieldwork. Taxonomic assistance was provided by Zhenghui Xu and Cong Liu. MJMA, TCL, and JM were supported by the CAS-TWAS President's Fellowship for International Doctoral Students, SM was supported by the CSIR-SRF Fellowship, and AN by the High-End Foreign Experts Program of the High-Level Talent Recruitment Plan of Yunnan Province and the National Natural Science Foundation of China General [31770472] and CAS 135 Programs [2017XTBG-T01 and 2017XTBG-F01] .</t>
  </si>
  <si>
    <t>UNIV ORADEA PUBL HOUSE</t>
  </si>
  <si>
    <t>ORADEA</t>
  </si>
  <si>
    <t>UNIVERSITATII NR 1, ORADEA, 410087, ROMANIA</t>
  </si>
  <si>
    <t>1584-9074</t>
  </si>
  <si>
    <t>1842-6441</t>
  </si>
  <si>
    <t>NORTH-WEST J ZOOL</t>
  </si>
  <si>
    <t>North-West. J. Zool.</t>
  </si>
  <si>
    <t>e221101</t>
  </si>
  <si>
    <t>2H1WF</t>
  </si>
  <si>
    <t>WOS:000814087800002</t>
  </si>
  <si>
    <t>Hu, HP; Tang, YT; Lin, HY; Ma, Z; Fan, PL; Wang, XC; Zhang, YY; Pan, JR</t>
  </si>
  <si>
    <t>Hu, Huiping; Tang, Yuting; Lin, Hengyi; Ma, Zheng; Fan, Penglai; Wang, Xiachang; Zhang, Yongyong; Pan, Jiarong</t>
  </si>
  <si>
    <t>ANTIMICROBIAL ACETOPHENONE AND PHENALENONE DERIVATIVES FROM A SOIL-DERIVED FUNGUS PENICILLIUM VERRUCISPORUM JX1</t>
  </si>
  <si>
    <t>HETEROCYCLES</t>
  </si>
  <si>
    <t>FUNGUS; STREPTOMYCES</t>
  </si>
  <si>
    <t>A new acetophenone derivative, named veracetophenone (1), along with six known compounds communol F (2), clavatol (3), (+)-scleroquinone (4), (???)-trypethelone (5), (???)-sclerodin (6), and (???)-scleroderolide (7), were isolated from a soil-derived fungus Penicillium verrucisporum JX1. Their structures were identified on the basis of spectral analysis of 1D, 2D-NMR, and HRESIMS. The configuration of 4 was depicted based on spectroscopic data as well as optical property. Their antibacterial and antifungal activities were also evaluated.</t>
  </si>
  <si>
    <t>Hu, Huiping</t>
  </si>
  <si>
    <t>[Hu, Huiping; Zhang, Yongyong; Pan, Jiarong] China Jiliang Univ, Coll Life Sci, Key Lab Marine Food Qual &amp; Hazard Controlling Tec, Hangzhou 310018, Zhejiang, Peoples R China; [Tang, Yuting] Chinese Acad Sci, Kunming Inst Bot, State Key Lab Phytochem &amp; Plant Resources West Ch, Kunming 650201, Yunnan, Peoples R China; [Lin, Hengyi; Ma, Zheng] China Jiliang Univ, Coll Life Sci, Zhejiang Prov Key Lab Biometrol &amp; Inspect &amp; Quara, Hangzhou 310018, Peoples R China; [Fan, Penglai] Guangxi Normal Univ, Minist Educ, Key Lab Ecol Rare &amp; Endangered Species &amp; Environm, Guilin 541000, Peoples R China; [Fan, Penglai] Guangxi Normal Univ, Coll Life Sci, Guangxi Key Lab Rare &amp; Endangered Anim Ecol, Guilin 541000, Peoples R China; [Wang, Xiachang] Nanjing Univ Chinese Med, Jiangsu Key Lab Funct Subst Chinese Med, Nanjing 210023, Peoples R China</t>
  </si>
  <si>
    <t>China Jiliang University; Chinese Academy of Sciences; Kunming Institute of Botany, CAS; China Jiliang University; Guangxi Normal University; Guangxi Normal University; Nanjing University of Chinese Medicine</t>
  </si>
  <si>
    <t>Zhang, YY; Pan, JR (通讯作者)，China Jiliang Univ, Coll Life Sci, Key Lab Marine Food Qual &amp; Hazard Controlling Tec, Hangzhou 310018, Zhejiang, Peoples R China.</t>
  </si>
  <si>
    <t>zhangyy76@163.com; panjr@cjlu.edu.cn</t>
  </si>
  <si>
    <t>Zhejiang Provincial Natural Science Foundation of China [LY20C140006]; National Natural Science Foundation of China [31972320]; Jiangsu Provincial Innovation and Entrepreneurship Talent Plan [202010528]</t>
  </si>
  <si>
    <t>Zhejiang Provincial Natural Science Foundation of China(Natural Science Foundation of Zhejiang Province); National Natural Science Foundation of China(National Natural Science Foundation of China (NSFC)); Jiangsu Provincial Innovation and Entrepreneurship Talent Plan</t>
  </si>
  <si>
    <t>This research was supported by Zhejiang Provincial Natural Science Foundation of China (LY20C140006) , the National Natural Science Foundation of China (31972320) , and Jiangsu Provincial Innovation and Entrepreneurship Talent Plan (202010528) .</t>
  </si>
  <si>
    <t>0385-5414</t>
  </si>
  <si>
    <t>1881-0942</t>
  </si>
  <si>
    <t>Heterocycles</t>
  </si>
  <si>
    <t>10.3987/COM-22-14669</t>
  </si>
  <si>
    <t>2M5SN</t>
  </si>
  <si>
    <t>WOS:000817759400010</t>
  </si>
  <si>
    <t>Liu, DT; Chen, SY; Sun, WB</t>
  </si>
  <si>
    <t>Liu, Detuan; Chen, Suiyun; Sun, Weibang</t>
  </si>
  <si>
    <t>The complete chloroplast genome of Acer Pubipetiolatum var. pingpienense (Sapindaceae)</t>
  </si>
  <si>
    <t>MITOCHONDRIAL DNA PART B-RESOURCES</t>
  </si>
  <si>
    <t>chloroplast; Acer; structure; phylogeny</t>
  </si>
  <si>
    <t>The genus Acer is widespread throughout the northern temperate zone, and many species within the genus are of ecological and economical importance. Here we report the newly sequenced chloroplast genome of Acer pubipetiolatum var. pingpienense. This chloroplast genome has a total length of 156,730 bp, and contains a pair of inverted repeats (IRs, 26,743 bp), a large single-copy (LSC) region of 71,582 bp and a small single-copy (SSC) region of 18,092 bp. Phylogenetic analysis suggests that A. pubipetiolatum var. pingpienense is closely related to A. laevigatum, and both fall into Section Palmata. The complete A. pubipetiolatum var. pingpienense chloroplast genome will provide an important genetic resource for future research into the conservation and evolution of this genus. Our findings also suggest that further research is necessary to elucidate the phylogenetic relationships between plant species within this genus.</t>
  </si>
  <si>
    <t>[Liu, Detuan] Yunnan Univ, Sch Life Sci, Kunming, Yunnan, Peoples R China; [Liu, Detuan; Sun, Weibang] Chinese Acad Sci, Kunming Inst Bot, Yunnan Key Lab Integrat Conservat Plant Species E, Kunming, Yunnan, Peoples R China; [Chen, Suiyun] Yunnan Univ, Sch Ecol &amp; Environm Sci, Kunming, Yunnan, Peoples R China</t>
  </si>
  <si>
    <t>Yunnan University; Chinese Academy of Sciences; Kunming Institute of Botany, CAS; Yunnan University</t>
  </si>
  <si>
    <t>Sun, WB (通讯作者)，Chinese Acad Sci, Kunming Inst Bot, Yunnan Key Lab Integrat Conservat Plant Species E, Kunming, Yunnan, Peoples R China.</t>
  </si>
  <si>
    <t>Yunnan Fundamental Research Projects [202001AT070071]; National Natural Science Foundation of China [32071676]</t>
  </si>
  <si>
    <t>Yunnan Fundamental Research Projects; National Natural Science Foundation of China(National Natural Science Foundation of China (NSFC))</t>
  </si>
  <si>
    <t>This work was supported by the Yunnan Fundamental Research Projects [202001AT070071], and the National Natural Science Foundation of China [32071676].</t>
  </si>
  <si>
    <t>2380-2359</t>
  </si>
  <si>
    <t>MITOCHONDRIAL DNA B</t>
  </si>
  <si>
    <t>Mitochondrial DNA Part B-Resour.</t>
  </si>
  <si>
    <t>10.1080/23802359.2022.2107443</t>
  </si>
  <si>
    <t>3P3QO</t>
  </si>
  <si>
    <t>WOS:000837454100001</t>
  </si>
  <si>
    <t>Wu, CY; Lin, L; Yao, KP; Yang, RJ; Deng, M</t>
  </si>
  <si>
    <t>Wu, Chun-Ya; Lin, Lin; Yao, Kai-Ping; Yang, Rui-Jie; Deng, Min</t>
  </si>
  <si>
    <t>The complete chloroplast genome sequence of Lithocarpus longinux (Fagaceae)</t>
  </si>
  <si>
    <t>Lithocarpus longinux; Fagaceae; chloroplast genome; Illumina sequencing</t>
  </si>
  <si>
    <t>Lithocarpus longinux (Hu) Chun ex Y.C.Hsu &amp; H.Wei Jen is a Critically Endangered tree distributed in Ma-li-po county in the Southeastern Yunnan Province China. Less than ten individuals have been found since the species was established 70 years ago. In this study, we assembled and annotated the complete chloroplast genome of L. longinux. The complete chloroplast genome of the species is 161,420 bp in length and has a GC content of 36.8%, including one large single-copy region (LSC, 90,409 bp), one small single-copy region (SSC, 19,255 bp), and two copies of inverted repeat regions (IRs, 25,878 bp). A total of 112 unique genes were detected, including 81 protein-coding genes, 29 tRNA genes, and 4 rRNA genes. Phylogenetic analysis of 31 representative chloroplast genomes of the Fagales suggests Lithocarpus is monophyletic with strong bootstrap support and that L. longinux is closely related to L. balansae.</t>
  </si>
  <si>
    <t>Wu, Chun-Ya</t>
  </si>
  <si>
    <t>[Wu, Chun-Ya; Lin, Lin; Yao, Kai-Ping; Yang, Rui-Jie; Deng, Min] Yunnan Univ, Sch Ecol &amp; Environm Sci, Kunming, Yunnan, Peoples R China; [Wu, Chun-Ya; Deng, Min] Yunnan Key Lab Integrat Conservat Plant Species E, Kunming, Yunnan, Peoples R China</t>
  </si>
  <si>
    <t>Yunnan University</t>
  </si>
  <si>
    <t>Deng, M (通讯作者)，Yunnan Univ, Sch Ecol &amp; Environm Sci, Kunming, Yunnan, Peoples R China.</t>
  </si>
  <si>
    <t>dengmin@ynu.edu.cn</t>
  </si>
  <si>
    <t>Foundation for Innovative Research Groups of the National Natural Science Foundation of China [31972858]; Yunnan Key Laboratory for Integrative Conservation of Plant Species [PSESP2021F01]</t>
  </si>
  <si>
    <t>Foundation for Innovative Research Groups of the National Natural Science Foundation of China(National Natural Science Foundation of China (NSFC)); Yunnan Key Laboratory for Integrative Conservation of Plant Species</t>
  </si>
  <si>
    <t>This work was supported by the Foundation for Innovative Research Groups of the National Natural Science Foundation of China under [Grant number 31972858] and Yunnan Key Laboratory for Integrative Conservation of Plant Species with Extremely Small Populations under [Grant number PSESP2021F01].</t>
  </si>
  <si>
    <t>JUL 3</t>
  </si>
  <si>
    <t>10.1080/23802359.2022.2093664</t>
  </si>
  <si>
    <t>2X4DP</t>
  </si>
  <si>
    <t>WOS:000825156600001</t>
  </si>
  <si>
    <t>Liu, JW; Luangharn, T; Yang, SM; Yu, FQ</t>
  </si>
  <si>
    <t>Liu, Jian-Wei; Luangharn, Thatsanee; Yang, Shi-Mei; Yu, Fu-Qiang</t>
  </si>
  <si>
    <t>The complete mitochondrial genome of Polyozellus multiplex (Thelephorales)</t>
  </si>
  <si>
    <t>Mitochondrial genome; phylogenetic relationships; wild edible mushroom</t>
  </si>
  <si>
    <t>The complete mitogenome of Polyozellus multiplex (Underw.) Murrill 1910, was first sequenced, assembled, and annotated in the present study. The mitogenome length was 47,054 bp with a GC content of 23.35%, including 14 conserved protein-coding genes, one ribosomal protein (RPS3), two DNA polymerases (DPO), two rRNA genes (RNS and RNL), and 24 transfer RNA (tRNA) genes. Phylogenetic analysis, based on a combined mitochondrial gene dataset from 17 taxa of four orders within the class Agaricomycetes, was conducted using maximum-likelihood (ML) and Bayesian inference (BI) methods. It is revealed that P. multiplex is closely related to Thelephora aurantiotincta Corner 1968, both of them have been clustered into Thelephorales.</t>
  </si>
  <si>
    <t>Liu, Jian-Wei</t>
  </si>
  <si>
    <t>[Liu, Jian-Wei; Luangharn, Thatsanee] Mae Fah Luang Univ, Ctr Excellence Fungal Res, Chiang Rai, Thailand; [Liu, Jian-Wei] Mae Fah Luang Univ, Sch Sci, Chiang Rai, Thailand; [Liu, Jian-Wei; Yang, Shi-Mei; Yu, Fu-Qiang] Chinese Acad Sci, Kunming Inst Bot, Yunnan Key Lab Fungal Div &amp; Green Dev, Germplasm Bank Wild Species, Kunming, Yunnan, Peoples R China</t>
  </si>
  <si>
    <t>Yu, FQ (通讯作者)，Chinese Acad Sci, Kunming Inst Bot, Kunming 650201, Yunnan, Peoples R China.;Luangharn, T (通讯作者)，Mae Fah Luang Univ, Ctr Excellence Fungal Res, Chiang Rai 57100, Thailand.</t>
  </si>
  <si>
    <t>thatsanee.lua@mfu.ac.th; fqyu@mail.kib.ac.cn</t>
  </si>
  <si>
    <t>Open Research Project of the 'Cross-cooperative Team' of the Germplasm Bank of Wild Species, Kunming Institute of Botany, Chinese Academy of Sciences, International Cooperation and Exchange Projects of the National Natural Science Foundation of China [31961143010]; Thailand Science Research and Innovation (TSRI) [2565 [652A16009]]</t>
  </si>
  <si>
    <t>Open Research Project of the 'Cross-cooperative Team' of the Germplasm Bank of Wild Species, Kunming Institute of Botany, Chinese Academy of Sciences, International Cooperation and Exchange Projects of the National Natural Science Foundation of China; Thailand Science Research and Innovation (TSRI)</t>
  </si>
  <si>
    <t>This work was supported by the Open Research Project of the 'Cross-cooperative Team' of the Germplasm Bank of Wild Species, Kunming Institute of Botany, Chinese Academy of Sciences, International Cooperation and Exchange Projects of the National Natural Science Foundation of China [31961143010] and Thailand Science Research and Innovation (TSRI) for the Fundamental Fund -Basic Research Fund 2565 [652A16009].</t>
  </si>
  <si>
    <t>JUN 3</t>
  </si>
  <si>
    <t>10.1080/23802359.2022.2086077</t>
  </si>
  <si>
    <t>2O8NI</t>
  </si>
  <si>
    <t>WOS:000819308800001</t>
  </si>
  <si>
    <t>Wang, WH; Lv, SY; Liu, L; Meng, YY; Zhang, XL; Ye, XY</t>
  </si>
  <si>
    <t>Wang, Weihua; Lv, Shiyu; Liu, Li; Meng, Yuanyan; Zhang, Xiaolong; Ye, Xiaying</t>
  </si>
  <si>
    <t>The complete chloroplast genome and phylogenetic position of Thamnocalamus unispiculatus (Poaceae: Bambusoideae: Arundinarieae)</t>
  </si>
  <si>
    <t>Arundinarieae; Bambusoideae; chloroplast genome; phylogeny; Thamnocalamus unispiculatus</t>
  </si>
  <si>
    <t>Thamnocalamus unispiculatus T.P.Yi &amp; J.Y.Shi 2007 is an important bamboo species with significant ecological and economic value. This study presents the complete chloroplast genome sequence of T. unispiculatus. The sequence was 139,726 bp in length and exhibited a typical quadripartite structure, containing four regions: large single copy regions (LSC, 83,283 bp), small single copy regions (SSC, 12,851 bp) and a pair of inverted repeats (IRs, 21,726 bp). A total of 130 genes were annotated, including 86 protein-coding genes, 36 transfer RNA genes, and eight ribosomal RNA genes. Phylogenetic analysis indicated that T. unispiculatus and T. spathiflorus are sister species, supporting the conclusion that Thamnocalamus is a monophyletic group. The chloroplast genome of T. unispiculatus promotes the protection and exploration of biodiversity, phylogenetic relationships, and genetic research in Bambusoideae.</t>
  </si>
  <si>
    <t>Wang, Weihua</t>
  </si>
  <si>
    <t>[Wang, Weihua; Liu, Li; Meng, Yuanyan; Zhang, Xiaolong; Ye, Xiaying] Zhaotong Univ, Agron &amp; Life Sci Dept, Zhaotong, Yunnan, Peoples R China; [Wang, Weihua; Liu, Li; Meng, Yuanyan; Zhang, Xiaolong; Ye, Xiaying] Zhaotong Univ, Res Ctr Plateau Characterist Agr Northeast Yunnan, Zhaotong, Peoples R China; [Lv, Shiyu; Ye, Xiaying] Chinese Acad Sci, Kunming Inst Bot, Germplasm Bank Wild Species, Kunming, Yunnan, Peoples R China</t>
  </si>
  <si>
    <t>Zhaotong University; Zhaotong University; Chinese Academy of Sciences; Kunming Institute of Botany, CAS</t>
  </si>
  <si>
    <t>Ye, XY (通讯作者)，Zhaotong Univ, Agron &amp; Life Sci Dept, Zhaotong, Yunnan, Peoples R China.</t>
  </si>
  <si>
    <t>34007@ztu.edu.cn</t>
  </si>
  <si>
    <t>Applied and Fundamental Research Foundation of Yunnan Province [2019FD059]; National Natural Science Foundation of China [31800315]</t>
  </si>
  <si>
    <t>Applied and Fundamental Research Foundation of Yunnan Province; National Natural Science Foundation of China(National Natural Science Foundation of China (NSFC))</t>
  </si>
  <si>
    <t>This work was supported by the Applied and Fundamental Research Foundation of Yunnan Province [2019FD059] and the National Natural Science Foundation of China [31800315].</t>
  </si>
  <si>
    <t>10.1080/23802359.2022.2088308</t>
  </si>
  <si>
    <t>2M5VZ</t>
  </si>
  <si>
    <t>WOS:000817768500001</t>
  </si>
  <si>
    <t>Yin, GS; Yang, M; Chen, Y; Xi, HH; Jiang, MX</t>
  </si>
  <si>
    <t>Yin, Genshen; Yang, Man; Chen, Ye; Xi, Huihui; Jiang, Mingxing</t>
  </si>
  <si>
    <t>The complete plastome sequence of Lilium primulinum var. burmanicum, an ornamental and medicinal plant endemic to China</t>
  </si>
  <si>
    <t>Lilium primulinum var; burmanicum; Liliaceae; complete chloroplast genome; phylogenetic analysis; conservation genetics</t>
  </si>
  <si>
    <t>Lilium primulinum var. burmanicum (W. W. Smith) Stearn 1948 is an ornamental and medicinal plant that has an extremely limited distribution in Yunnan, China. Here, we obtained the complete plastome of L. primulinum var. burmanicum via next-generation sequencing, and conducted phylogenomic analyses with existing species from Lilium. The total length of L. primulinum var. burmanicum was 152,206 bp with a typical quadripartite structure. The whole plastome contained a pair of inverted repeats (IRa/IRb; 26,399 bp) which divided a large single-copy (LSC; 81,854 bp) and a small single-copy (SSC; 17,563 bp). The average GC content among the whole plastome sequence and the LSC, SSC, and IR regions were 37%, 34.8%, 30.6%, and 42.5%, respectively. There were 134 genes detected from the whole plastome sequence, including 87 protein-coding genes, 39 tRNAs, and 8 rRNAs. Phylogenetic analyses using maximum likelihood showed congruent results that L. primulinum var. burmanicum together with L. primulinum var. ochraceum formed a single branch. These results demonstrate a close relationship between these variation species. The newly characterized chloroplast genome presented here will provide essential data for further phylogenomic analyses of the intraspecific relationship among Lilium species and for conservation genetics research of L. primulinum var. burmanicum.</t>
  </si>
  <si>
    <t>Yin, Genshen</t>
  </si>
  <si>
    <t>[Yin, Genshen; Chen, Ye; Jiang, Mingxing] Kunming Univ, Sch Agr &amp; Life Sci, Kunming, Yunnan, Peoples R China; [Yang, Man] Zhengzhou Univ, Sch Life Sci, Zhengzhou, Henan, Peoples R China; [Xi, Huihui] Chinese Acad Sci, Kunming Inst Bot, Kunming, Yunnan, Peoples R China</t>
  </si>
  <si>
    <t>Kunming University; Zhengzhou University; Chinese Academy of Sciences; Kunming Institute of Botany, CAS</t>
  </si>
  <si>
    <t>Jiang, MX (通讯作者)，Kunming Univ, Sch Agr &amp; Life Sci, Kunming, Yunnan, Peoples R China.</t>
  </si>
  <si>
    <t>jiangmingxing2007@126.com</t>
  </si>
  <si>
    <t>National Natural Science Foundation of China [31860107]; Scientific Research Foundation of Yunnan Provincial Department of Education [2021J0709]</t>
  </si>
  <si>
    <t>National Natural Science Foundation of China(National Natural Science Foundation of China (NSFC)); Scientific Research Foundation of Yunnan Provincial Department of Education</t>
  </si>
  <si>
    <t>This work was supported by the National Natural Science Foundation of China [Grant no. 31860107] and the Scientific Research Foundation of Yunnan Provincial Department of Education [Grant no. 2021J0709].</t>
  </si>
  <si>
    <t>10.1080/23802359.2022.2086494</t>
  </si>
  <si>
    <t>2G6VI</t>
  </si>
  <si>
    <t>WOS:000813729600001</t>
  </si>
  <si>
    <t>Wang, WJ; Liu, R; Wu, Y; Wang, H; Yu, WB</t>
  </si>
  <si>
    <t>Wang, Wei-Jia; Liu, Rong; Wu, You; Wang, Hong; Yu, Wen-Bin</t>
  </si>
  <si>
    <t>The complete chloroplast genomes of two Pedicularis species (Orobanchaceae) from Southwest China</t>
  </si>
  <si>
    <t>Chloroplast genome; Orobanchaceae; Pedicularis; plastome; Pedicularis cephalantha; Pedicularis nigra</t>
  </si>
  <si>
    <t>PHYLOGENY</t>
  </si>
  <si>
    <t>We report the complete chloroplast genome (plastome) sequences of Pedicularis cephalantha (147,087 bp) and P. nigra (145,726 bp), endemic to southwestern China. Both plastomes have typical quadripartite structures with one large-single copy region, one small-single copy region, and two inverted repeat regions. Both plastome sequences contained 37 tRNA genes and eight rRNA genes, but they differed in the numbers of protein-coding genes: P. cephalantha had 76 functional genes and 12 pseudogenes while P. nigra had 74 functional genes and 13 pseudogenes. Phylogenetic analysis shows that P. cephalantha and P. nigra are closely related, then sister to P. oederi in the family Orobanchaceae.</t>
  </si>
  <si>
    <t>Wang, Wei-Jia</t>
  </si>
  <si>
    <t>[Wang, Wei-Jia; Wu, You; Wang, Hong] Chinese Acad Sci, Kunming Inst Bot, Key Lab Plant Divers &amp; Biogeog East Asia, Kunming, Yunnan, Peoples R China; [Wang, Wei-Jia; Liu, Rong; Wu, You] Univ Chinese Acad Sci, Beijing, Peoples R China; [Liu, Rong; Yu, Wen-Bin] Chinese Acad Sci, Ctr Integrat Conservat, Xishuangbanna Trop Bot Garden, Menglun, Peoples R China; [Yu, Wen-Bin] Chinese Acad Sci, Ctr Conservat Biol, Core Bot Gardens, Menglun, Peoples R China; [Yu, Wen-Bin] Chinese Acad Sci, Southeast Asia Biodivers Res Inst, Nay Pyi Taw, Myanmar</t>
  </si>
  <si>
    <t>Chinese Academy of Sciences; Kunming Institute of Botany, CAS; Chinese Academy of Sciences; University of Chinese Academy of Sciences, CAS; Chinese Academy of Sciences; Xishuangbanna Tropical Botanical Garden, CAS; Chinese Academy of Sciences</t>
  </si>
  <si>
    <t>Wang, H (通讯作者)，Chinese Acad Sci, Kunming Inst Bot, Key Lab Plant Divers &amp; Biogeog East Asia, Kunming, Yunnan, Peoples R China.;Yu, WB (通讯作者)，Chinese Acad Sci, Ctr Integrat Conservat, Xishuangbanna Trop Bot Garden, Menglun, Peoples R China.</t>
  </si>
  <si>
    <t>wanghong@mail.kib.ac.cn; yuwenbin@xtbg.ac.cn</t>
  </si>
  <si>
    <t>Yu, Wen-Bin/H-8339-2014</t>
  </si>
  <si>
    <t>Yu, Wen-Bin/0000-0002-7643-2112</t>
  </si>
  <si>
    <t>National Natural Science Foundation of China [31870196, 32071670]; Large-Scale Scientific Facilities of the Chinese Academy of Sciences [2017LSFGBOWS-02]; Open Research Project of Cross-Cooperative Team of the Germplasm Bank of Wild Species, Kunming Institute of Botany, Chinese Academy of Sciences, the CAS 135 Program [2017XTBG-T03]</t>
  </si>
  <si>
    <t>National Natural Science Foundation of China(National Natural Science Foundation of China (NSFC)); Large-Scale Scientific Facilities of the Chinese Academy of Sciences; Open Research Project of Cross-Cooperative Team of the Germplasm Bank of Wild Species, Kunming Institute of Botany, Chinese Academy of Sciences, the CAS 135 Program</t>
  </si>
  <si>
    <t>This study was supported by grants from the National Natural Science Foundation of China [Nos. 31870196, 32071670], the Large-Scale Scientific Facilities of the Chinese Academy of Sciences [No. 2017LSFGBOWS-02], and the Open Research Project of Cross-Cooperative Team of the Germplasm Bank of Wild Species, Kunming Institute of Botany, Chinese Academy of Sciences, the CAS 135 Program [No. 2017XTBG-T03].</t>
  </si>
  <si>
    <t>10.1080/23802359.2022.2080018</t>
  </si>
  <si>
    <t>2A1EC</t>
  </si>
  <si>
    <t>WOS:000809252500001</t>
  </si>
  <si>
    <t>Shi, WB; Song, WC; Peng, Y; Wang, S; Yang, GW; Shi, C</t>
  </si>
  <si>
    <t>Shi, Wenbo; Song, Weicai; Peng, Yuan; Wang, Shuo; Yang, Guiwen; Shi, Chao</t>
  </si>
  <si>
    <t>The complete mitochondrial genome sequence and annotation of Tylopilus plumbeoviolaceoides TH Li, B. Song &amp; YH Shen, 2002 (Boletaceae, Boletoideae)</t>
  </si>
  <si>
    <t>Tylopilus plumbeoviolaceoides; Boletaceae; mitochondrial genome; phylogenetic relationships</t>
  </si>
  <si>
    <t>Tylopilus plumbeoviolaceoides T.H. Li, B. Song &amp; Y.H. Shen, 2002 is a species of basidiomycete in the family Boletaceae and is mainly found in Yunnan and Guangdong provinces in China. In this study, the mitochondrial genome of T. plumbeoviolaceoides was reported for the first time. The total length of the mitochondrial genome of T. plumbeoviolaceoides was 37,242 bp, with GC content of 23.0%. The mitochondrial genome of T. plumbeoviolaceoides contained 14 conserved protein-coding genes, 25 transfer RNA genes, and 2 ribosomal RNA genes. The phylogenetic tree indicated that T. plumbeoviolaceoides was closely related to Xerocomus impolitus and Butyriboletus roseoflavus. The complete mitochondrial genome of T. plumbeoviolaceoides will be useful for future research on basidiomycetes.</t>
  </si>
  <si>
    <t>Shi, Wenbo</t>
  </si>
  <si>
    <t>[Shi, Wenbo; Song, Weicai; Peng, Yuan; Wang, Shuo; Shi, Chao] Qingdao Univ Sci &amp; Technol, Coll Marine Sci &amp; Biol Engn, Qingdao, Peoples R China; [Wang, Shuo; Yang, Guiwen] Shandong Normal Univ, Coll Life Sci, Shandong Prov Key Lab Anim Resistance Biol, Jinan, Shandong, Peoples R China; [Shi, Chao] Chinese Acad Sci, Plant Germplasm &amp; Genom Ctr, Kunming Inst Bot, Germplasm Bank Wild Species Southwest China, Kunming, Yunnan, Peoples R China</t>
  </si>
  <si>
    <t>Qingdao University of Science &amp; Technology; Shandong Normal University; Chinese Academy of Sciences; Kunming Institute of Botany, CAS</t>
  </si>
  <si>
    <t>Shi, C (通讯作者)，Qingdao Univ Sci &amp; Technol, Coll Marine Sci &amp; Biol Engn, Qingdao, Peoples R China.</t>
  </si>
  <si>
    <t>chsh1111@aliyun.com</t>
  </si>
  <si>
    <t>SHI, wen/GPW-9531-2022</t>
  </si>
  <si>
    <t>This work was supported by the National Natural Science Foundation of China [NO. 31801022] and Shandong Province Natural Science Foundation of China [NO. ZR2019BC094].</t>
  </si>
  <si>
    <t>10.1080/23802359.2022.2079104</t>
  </si>
  <si>
    <t>2B5FE</t>
  </si>
  <si>
    <t>WOS:000810213100001</t>
  </si>
  <si>
    <t>Wang, YC; Zhang, ZR; Yan, LJ</t>
  </si>
  <si>
    <t>Wang, Yong-Chao; Zhang, Zhi-Rong; Yan, Li-Jun</t>
  </si>
  <si>
    <t>Characterization of the complete plastid genome of Scutellaria microviolacea (Lamiaceae), a species endemic to Yunnan Province of China</t>
  </si>
  <si>
    <t>Scutellaria microviolacea; endemic species; Lamiaceae; plastid genome; phylogeny</t>
  </si>
  <si>
    <t>The complete plastid genome of Scutellaria microviolacea C. Y. Wu was firstly reported. The full length of the plastid genome was 152,092 bp and comprised of a large single-copy (LSC) region of 84,090 bp, a small single-copy (SSC) region of 17,534 bp, and two inverted repeat regions (IRs) of 25,234 bp. A total of 131 genes were encoded, including 87 protein-coding genes, 36 tRNA genes, and 8 rRNA genes. The overall GC content of the S. microviolacea plastid genome was 38.3%. Further phylogenetic analysis based on 18 accessions inferred that the genus Scutellaria can be divided into two clades, and S. microviolacea is evolutionarily close to Scutellaria tsinyunensis. Our study provided essential genetic resources for further studies on the evolution and genetic diversity of the genus Scutellaria and its related taxa.</t>
  </si>
  <si>
    <t>Wang, Yong-Chao</t>
  </si>
  <si>
    <t>[Wang, Yong-Chao; Yan, Li-Jun] Yunnan Normal Univ, Sch Vocat &amp; Tech Educ, 298,121 St, Kunming 650092, Yunnan, Peoples R China; [Zhang, Zhi-Rong] Chinese Acad Sci, Kunming Inst Bot, Germplasm Bank Wild Species, Kunming, Yunnan, Peoples R China</t>
  </si>
  <si>
    <t>Yan, LJ (通讯作者)，Yunnan Normal Univ, Sch Vocat &amp; Tech Educ, 298,121 St, Kunming 650092, Yunnan, Peoples R China.</t>
  </si>
  <si>
    <t>yanlijun@ynnu.edu.cn</t>
  </si>
  <si>
    <t>National Natural Science Foundation of China [31700179, 32160240]; Yunnan Fundamental Research Project [202001AT070062]</t>
  </si>
  <si>
    <t>National Natural Science Foundation of China(National Natural Science Foundation of China (NSFC)); Yunnan Fundamental Research Project</t>
  </si>
  <si>
    <t>This work was supported by the National Natural Science Foundation of China [31700179 and 32160240], Yunnan Fundamental Research Project [202001AT070062].</t>
  </si>
  <si>
    <t>10.1080/23802359.2022.2069521</t>
  </si>
  <si>
    <t>1A2JH</t>
  </si>
  <si>
    <t>WOS:000791589100001</t>
  </si>
  <si>
    <t>Chen, ZM; Li, H; Song, WC; Shi, WB; Qin, G; Chao, S</t>
  </si>
  <si>
    <t>Chen, Zimeng; Li He; Song Weicai; Shi, Wenbo; Qin Gong; Chao Shi</t>
  </si>
  <si>
    <t>Complete chloroplast genome sequence and annotation of Actinodaphne lecomtei CKAllen, 1938 (Lauraceae)</t>
  </si>
  <si>
    <t>Actinodaphne lecomtei; Lauraceae; chloroplast genome; phylogenetic relationships</t>
  </si>
  <si>
    <t>PHYLOGENY; LITSEA</t>
  </si>
  <si>
    <t>Actinodaphne lecomtei C.K.Allen, 1938 is an evergreen tree of the Lauraceae family and grows at the mountainous areas of southwestern China. In this study, we presented the first complete chloroplast genome sequence of A. lecomtei. We analyzed the chloroplast genome structure of A. lecomtei and performed a phylogenetic analysis. The complete chloroplast genome of A. lecomtei was 152,863 bp in length which contains a large single-copy (LSC) region of 93,763 bp, a small single-copy (SSC) region of 18,814 bp, and two inverted repeat (IR) regions of 20,143 bp. The analysis identified 128 genes, comprised of 84 protein-coding genes, 36 tRNAs, and eight rRNAs. The GC content of A. lecomtei complete chloroplast genome was 39.1%. The phylogenetic analysis result demonstrated that A. lecomtei was closely related to A. obovate.</t>
  </si>
  <si>
    <t>Chen, Zimeng</t>
  </si>
  <si>
    <t>[Chen, Zimeng; Song Weicai; Shi, Wenbo; Qin Gong; Chao Shi] Qingdao Univ Sci &amp; Technol, Coll Marine Sci &amp; Biol Engn, Qingdao, Peoples R China; [Li He] Qingdao Univ Sci &amp; Technol, Coll Art, Qingdao, Peoples R China; [Chao Shi] Chinese Acad Sci, Plant Germplasm &amp; Genom Ctr, Kunming Inst Bot, Germplasm Bank Wild Species Southwest China, Kunming, Yunnan, Peoples R China</t>
  </si>
  <si>
    <t>Qingdao University of Science &amp; Technology; Qingdao University of Science &amp; Technology; Chinese Academy of Sciences; Kunming Institute of Botany, CAS</t>
  </si>
  <si>
    <t>Chao, S (通讯作者)，Qingdao Univ Sci &amp; Technol, Coll Marine Sci &amp; Biol Engn, Qingdao, Peoples R China.</t>
  </si>
  <si>
    <t>Chen, zimeng/0000-0002-8952-0664; Shi, Wenbo/0000-0003-2465-0465</t>
  </si>
  <si>
    <t>This work was supported by the National Natural Science Foundation of China [No. 31801022] and Shandong Province Natural Science Foundation of China [No. ZR2019BC094].</t>
  </si>
  <si>
    <t>10.1080/23802359.2022.2054382</t>
  </si>
  <si>
    <t>0A1GY</t>
  </si>
  <si>
    <t>WOS:000773711100001</t>
  </si>
  <si>
    <t>Duan, ZY; Zhao, CL</t>
  </si>
  <si>
    <t>Duan, Zi-Yan; Zhao, Chang-Lin</t>
  </si>
  <si>
    <t>Basidiodendron yunnanense (Auriculariales), a new species from southern China based on morphological and molecular evidence</t>
  </si>
  <si>
    <t>ANNALES BOTANICI FENNICI</t>
  </si>
  <si>
    <t>A wood-decaying fungal species, Basidiodendron yunnanense Z.Y. Duan &amp; C.L. Zhao sp. nova (Auriculariales) from the Yunnan-Guizhou Plateau, China, is described based on morphological and molecular evidence. Basidiodendron yunnanense has effused, monomitic basidiomata, clamped hyphae, abundant gloeocystidia and broadly ellipsoid or subglobose basidiospores (5-6.5 x 4.5-6 mu m). According to a phylogenetic analysis based on ITS region sequences, as well as according to maximum likelihood analysis, maximum parsimony and Bayesian inference B. yunnanense is sister to B. luteogriseum in a monophyletic clade sister to a clade formed of B. alni and B. eyrei.</t>
  </si>
  <si>
    <t>Duan, Zi-Yan</t>
  </si>
  <si>
    <t>[Duan, Zi-Yan; Zhao, Chang-Lin] Southwest Forestry Univ, Key Lab Forest Resources Conservat &amp; Utilizat Sou, Minist Educ, CN-650224 Kunming, Yunnan, Peoples R China; [Zhao, Chang-Lin] Southwest Forestry Univ, Yunnan Key Lab Plateau Wetland Conservat Restorat, CN-650224 Kunming, Yunnan, Peoples R China; [Duan, Zi-Yan; Zhao, Chang-Lin] Southwest Forestry Univ, Coll Biodivers Conservat, CN-650224 Kunming, Yunnan, Peoples R China; [Zhao, Chang-Lin] Chinese Acad Sci, Kunming Inst Bot, Yunnan Key Lab Fungal Divers &amp; Green Dev, CN-650201 Kunming, Yunnan, Peoples R China</t>
  </si>
  <si>
    <t>Zhao, CL (通讯作者)，Southwest Forestry Univ, Key Lab Forest Resources Conservat &amp; Utilizat Sou, Minist Educ, CN-650224 Kunming, Yunnan, Peoples R China.;Zhao, CL (通讯作者)，Southwest Forestry Univ, Yunnan Key Lab Plateau Wetland Conservat Restorat, CN-650224 Kunming, Yunnan, Peoples R China.;Zhao, CL (通讯作者)，Southwest Forestry Univ, Coll Biodivers Conservat, CN-650224 Kunming, Yunnan, Peoples R China.;Zhao, CL (通讯作者)，Chinese Acad Sci, Kunming Inst Bot, Yunnan Key Lab Fungal Divers &amp; Green Dev, CN-650201 Kunming, Yunnan, Peoples R China.</t>
  </si>
  <si>
    <t>National Natural Science Foundation of China [32170004, U2102220]; Yunnan Fundamental Research Project [202001AS070043]; Yunnan Academy of Biodiversity, Southwest Forestry University</t>
  </si>
  <si>
    <t>National Natural Science Foundation of China(National Natural Science Foundation of China (NSFC)); Yunnan Fundamental Research Project; Yunnan Academy of Biodiversity, Southwest Forestry University</t>
  </si>
  <si>
    <t>The research was supported by the National Natural Science Foundation of China (projects 32170004, U2102220), the Yunnan Fundamental Research Project (grant 202001AS070043) and the Yunnan Academy of Biodiversity, Southwest Forestry University.</t>
  </si>
  <si>
    <t>FINNISH ZOOLOGICAL BOTANICAL PUBLISHING BOARD</t>
  </si>
  <si>
    <t>UNIV HELSINKI</t>
  </si>
  <si>
    <t>P O BOX 26, FI-00014 UNIV HELSINKI, FINLAND</t>
  </si>
  <si>
    <t>0003-3847</t>
  </si>
  <si>
    <t>1797-2442</t>
  </si>
  <si>
    <t>ANN BOT FENN</t>
  </si>
  <si>
    <t>Ann. Bot. Fenn.</t>
  </si>
  <si>
    <t>7K7SH</t>
  </si>
  <si>
    <t>WOS:000905477700026</t>
  </si>
  <si>
    <t>Qu, MH; Zhao, CL</t>
  </si>
  <si>
    <t>Qu, Meng-Han; Zhao, Chang-Lin</t>
  </si>
  <si>
    <t>Xylodon flocculosus sp. nov. from Yunnan, China</t>
  </si>
  <si>
    <t>MYCOTAXON</t>
  </si>
  <si>
    <t>Honghe county; Hymenochaetales; Schizoporaceae; taxonomy; wood -rotting; fungi</t>
  </si>
  <si>
    <t>SOUTHERN CHINA; HYPHODONTIA; BASIDIOMYCOTA; HYMENOCHAETALES; SCHIZOPORACEAE; S.L.; PHYLOGENY; FUNGI</t>
  </si>
  <si>
    <t>new corticioid fungal species, Xylodon flocculosus, is described from China based on morphological and ITS+LSU sequence analyses.</t>
  </si>
  <si>
    <t>[Qu, Meng-Han; Zhao, Chang-Lin] Southwest Forestry Univ, Minist Educ, Key Lab Forest Resources Conservat &amp; Utilizat Sou, Kunming 650224, Yunnan, Peoples R China; [Zhao, Chang-Lin] Southwest Forestry Univ, Coll Biodivers Conservat, Kunming 650224, Yunnan, Peoples R China; [Qu, Meng-Han] Southwest Forestry Univ, Coll Forestry, Kunming 650224, Yunnan, Peoples R China; [Zhao, Chang-Lin] Chinese Acad Sci, Kunming Inst Bot, Yunnan Key Lab Fungal Divers &amp; Green Dev, Kunming 650201, Yunnan, Peoples R China</t>
  </si>
  <si>
    <t>Zhao, CL (通讯作者)，Southwest Forestry Univ, Minist Educ, Key Lab Forest Resources Conservat &amp; Utilizat Sou, Kunming 650224, Yunnan, Peoples R China.;Zhao, CL (通讯作者)，Southwest Forestry Univ, Coll Biodivers Conservat, Kunming 650224, Yunnan, Peoples R China.;Zhao, CL (通讯作者)，Chinese Acad Sci, Kunming Inst Bot, Yunnan Key Lab Fungal Divers &amp; Green Dev, Kunming 650201, Yunnan, Peoples R China.</t>
  </si>
  <si>
    <t>MYCOTAXON LTD</t>
  </si>
  <si>
    <t>ITHACA</t>
  </si>
  <si>
    <t>PO BOX 264, ITHACA, NY 14851-0264 USA</t>
  </si>
  <si>
    <t>0093-4666</t>
  </si>
  <si>
    <t>Mycotaxon</t>
  </si>
  <si>
    <t>10.5248/137.189</t>
  </si>
  <si>
    <t>3W7WT</t>
  </si>
  <si>
    <t>WOS:000842560600003</t>
  </si>
  <si>
    <t>Cinereomyces wuliangshanensis sp. nov. from China</t>
  </si>
  <si>
    <t>Gelatoporiaceae; Polyporales; taxonomy; wood-inhabiting fungi; Yunnan Province</t>
  </si>
  <si>
    <t>POLYPORALES; BASIDIOMYCOTA</t>
  </si>
  <si>
    <t>A new poroid wood-inhabiting fungal species, Cinereomyces wuliangshanensis, is proposed based on morphological and molecular characters. The species is characterized by resupinate brittle basidiomata with a white pore surface, a dimitic hyphal system with clamped generative hyphae, and subglobose to broadly ellipsoid hyaline thin-walled smooth basidiospores (4.2-5.1 x 2.9-3.8 mu m). Sequences were generated from the internal transcribed spacer (ITS) region of nuclear ribosomal RNA gene and phylogenetically analyzed using maximum likelihood, maximum parsimony, and Bayesian inference methods. The phylogeny strongly (100% BS, 100% BT, 1.00 BPP) supports C. wuliangshanensis in a monophyletic lineage grouping with C. lindbladii and a clade comprising Obba rivulosa and O. valdiviana.</t>
  </si>
  <si>
    <t>[Luo, Kai-Yue; Zhao, Chang-Lin] Southwest Forestry Univ, Yunnan Key Lab Plateau Wetland Conservat Restorat, Kunming 650224, Yunnan, Peoples R China; [Zhao, Chang-Lin] Southwest Forestry Univ, Key Lab Forest Resources Conservat &amp; Utilizat Sou, Minist Educ, Kunming 650224, Yunnan, Peoples R China; [Luo, Kai-Yue; Zhao, Chang-Lin] Southwest Forestry Univ, Coll Biodivers Conservat, Kunming 650224, Yunnan, Peoples R China; [Zhao, Chang-Lin] Chinese Acad Sci, Kunming Inst Bot, Yunnan Key Lab Fungal Divers &amp; Green Dev, Kunming 650201, Yunnan, Peoples R China</t>
  </si>
  <si>
    <t>Zhao, CL (通讯作者)，Southwest Forestry Univ, Yunnan Key Lab Plateau Wetland Conservat Restorat, Kunming 650224, Yunnan, Peoples R China.;Zhao, CL (通讯作者)，Southwest Forestry Univ, Key Lab Forest Resources Conservat &amp; Utilizat Sou, Minist Educ, Kunming 650224, Yunnan, Peoples R China.;Zhao, CL (通讯作者)，Southwest Forestry Univ, Coll Biodivers Conservat, Kunming 650224, Yunnan, Peoples R China.;Zhao, CL (通讯作者)，Chinese Acad Sci, Kunming Inst Bot, Yunnan Key Lab Fungal Divers &amp; Green Dev, Kunming 650201, Yunnan, Peoples R China.</t>
  </si>
  <si>
    <t>10.5248/137.209</t>
  </si>
  <si>
    <t>WOS:000842560600005</t>
  </si>
  <si>
    <t>Li, YF; Zhao, CL</t>
  </si>
  <si>
    <t>Li, Yi-Fei; Zhao, Chang-Lin</t>
  </si>
  <si>
    <t>Adustochaete yunnanensis sp. nov. from China</t>
  </si>
  <si>
    <t>Auriculariaceae; Auriculariales; Basidiomycota; taxonomy; Yunnan Province</t>
  </si>
  <si>
    <t>AURICULARIALES; BASIDIOMYCOTA</t>
  </si>
  <si>
    <t>new wood-rotting fungal species, Adustochaete yunnanensis, is described from China on the basis of morphological and molecular data. The new fungus is characterized by annual, resupinate basidiomata with a grandinioid hymenial surface, encrusted hyphidia, and narrow cylindrical to allantoid basidiospores. ITS and nLSU rRNA sequences were generated from samples and analyzed phylogenetically using Maximum Likelihood, Maximum Parsimony, and Bayesian Inference methods. The phylogeny clustered A. yunnanensis within Adustochaete, where it formed a well-supported independent lineage sister to a clade comprising A. interrupta and A. rava. An identification key to Adustochaete species is provided.</t>
  </si>
  <si>
    <t>Li, Yi-Fei</t>
  </si>
  <si>
    <t>[Li, Yi-Fei; Zhao, Chang-Lin] Southwest Forestry Univ, Minist Educ, Yunnan Key Lab Plateau Wetland Conservat Restorat, Kunming 650224, Yunnan, Peoples R China; [Zhao, Chang-Lin] Southwest Forestry Univ, Minist Educ, Key Lab Forest Resources Conservat &amp; Utilizat Sou, Kunming 650224, Yunnan, Peoples R China; [Li, Yi-Fei; Zhao, Chang-Lin] Southwest Forestry Univ, Coll Biodivers Conservat, Kunming 650224, Yunnan, Peoples R China; [Zhao, Chang-Lin] Chinese Acad Sci, Kunming Inst Bot, Yunnan Key Lab Fungal Divers &amp; Green Dev, Kunming 650201, Yunnan, Peoples R China</t>
  </si>
  <si>
    <t>Zhao, CL (通讯作者)，Southwest Forestry Univ, Minist Educ, Yunnan Key Lab Plateau Wetland Conservat Restorat, Kunming 650224, Yunnan, Peoples R China.;Zhao, CL (通讯作者)，Southwest Forestry Univ, Minist Educ, Key Lab Forest Resources Conservat &amp; Utilizat Sou, Kunming 650224, Yunnan, Peoples R China.;Zhao, CL (通讯作者)，Southwest Forestry Univ, Coll Biodivers Conservat, Kunming 650224, Yunnan, Peoples R China.;Zhao, CL (通讯作者)，Chinese Acad Sci, Kunming Inst Bot, Yunnan Key Lab Fungal Divers &amp; Green Dev, Kunming 650201, Yunnan, Peoples R China.</t>
  </si>
  <si>
    <t>10.5248/137.261</t>
  </si>
  <si>
    <t>WOS:000842560600011</t>
  </si>
  <si>
    <t>Kalamulla, R; Karunarathna, SC; Asad, S; Tibpromma, S; Stephenson, SL; Promputtha, I; Yapa, N</t>
  </si>
  <si>
    <t>Kalamulla, Ruwanthika; Karunarathna, Samantha C.; Asad, Suhail; Tibpromma, Saowaluck; Stephenson, Steven L.; Promputtha, Itthayakorn; Yapa, Neelamanie</t>
  </si>
  <si>
    <t>Biocontrol Potential of Arbuscular Mycorrhizal Fungi on Soil-borne Pathogens in Rice and Other Crops</t>
  </si>
  <si>
    <t>CHIANG MAI JOURNAL OF SCIENCE</t>
  </si>
  <si>
    <t>Glomeromycota; mycorrhizal symbiosis; biological control; chemical signaling; fungal pathogens</t>
  </si>
  <si>
    <t>INNATE IMMUNITY; RHIZOSPHERE; PSEUDOMONAS; BACTERIAL; DEFENSE; GROWTH; GENES; ROT</t>
  </si>
  <si>
    <t>Arbuscular mycorrhizal fungi (AMF) are soil-borne fungi that form mutualistic symbiosis with plant roots, and can significantly improve plant nutrient uptake and increase resistance to several biotic and abiotic stresses. Though most rice cultivation systems involved submerged growing conditions, researchers are exploring the potential of AMF colonization and its benefi ts for rice. AMF has a potential of serving as a biocontrol agent in rice plants via direct mechanisms viz. nutrient improvement, competition, integration, morphological, biochemical, and physiological alteration and indirectly via induction of systemic induced resistance (ISR) in plants. Furthermore, other biotic factors (host genotype, age of the plant, species of AMF that is involved, degree of mycorrhization, presence of weed plants) and abiotic factors (soil temperature, moisture, nutrient content, and atmospheric gas composition, crop management systems) can be affected the process of biocontrol by AMF. These different mechanisms cannot be considered completely independent from one another. The potential for biocontrol by AMF depends mainly on all these mechanisms in conjunction with all of the other biotic and abiotic factors that affect mycorrhization. By considering such mechanisms, in this review we discussed the suitability of the application of AMF as a pathogen biocontrol agent in rice and the other crop plants, while reducing the application of chemical agents to control the diseases. However, for considering AMF as a better alternative for the synthetic agrochemicals, more research should be conducted by applying AMF and synthetic chemicals to compare the levels of pathogen control.</t>
  </si>
  <si>
    <t>Kalamulla, Ruwanthika</t>
  </si>
  <si>
    <t>[Kalamulla, Ruwanthika; Promputtha, Itthayakorn] Chiang Mai Univ, Fac Sci, Dept Biol, Chiang Mai 50200, Thailand; [Karunarathna, Samantha C.; Tibpromma, Saowaluck] Kunming Inst Bot, Ctr Mt Futures, Kunming 650201, Yunnan, Peoples R China; [Kalamulla, Ruwanthika; Yapa, Neelamanie] Rajarata Univ Sri Lanka, Fac Appl Sci, Mihintale 50300, Sri Lanka; [Asad, Suhail] Yunnan Agr Univ, State Key Lab Conservat &amp; Utilizat Bioresources Y, Kunming 650201, Yunnan, Peoples R China; [Stephenson, Steven L.] Univ Arkansas, Dept Biol Sci, Fayetteville, AR 72701 USA</t>
  </si>
  <si>
    <t>Chiang Mai University; Chinese Academy of Sciences; Kunming Institute of Botany, CAS; Rajarata University of Sri Lanka; Yunnan Agricultural University; University of Arkansas System; University of Arkansas Fayetteville</t>
  </si>
  <si>
    <t>Promputtha, I (通讯作者)，Chiang Mai Univ, Fac Sci, Dept Biol, Chiang Mai 50200, Thailand.;Yapa, N (通讯作者)，Rajarata Univ Sri Lanka, Fac Appl Sci, Mihintale 50300, Sri Lanka.</t>
  </si>
  <si>
    <t>ppam118@gmail.com; neelamanie@as.rjt.ac.lk</t>
  </si>
  <si>
    <t>CHIANG MAI UNIV, FAC SCIENCE</t>
  </si>
  <si>
    <t>CHIANG MAI</t>
  </si>
  <si>
    <t>239 HUAY KAEW RD, T SUTHEP, CHIANG MAI, 50200, THAILAND</t>
  </si>
  <si>
    <t>0125-2526</t>
  </si>
  <si>
    <t>CHIANG MAI J SCI</t>
  </si>
  <si>
    <t>Chiang Mai J. Sci.</t>
  </si>
  <si>
    <t>10.12982/CMJS.2022.057</t>
  </si>
  <si>
    <t>3N4WL</t>
  </si>
  <si>
    <t>WOS:000836149400001</t>
  </si>
  <si>
    <t>Ye, L; Karunarathna, SC; Li, HL; Wanasinghe, DN; Kumla, J; Xu, JC; Galappaththi, MCA; Mortimer, PE</t>
  </si>
  <si>
    <t>Ye, Lei; Karunarathna, Samantha C.; Li, Huili; Wanasinghe, Dhanushka N.; Kumla, Jaturong; Xu, Jianchu; Galappaththi, Mahesh C. A.; Mortimer, Peter E.</t>
  </si>
  <si>
    <t>A New Tropical Species of Lycoperdon Subgenus Morganella (Agaricales, Basidiomycota) From Yunnan Province, China</t>
  </si>
  <si>
    <t>Lignicolous puffballs; Lycoperdaceae; phylogeny; taxonomy</t>
  </si>
  <si>
    <t>SEQUENCE DATA; REVISION; NORTH; FUNGI</t>
  </si>
  <si>
    <t>Two specimens of Lycoperdon were collected in 2012 and 2013 during surveys conducted in evergreen broadleaf forests of Xishuangbanna, Yunnan Province, China. Macro- and micromorphological characteristics, together with analyses of combined ITS and LSU sequence data, showed that five specimens represent a single new species and is thus named as Lycoperdon mengsongense. The new species is distinguished from the known taxa in Lycoperdon by its greyish white to dark grey exoperidium covered by minute and blackish grey granules, smooth to wrinkled endoperidium, nonchambered subgleba and echinate basidiospores. Comprehensive morphological descriptions, color photographs of macro- and micro- characteristics and a phylogenetic tree to show the placement of the new species are provided. In addition, the new species is compared with closely related taxa in Lycoperdon subgenus Morganella.</t>
  </si>
  <si>
    <t>Ye, Lei</t>
  </si>
  <si>
    <t>[Ye, Lei; Karunarathna, Samantha C.; Li, Huili; Wanasinghe, Dhanushka N.; Kumla, Jaturong; Mortimer, Peter E.] Chinese Acad Sci, Kunming Inst Bot, Ctr Mt Futures, 132 Lanhei Rd, Kunming 650201, Yunnan, Peoples R China; [Ye, Lei; Karunarathna, Samantha C.; Li, Huili; Wanasinghe, Dhanushka N.; Kumla, Jaturong; Xu, Jianchu] World Agroforestry Ctr, CIFOR ICRAF China Program, 132 Lanhei Rd, Kunming 650201, Yunnan, Peoples R China; [Kumla, Jaturong] Chiang Mai Univ, Fac Sci, Dept Biol, Chiang Mai 50200, Thailand; [Galappaththi, Mahesh C. A.] Univ Peradeniya, Postgrad Inst Sci, Peradeniya, Sri Lanka; [Ye, Lei] Yunnan Acad Agr Sci, Res Inst Alpine Econ Plant, Lijiang 674100, Peoples R China; [Karunarathna, Samantha C.] Qujing Normal Univ, Coll Biol Resource &amp; Food Engn, Ctr Yunnan Plateau Biol Resources Protect &amp; Utili, Qujing 655011, Yunnan, Peoples R China</t>
  </si>
  <si>
    <t>Chinese Academy of Sciences; Kunming Institute of Botany, CAS; Chiang Mai University; University of Peradeniya; Yunnan Academy of Agricultural Sciences</t>
  </si>
  <si>
    <t>Karunarathna, SC; Mortimer, PE (通讯作者)，Chinese Acad Sci, Kunming Inst Bot, Ctr Mt Futures, 132 Lanhei Rd, Kunming 650201, Yunnan, Peoples R China.;Karunarathna, SC (通讯作者)，World Agroforestry Ctr, CIFOR ICRAF China Program, 132 Lanhei Rd, Kunming 650201, Yunnan, Peoples R China.</t>
  </si>
  <si>
    <t>samanthakarunarathna@gmail.com; peter@mail.kib.ac.cn</t>
  </si>
  <si>
    <t>National Science Foundation of China (NSFC) [31851110759, 41761144055, 41771063]; CGIAR Research Program 6: Forest, Trees and Agroforestry; Kunming Institute of Botany, Chinese Academy of Science (CAS); Chinese Ministry of Science and Technology, under the 12th 5-year National Key Technology Support Program (NKTSP) [2013BAB07B06]; CAS President's International Fellowship Initiative (PIFI) [2021FYB0005]; Postdoctoral Fund from Human Resources and Social Security Bureau of Yunnan Province; Joint Project of Basic Agricultural Research in Yunnan Province [No2018FG001-032]; Chiang Mai University</t>
  </si>
  <si>
    <t>National Science Foundation of China (NSFC)(National Natural Science Foundation of China (NSFC)); CGIAR Research Program 6: Forest, Trees and Agroforestry(CGIAR); Kunming Institute of Botany, Chinese Academy of Science (CAS); Chinese Ministry of Science and Technology, under the 12th 5-year National Key Technology Support Program (NKTSP); CAS President's International Fellowship Initiative (PIFI); Postdoctoral Fund from Human Resources and Social Security Bureau of Yunnan Province; Joint Project of Basic Agricultural Research in Yunnan Province; Chiang Mai University</t>
  </si>
  <si>
    <t>We would like to thank the National Science Foundation of China (NSFC), project codes 41761144055 and 41771063. In addition, the CGIAR Research Program 6: Forest, Trees and Agroforestry, the Kunming Institute of Botany, Chinese Academy of Science (CAS) and the Chinese Ministry of Science and Technology, under the 12th 5-year National Key Technology Support Program (NKTSP) 2013BAB07B06 integration and comprehensive demonstration of key technologies on Green Phosphate-mountain construction for providing financial support for this study. We would like to thank the Herbarium of the Kunming Institute of Botany, Chinese Academy of Sciences for providing us with the use of an electron microscope. Samantha C. Karunarathna thanks CAS President's International Fellowship Initiative (PIFI) for funding his postdoctoral research (number 2018PC0006) and National Science Foundation of China (NSFC) project code 31851110759. Dhanushka Wanasinghe would like to thank CAS President's International Fellowship Initiative (PIFI) for funding his postdoctoral research (number 2021FYB0005) and the Postdoctoral Fund from Human Resources and Social Security Bureau of Yunnan Province. Lei Ye would like to thank Joint Project of Basic Agricultural Research in Yunnan Province (No2018FG001-032) for providing microscope and specimen handling instruction. This research was partially supported by Chiang Mai University. Fiona Worthy in the World Agroforestry Centre (ICRAF), Kunming Institute of Botany, China, is thanked for English language editing.</t>
  </si>
  <si>
    <t>10.12982/CMJS.2022.051</t>
  </si>
  <si>
    <t>3M8WL</t>
  </si>
  <si>
    <t>WOS:000835737500002</t>
  </si>
  <si>
    <t>Phonemany, M; Niego, AGT; Karunarathna, SC; Hu, YW; Luangharn, T; Sysouphanthong, P; Lumyong, S; Zhao, RL; He, MQ; Thongklang, N; Hyde, KD</t>
  </si>
  <si>
    <t>Phonemany, Monthien; Niego, Allen Grace T.; Karunarathna, Samantha C.; Hu, Yuwei; Luangharn, Thatsanee; Sysouphanthong, Phongeun; Lumyong, Saisamorn; Zhao, Rui-Lin; He, Mao-Qiang; Thongklang, Naritsada; Hyde, Kevin D.</t>
  </si>
  <si>
    <t>basidiomycetes; Laos; macrofungi; Thailand; Vietnam; website; Yunnan province</t>
  </si>
  <si>
    <t>PLEUROTUS</t>
  </si>
  <si>
    <t>The Greater Mekong Sub-region (GMS) is a global biodiversity hotspot and habitat for many ecologically and economically important mushrooms species. The diversity of mushrooms in the GMS has been studied and published in different journals, and many have been documented from different countries in the GMS region but data remain mostly fragmented. A comprehensive website, https://gmsmushrooms.org/, was established to update the taxonomy, illustrations, descriptions and other useful information for mushroom species reported from the GMS into a single platform. The website is managed by expert mycologists who regularly update information as new macrofungi are introduced from the GMS.</t>
  </si>
  <si>
    <t>Phonemany, Monthien</t>
  </si>
  <si>
    <t>[Phonemany, Monthien; Niego, Allen Grace T.; Hu, Yuwei; Luangharn, Thatsanee; Sysouphanthong, Phongeun; Thongklang, Naritsada; Hyde, Kevin D.] Mae Fah Luang Univ, Ctr Excellence Fungal Res, Chiang Rai 57100, Thailand; [Phonemany, Monthien; Niego, Allen Grace T.; Hu, Yuwei; Sysouphanthong, Phongeun; Thongklang, Naritsada; Hyde, Kevin D.] Mae Fah Luang Univ, Sch Sci, Chiang Rai 57100, Thailand; [Niego, Allen Grace T.] Iloilo Sci &amp; Technol Univ, Iloilo 5000, Philippines; [Karunarathna, Samantha C.; Hyde, Kevin D.] Chinese Acad Sci, Kunming Inst Bot, Kunming 65201, Yunnan, Peoples R China; [Hu, Yuwei] Chinese Acad Sci, Kunming Inst Bot, CAS Key Lab Plant Biodivers &amp; Biogeog East Asia K, Kunming 650201, Yunnan, Peoples R China; [Sysouphanthong, Phongeun] Minist Sci &amp; Technol, Biotechnol &amp; Ecol Inst, Ecol Div, POB 2279, Viangchan, Laos; [Lumyong, Saisamorn] Chiang Mai Univ, Fac Sci, Res Ctr Microbial Divers &amp; Sustainable Utilizat, Chiang Mai 50200, Thailand; [Zhao, Rui-Lin] Univ Chinese Acad Sci, Coll Life Sci, Beijing 100408, Peoples R China; [Zhao, Rui-Lin; He, Mao-Qiang] Chinese Acad Sci, Inst Microbiol, State Key Lab Mycol, Beijing 100101, Peoples R China</t>
  </si>
  <si>
    <t>Mae Fah Luang University; Mae Fah Luang University; Chinese Academy of Sciences; Kunming Institute of Botany, CAS; Chinese Academy of Sciences; Kunming Institute of Botany, CAS; Chiang Mai University; Chinese Academy of Sciences; University of Chinese Academy of Sciences, CAS; Chinese Academy of Sciences; Institute of Microbiology, CAS</t>
  </si>
  <si>
    <t>Thongklang, N; Hyde, KD (通讯作者)，Mae Fah Luang Univ, Ctr Excellence Fungal Res, Chiang Rai 57100, Thailand.;Thongklang, N; Hyde, KD (通讯作者)，Mae Fah Luang Univ, Sch Sci, Chiang Rai 57100, Thailand.;Hyde, KD (通讯作者)，Chinese Acad Sci, Kunming Inst Bot, Kunming 65201, Yunnan, Peoples R China.</t>
  </si>
  <si>
    <t>naritsada.t@gmail.com; kdhyde3@gmail.com</t>
  </si>
  <si>
    <t>Thailand Science Research and Innovation (TSRI) [DBG6280009]; National Natural Science Foundation of China [31961143010]</t>
  </si>
  <si>
    <t>Thailand Science Research and Innovation (TSRI); National Natural Science Foundation of China(National Natural Science Foundation of China (NSFC))</t>
  </si>
  <si>
    <t>We acknowledge the kind support given by the Thailand Science Research and Innovation (TSRI) project entitled: Macrofungi diversity research from the Lancang-Mekong Watershed and surrounding areas (Grant No. DBG6280009), and the National Natural Science Foundation of China (Project ID: 31961143010) for funding the GMS Mushroom website.</t>
  </si>
  <si>
    <t>10.12982/CMJS.2022.045</t>
  </si>
  <si>
    <t>2A1GG</t>
  </si>
  <si>
    <t>WOS:000809258100002</t>
  </si>
  <si>
    <t>Xu, S; Phookamsak, R; Jiang, HB; Tibpromma, S; Yang, JB; Xu, JC; Lumyong, S</t>
  </si>
  <si>
    <t>Xu, Sheng; Phookamsak, Rungtiwa; Jiang, Hong-Bo; Tibpromma, Saowaluck; Yang, Jian-Bo; Xu, Jian-Chu; Lumyong, Saisamorn</t>
  </si>
  <si>
    <t>First Report of Occultibambusa jonesii on Para Grass (Brachiaria mutica) in Yunnan, China</t>
  </si>
  <si>
    <t>freshwater fungi; fungi on grass; new record; Occultibambusaceae; taxonomy</t>
  </si>
  <si>
    <t>FUNGI; CLASSIFICATION</t>
  </si>
  <si>
    <t>During a survey of ascomycetes in Yunnan in the dry season (April 2021), an ascomycete was found on para grass [Brachiaria mutica (Forssk.) Stapf] submerged in a freshwater stream in Mengla County, Xishuangbanna Dai Autonomous Prefecture, Yunnan Province, China. Multi-locus phylogenetic analyses of combined ITS, LSU, SSU, tef1-?? and rpb2 gene regions demonstrated that the novel strain (KUMCC 21-0469) shared the same branch length with Occultibambusa jonesii [GZCC 16-0117, ex-type strain] (98% ML, 1.00 PP) and grouped with O. aquatica with significant support (91% ML, 1.00 PP). Morphological characteristics were inadequate to distinguish species in Occultibambusa. We therefore identify our new collection (KUN-HKAS122243, strain KUMCC 21-0469) as O. jonesii based solely on phylogenetic evidence. The conspecific status of O. aquatica and O. jonesii is questionable in this study due to the lack of genetic information on O. aquatica. The ex-type stain of O. aquatica has been acquired to be re-sequenced for further evaluation of its phylogenetic status. Occultibambusa jonesii was isolated from dead culms of bamboo in terrestrial environments in Guizhou Province, China. In the present study, the species was isolated from para grass submerged in a freshwater stream in Yunnan Province, China. This discovery is a new record on host/habitats and geography for O. jonesii. Detailed description and illustration of O. jonesii as well as the updated phylogenetic relationships of taxa in Occultibambusaceae and geographical distribution map of Occultibambusa are provided.</t>
  </si>
  <si>
    <t>Xu, Sheng</t>
  </si>
  <si>
    <t>[Xu, Sheng; Lumyong, Saisamorn] Chiang Mai Univ, Res Ctr Microbial Div &amp; Sustainable Utilizat, Fac Sci, Chiang Mai 50200, Thailand; [Lumyong, Saisamorn] Chiang Mai Univ, Dept Biol, Fac Sci, Chiang Mai 50200, Thailand; [Xu, Sheng; Phookamsak, Rungtiwa; Jiang, Hong-Bo; Yang, Jian-Bo; Xu, Jian-Chu] Chinese Acad Sci, Kunming Inst Bot, Honghe Ctr Mt Futures, Kunming 654400, Yunnan, Peoples R China; [Lumyong, Saisamorn] Royal Soc Thailand, Acad Sci, Bangkok 10300, Thailand; [Xu, Sheng; Phookamsak, Rungtiwa; Yang, Jian-Bo; Xu, Jian-Chu] Kunming Inst Bot, Ctr Mt Futures CMF, Kunming 650201, Yunnan, Peoples R China; [Jiang, Hong-Bo] Mae Fah Luang Univ, Ctr Excellence Fungal Res, Chiang Rai 57100, Thailand; [Jiang, Hong-Bo] Mae Fah Luang Univ, Sch Sci, Chiang Rai 57100, Thailand; [Yang, Jian-Bo; Xu, Jian-Chu] World Agroforestry ICRAF, CIFOR ICRAF China Program, Kunming 650201, Yunnan, Peoples R China; [Tibpromma, Saowaluck] Qujing Normal Univ, Coll Biol Resource &amp; Food Engn, Ctr Yunnan Plateau Biol Resources Protect &amp; Utili, Qujing 655011, Yunnan, Peoples R China</t>
  </si>
  <si>
    <t>Chiang Mai University; Chiang Mai University; Chinese Academy of Sciences; Kunming Institute of Botany, CAS; Chinese Academy of Sciences; Kunming Institute of Botany, CAS; Mae Fah Luang University; Mae Fah Luang University</t>
  </si>
  <si>
    <t>Lumyong, S (通讯作者)，Chiang Mai Univ, Res Ctr Microbial Div &amp; Sustainable Utilizat, Fac Sci, Chiang Mai 50200, Thailand.;Lumyong, S (通讯作者)，Chiang Mai Univ, Dept Biol, Fac Sci, Chiang Mai 50200, Thailand.;Lumyong, S (通讯作者)，Royal Soc Thailand, Acad Sci, Bangkok 10300, Thailand.</t>
  </si>
  <si>
    <t>JIANG, HONGBO/GQI-2774-2022; Phookamsak, Rungtiwa/O-9441-2019</t>
  </si>
  <si>
    <t>Phookamsak, Rungtiwa/0000-0002-6321-8416</t>
  </si>
  <si>
    <t>Ministry of Sciences and Technology of China [2017YFC0505100]; Chiang Mai University, Thailand; Mae Fah Luang University, Thailand</t>
  </si>
  <si>
    <t>Ministry of Sciences and Technology of China(Ministry of Science and Technology, China); Chiang Mai University, Thailand; Mae Fah Luang University, Thailand</t>
  </si>
  <si>
    <t>We acknowledge the Biology Experimental Center, Germplasm Bank of Wild Species, Kunming Institute of Botany, Chinese Academy of Sciences for providing the facilities of their molecular laboratory. We thank the Ministry of Sciences and Technology of China (grant no. 2017YFC0505100), and Chiang Mai University, Thailand for research financial support. Austin G. Smith at World Agroforestry (ICRAF), Kunming Institute of Botany, China, is thanked for checking the English grammar. Hongbo Jiang would like to thank Mae Fah Luang University, Thailand for his Ph.D. scholarship.</t>
  </si>
  <si>
    <t>10.12982/CMJS.2022.048</t>
  </si>
  <si>
    <t>WOS:000809258100005</t>
  </si>
  <si>
    <t>Kalamulla, R; Karunarathna, SC; Kumla, J; Yapa, N</t>
  </si>
  <si>
    <t>Kalamulla, Ruwanthika; Karunarathna, Samantha C.; Kumla, Jaturong; Yapa, Neelamanie</t>
  </si>
  <si>
    <t>Arbuscular Mycorrhizal Fungi Community Dynamics and Functioning in Different Rice Cultivation Systems</t>
  </si>
  <si>
    <t>rice; arbuscular mycorrhizal fungi; biofertilizer; soil inoculums</t>
  </si>
  <si>
    <t>COLONIZATION; PHYLUM; PHOSPHORUS; FIELDS; GROWTH; L.</t>
  </si>
  <si>
    <t>As a main component of soil microbiota arbuscular mycorrhizal fungi (AMF) play a benefi cial role in the agro-ecosystems. Introduction of AMF inoculum as a biofertilizer to the rice cultivation system is one of the environmentally healthy solutions that may increase crop productivity and yield, when compare to the non-AMF relationships. Within an ecosystem, both biotic and abiotic factors affect the diversity, distribution, and ecological role of AMF. Here we reviewed the effect of the variables including production area, environmental conditions, agricultural management systems, rice varieties, and different growth stages of the host on dynamics and structure of the AMF community mainly in the rice fields. Understanding of this co-relation is required to explore their future enrolment in agriculture. To ensure food security, identification of all variables that may make indigenous AMF presence and active in different rice growing systems needs to be done in order to explore this specifi c fungus-root interaction.</t>
  </si>
  <si>
    <t>[Kalamulla, Ruwanthika; Yapa, Neelamanie] Rajarata Univ Sri Lanka, Fac Sci Appl, Mihintale, Sri Lanka; [Karunarathna, Samantha C.] Chinese Acad Sci, Kunming Inst Bot, Ctr Mt Futures, Kunming 65201, Yunnan, Peoples R China; [Kumla, Jaturong] Chiang Mai Univ, Res Ctr Microbial Div &amp; Sustainable Utilizat, Fac Sci, Chiang Mai 50200, Thailand</t>
  </si>
  <si>
    <t>Rajarata University of Sri Lanka; Chinese Academy of Sciences; Kunming Institute of Botany, CAS; Chiang Mai University</t>
  </si>
  <si>
    <t>Yapa, N (通讯作者)，Rajarata Univ Sri Lanka, Fac Sci Appl, Mihintale, Sri Lanka.</t>
  </si>
  <si>
    <t>neelamanie@as.rjt.ac.lk</t>
  </si>
  <si>
    <t>10.12982/CMJS.2022.049</t>
  </si>
  <si>
    <t>WOS:000809258100006</t>
  </si>
  <si>
    <t>Abeywickrama, PD; Camporesi, E; Jayawardena, RS; Hyde, KD; Yan, JY; Zhang, W; Li, XH</t>
  </si>
  <si>
    <t>Abeywickrama, Pranami D.; Camporesi, Erio; Jayawardena, Ruvishika S.; Hyde, Kevin D.; Yan, Jiye; Zhang, Wei; Li, Xinghong</t>
  </si>
  <si>
    <t>Novel and Surprising Host Associations of Diaporthe (Diaporthaceae, Diaporthales) Species from Italy</t>
  </si>
  <si>
    <t>new host records; checklist; molecular phylogeny; saprobes; taxonomy; Diaporthe</t>
  </si>
  <si>
    <t>PHYLOGENETIC REASSESSMENT; PRIMER SETS; PHOMOPSIS; DIEBACK; FUNGI; INVENTORY; DIVERSITY; ALIGNMENT; MYCOLOGY; COMPLEX</t>
  </si>
  <si>
    <t>Diaporthe species are known to be mostly saprobic and pathogenic to numerous hosts in plantations, forests, and urban areas worldwide. Their relationship with host plants and distribution is poorly discussed. Combined morpho-molecular data have resulted in ten Diaporthe strains from ten host species in genera Acer, Alianthus, Artemisia, Aster, Ballota, Dittrichia, Euonymus, Eupatorium, Laburnum and Scabiosa. The isolates were identified as Diaporthe arctii, D. eres, D. foeniculina, D. novem and D. rudis which are new records of host associations from Italy. Detailed descriptions and phylogenetic placements for the above five species are provided. This study provides an updated list of Diaporthe species related to their host associations in Italy.</t>
  </si>
  <si>
    <t>Abeywickrama, Pranami D.</t>
  </si>
  <si>
    <t>[Abeywickrama, Pranami D.; Jayawardena, Ruvishika S.; Hyde, Kevin D.] Mae Fah Luang Univ, Ctr Excellence Fungal Res, Chiang Rai 57100, Thailand; [Abeywickrama, Pranami D.; Jayawardena, Ruvishika S.] Mae Fah Luang Univ, Sch Sci, Chiang Rai 57100, Thailand; [Abeywickrama, Pranami D.; Yan, Jiye; Zhang, Wei; Li, Xinghong] Beijing Acad Agr &amp; Forestry Sci, Inst Plant Protect, Beijing Key Lab Environm Friendly Management Frui, Beijing 100097, Peoples R China; [Camporesi, Erio] AMB Grp Micol Forlivese Antonio Cicognani, Via Roma 18, Forly, Italy; [Camporesi, Erio] AMB Circolo Micol Giovanni Carini, CP 314, Brescia, Italy; [Camporesi, Erio] Soc Nat Romagna, CP 144, Bagnacavallo, RA, Italy; [Hyde, Kevin D.] Chinese Acad Sci, Kunming Inst Bot, Key Lab Plant Biodivers &amp; Biogeog East Asia KLPB, Kunming 650201, Yunnan, Peoples R China; [Hyde, Kevin D.] World Agroforestry Ctr, 132 Lanhei Rd, Kunming 650201, Yunnan, Peoples R China</t>
  </si>
  <si>
    <t>Mae Fah Luang University; Mae Fah Luang University; Beijing Academy of Agriculture &amp; Forestry; Chinese Academy of Sciences; Kunming Institute of Botany, CAS</t>
  </si>
  <si>
    <t>Jayawardena, RS (通讯作者)，Mae Fah Luang Univ, Ctr Excellence Fungal Res, Chiang Rai 57100, Thailand.;Jayawardena, RS (通讯作者)，Mae Fah Luang Univ, Sch Sci, Chiang Rai 57100, Thailand.;Zhang, W (通讯作者)，Beijing Acad Agr &amp; Forestry Sci, Inst Plant Protect, Beijing Key Lab Environm Friendly Management Frui, Beijing 100097, Peoples R China.</t>
  </si>
  <si>
    <t>ruvi.jaya@yahoo.com; zhwei1125@163.com</t>
  </si>
  <si>
    <t>ZHANG, Wei/GXN-1089-2022; Jayawardena, Ruvishika/V-3592-2018; Abeywickrama, Pranami D./ABC-2303-2020; Hyde, Kevin D/F-7890-2010</t>
  </si>
  <si>
    <t xml:space="preserve">Jayawardena, Ruvishika/0000-0001-7702-4885; </t>
  </si>
  <si>
    <t>Mae Fah Luang University [Oh7702(6)/0156]</t>
  </si>
  <si>
    <t>Mae Fah Luang University</t>
  </si>
  <si>
    <t>Pranami D. Abeywickrama would like to acknowledge the support from Thesis or Dissertation writing grant (Oh7702(6)/0156) and Research Publication grant of Mae Fah Luang University. The authors thanked SN Wijesinghe for her assistance in preparing maps.</t>
  </si>
  <si>
    <t>10.12982/CMJS.2022.028</t>
  </si>
  <si>
    <t>0P7UO</t>
  </si>
  <si>
    <t>WOS:000784434600001</t>
  </si>
  <si>
    <t>Wijayawardene, NN; Rajakaruna, S; Dai, DQ; Jayasekara, S; Warnakula, L; Ariyawansa, KGSU; Fernando, EY; Jayasekera, P; Karunarathna, SC; Singhalage, D; Ukuwela, K; Jayalal, RGU; Jayasinghe, RPPK; Muthumala, CK; Madawala, S; Hewajulige, IGN; Rajawardana, DU; Ediriweera, A; Ediriweera, S; Alawathugoda, D; Rajawatta, KMW; Jin, XC; Chandana, ES; Nanayakkara, C; Wijesundara, S</t>
  </si>
  <si>
    <t>Wijayawardene, Nalin N.; Rajakaruna, Shalini; Dai, Dong-Qin; Jayasekara, Sandhya; Warnakula, Lakshan; Ariyawansa, Kahandawa G. S. U.; Fernando, Eustace Y.; Jayasekera, Primali; Karunarathna, Samantha C.; Singhalage, Darshani; Ukuwela, Kanishka; Jayalal, R. G. Udeni; Jayasinghe, R. P. Prabath K.; Muthumala, Chaminda K.; Madawala, Sumedha; Hewajulige, Ilmi G. N.; Rajawardana, Deepani U.; Ediriweera, Aseni; Ediriweera, Surani; Alawathugoda, Deepani; Rajawatta, K. M. Wathsala; Jin, Xing-Chen; Chandana, Ep Saman; Nanayakkara, Chandrika; Wijesundara, Siril</t>
  </si>
  <si>
    <t>Necessity of a National Fungarium and a Culture Collection for Fungi in Sri Lanka</t>
  </si>
  <si>
    <t>culture collections; fungal diversity; fungaria; type specimens; systematics</t>
  </si>
  <si>
    <t>REPTILIA SQUAMATA GEKKONIDAE; GENUS CNEMASPIS STRAUCH; DAY GECKOS; SP-NOV; PHYLOGENY; BIODIVERSITY; TAXONOMY; MAGNITUDE; DIVERSITY; ANAMORPH</t>
  </si>
  <si>
    <t>Sri Lanka is rich in biological diversity, but its fungal diversity is not adequately studied and documented. Recent fungal diversity estimations have predicted that the tropical regions would harbour a large number of novel fungal species. Fungi are ubiquitous, hence it is important to carry out proper investigations to discover novel taxa in different habitats and ecosystems. These taxa represent different life modes i.e. pathogens (of plants, animals and humans), saprobes, endophytes, symbionts (lichens, mycorrhizae), and lichenicolous. Current mycology is mainly based on polyphasic approaches (morphological, DNA based and chemical analyses) to define the species (consolidated species concept). DNA based phylogenetic analyses are widely used in higher level classification. These DNA are mainly extracted from cultures. Depositing a specimen that the fungus is present at a reputed Fungarium and depositing a culture resulted from the specimen at a reputed culture collection is important. The International Code of Taxonomy of Nomenclature for algae, fungi and plants stated that it is important to deposit the holotype at a reputed fungarium, while depositing the ex-type culture which is derived from the holotype at a reputed culture collection is also essential. Besides species identification and classification, these specimens and cultures are important in future studies and in genetic resource conservation. In Sri Lanka, currently a national fungarium and a culture collection for fungi do not exist. However, several institutional collections and personal collections are available. In this conceptual paper, we propose to establish a central, national fungarium to deposit holotypes and a culture collection to deposit ex-type cultures while maintaining several regional or mirror collections to replicate the specimens as isotypes and paratypes, and cultures as ex-isotypes and ex-paratypes.</t>
  </si>
  <si>
    <t>Wijayawardene, Nalin N.</t>
  </si>
  <si>
    <t>[Wijayawardene, Nalin N.; Dai, Dong-Qin; Jin, Xing-Chen] Qujing Normal Univ, Coll Biol Resource &amp; Food Engn, Ctr Yunnan Plateau Biol Resources Protect &amp; Utili, Qujing 655011, Yunnan, Peoples R China; [Wijayawardene, Nalin N.; Warnakula, Lakshan] Inst Res &amp; Dev Hlth &amp; Social Care, Sect Genet, 393-3 Lily Ave, Battaramulla 10120, Sri Lanka; [Rajakaruna, Shalini; Jayasekara, Sandhya; Wijesundara, Siril] Natl Inst Fundamental Studies, Hantana Rd, Kandy, Sri Lanka; [Ariyawansa, Kahandawa G. S. U.; Ediriweera, Surani; Nanayakkara, Chandrika] Univ Colombo, Fac Sci, Dept Plant Sci, Colombo 03, Sri Lanka; [Fernando, Eustace Y.; Ukuwela, Kanishka] Rajarata Univ, Fac Appl Sci, Dept Biol Sci, Mihintale, Sri Lanka; [Jayasekera, Primali] Med Res Inst, Dept Mycol, Colombo, Sri Lanka; [Karunarathna, Samantha C.; Ediriweera, Aseni] World Agroforestry Ctr, CIFOR ICRAF, Kunming 650201, Yunnan, Peoples R China; [Karunarathna, Samantha C.; Ediriweera, Aseni] Kunming Inst Bot, Ctr Mt Futures CMF, Kunming 650201, Yunnan, Peoples R China; [Singhalage, Darshani] Uva Wellassa Univ, Dept Sci &amp; Technol, Badulla, Sri Lanka; [Jayalal, R. G. Udeni] Sabaragamuwa Univ Sri Lanka, Fac Appl Sci, Dept Nat Resources, Belihuloya 70140, Sri Lanka; [Jayasinghe, R. P. Prabath K.] Natl Aquat Resources Res &amp; Dev Agcy NARA, Crow Isl, Colombo 00150 15, Sri Lanka; [Muthumala, Chaminda K.] State Timber Corp, Rajamalwatta Rd, Sampath Paya, Battaramulla, Sri Lanka; [Madawala, Sumedha] Univ Peradeniya, Fac Sci, Dept Bot, Peradeniya, Sri Lanka; [Hewajulige, Ilmi G. N.; Rajawardana, Deepani U.] Ind Technol Inst, 503A, Halbarawa Gardens 10115, Malabe, Sri Lanka; [Ediriweera, Aseni] Mae Fah Luang Univ, Ctr Excellence Fungal Res, Chiang Rai 57100, Thailand; [Ediriweera, Aseni] Mae Fah Luang Univ, Sch Sci, Chiang Rai 57100, Thailand; [Alawathugoda, Deepani] Forest Dept, 82 Rajamalwatha Rd, Sampath Paya, Battaramulla, Sri Lanka; [Rajawatta, K. M. Wathsala; Chandana, Ep Saman] Univ Ruhuna, Fac Technol, Matara 81000, Sri Lanka</t>
  </si>
  <si>
    <t>National Institute of Fundamental Studies (NIFS); University of Colombo; Rajarata University of Sri Lanka; Medical Research Institute Sri Lanka (MRI); Chinese Academy of Sciences; Kunming Institute of Botany, CAS; Uva Wellassa University; Sabaragamuwa University of Sri Lanka; University of Peradeniya; Mae Fah Luang University; Mae Fah Luang University; University Ruhuna</t>
  </si>
  <si>
    <t>Dai, DQ (通讯作者)，Qujing Normal Univ, Coll Biol Resource &amp; Food Engn, Ctr Yunnan Plateau Biol Resources Protect &amp; Utili, Qujing 655011, Yunnan, Peoples R China.;Wijesundara, S (通讯作者)，Natl Inst Fundamental Studies, Hantana Rd, Kandy, Sri Lanka.</t>
  </si>
  <si>
    <t>cicidaidongqin@gmail.com; siril.wi@nifs.ac.lk</t>
  </si>
  <si>
    <t>Warnakula, Lakshan/HLG-0799-2023</t>
  </si>
  <si>
    <t>National Natural ScienceFoundation of China [NSFC 31950410558, NSFC 31760013]; Department of Science and Technology of Yunnan Province [2018FB050]; State Key Laboratory of Functions and Applications of Medicinal Plants, Guizhou Medical University [FAMP201906K]; Science and Technology Department of Guizhou Province [QKHRCPT [2017] 5101]; High-Level Talent Recruitment Plan of Yunnan Province (Young Talents Program); High-Level Talent Recruitment Plan of Yunnan Province (High-End Foreign Experts Program)</t>
  </si>
  <si>
    <t>National Natural ScienceFoundation of China(National Natural Science Foundation of China (NSFC)); Department of Science and Technology of Yunnan Province; State Key Laboratory of Functions and Applications of Medicinal Plants, Guizhou Medical University; Science and Technology Department of Guizhou Province; High-Level Talent Recruitment Plan of Yunnan Province (Young Talents Program); High-Level Talent Recruitment Plan of Yunnan Province (High-End Foreign Experts Program)</t>
  </si>
  <si>
    <t>Nalin N. Wijayawardene and Don-Qin Dai would like to thank the National Natural ScienceFoundation of China (No. NSFC 31950410558, NSFC 31760013) , Department of Science and Technology of Yunnan Province (No. 2018FB050) , the State Key Laboratory of Functions and Applications of Medicinal Plants, Guizhou Medical University (No. FAMP201906K) ; Science and Technology Department of Guizhou Province (QKHRCPT [2017] 5101) and High-Level Talent Recruitment Plan of Yunnan Provinces (Young Talents Program and High-End Foreign Experts Program. Nalin N. Wijayawardene thanks Paul M. Kirk, Steven L. Stephenson, Sajeewa Maharachchikumbura for their valuable comments and thank Institute for Research and Development in Health and Social Care for an Honorary Research Associate at the Section of Genetics during the tenure of which this paper was finalized.</t>
  </si>
  <si>
    <t>10.12982/CMJS.2022.027</t>
  </si>
  <si>
    <t>WOS:000784434600002</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</si>
</sst>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2">
    <font>
      <sz val="11"/>
      <color theme="1"/>
      <name val="宋体"/>
      <charset val="134"/>
      <scheme val="minor"/>
    </font>
    <font>
      <sz val="10"/>
      <name val="Arial"/>
      <charset val="0"/>
    </font>
    <font>
      <sz val="10"/>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3" fillId="2" borderId="0" applyNumberFormat="0" applyBorder="0" applyAlignment="0" applyProtection="0">
      <alignment vertical="center"/>
    </xf>
    <xf numFmtId="0" fontId="4" fillId="3" borderId="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 fillId="4" borderId="0" applyNumberFormat="0" applyBorder="0" applyAlignment="0" applyProtection="0">
      <alignment vertical="center"/>
    </xf>
    <xf numFmtId="0" fontId="5" fillId="5" borderId="0" applyNumberFormat="0" applyBorder="0" applyAlignment="0" applyProtection="0">
      <alignment vertical="center"/>
    </xf>
    <xf numFmtId="43" fontId="0" fillId="0" borderId="0" applyFont="0" applyFill="0" applyBorder="0" applyAlignment="0" applyProtection="0">
      <alignment vertical="center"/>
    </xf>
    <xf numFmtId="0" fontId="6" fillId="6" borderId="0" applyNumberFormat="0" applyBorder="0" applyAlignment="0" applyProtection="0">
      <alignment vertical="center"/>
    </xf>
    <xf numFmtId="0" fontId="7" fillId="0" borderId="0" applyNumberFormat="0" applyFill="0" applyBorder="0" applyAlignment="0" applyProtection="0">
      <alignment vertical="center"/>
    </xf>
    <xf numFmtId="9"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0" fillId="7" borderId="2" applyNumberFormat="0" applyFont="0" applyAlignment="0" applyProtection="0">
      <alignment vertical="center"/>
    </xf>
    <xf numFmtId="0" fontId="6" fillId="8" borderId="0" applyNumberFormat="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6" fillId="9" borderId="0" applyNumberFormat="0" applyBorder="0" applyAlignment="0" applyProtection="0">
      <alignment vertical="center"/>
    </xf>
    <xf numFmtId="0" fontId="9" fillId="0" borderId="4" applyNumberFormat="0" applyFill="0" applyAlignment="0" applyProtection="0">
      <alignment vertical="center"/>
    </xf>
    <xf numFmtId="0" fontId="6" fillId="10" borderId="0" applyNumberFormat="0" applyBorder="0" applyAlignment="0" applyProtection="0">
      <alignment vertical="center"/>
    </xf>
    <xf numFmtId="0" fontId="15" fillId="11" borderId="5" applyNumberFormat="0" applyAlignment="0" applyProtection="0">
      <alignment vertical="center"/>
    </xf>
    <xf numFmtId="0" fontId="16" fillId="11" borderId="1" applyNumberFormat="0" applyAlignment="0" applyProtection="0">
      <alignment vertical="center"/>
    </xf>
    <xf numFmtId="0" fontId="17" fillId="12" borderId="6" applyNumberFormat="0" applyAlignment="0" applyProtection="0">
      <alignment vertical="center"/>
    </xf>
    <xf numFmtId="0" fontId="3" fillId="13" borderId="0" applyNumberFormat="0" applyBorder="0" applyAlignment="0" applyProtection="0">
      <alignment vertical="center"/>
    </xf>
    <xf numFmtId="0" fontId="6" fillId="14" borderId="0" applyNumberFormat="0" applyBorder="0" applyAlignment="0" applyProtection="0">
      <alignment vertical="center"/>
    </xf>
    <xf numFmtId="0" fontId="18" fillId="0" borderId="7" applyNumberFormat="0" applyFill="0" applyAlignment="0" applyProtection="0">
      <alignment vertical="center"/>
    </xf>
    <xf numFmtId="0" fontId="19" fillId="0" borderId="8" applyNumberFormat="0" applyFill="0" applyAlignment="0" applyProtection="0">
      <alignment vertical="center"/>
    </xf>
    <xf numFmtId="0" fontId="20" fillId="15" borderId="0" applyNumberFormat="0" applyBorder="0" applyAlignment="0" applyProtection="0">
      <alignment vertical="center"/>
    </xf>
    <xf numFmtId="0" fontId="21" fillId="16" borderId="0" applyNumberFormat="0" applyBorder="0" applyAlignment="0" applyProtection="0">
      <alignment vertical="center"/>
    </xf>
    <xf numFmtId="0" fontId="3" fillId="17" borderId="0" applyNumberFormat="0" applyBorder="0" applyAlignment="0" applyProtection="0">
      <alignment vertical="center"/>
    </xf>
    <xf numFmtId="0" fontId="6" fillId="18" borderId="0" applyNumberFormat="0" applyBorder="0" applyAlignment="0" applyProtection="0">
      <alignment vertical="center"/>
    </xf>
    <xf numFmtId="0" fontId="3" fillId="19" borderId="0" applyNumberFormat="0" applyBorder="0" applyAlignment="0" applyProtection="0">
      <alignment vertical="center"/>
    </xf>
    <xf numFmtId="0" fontId="3" fillId="20"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6" fillId="23" borderId="0" applyNumberFormat="0" applyBorder="0" applyAlignment="0" applyProtection="0">
      <alignment vertical="center"/>
    </xf>
    <xf numFmtId="0" fontId="6" fillId="24" borderId="0" applyNumberFormat="0" applyBorder="0" applyAlignment="0" applyProtection="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6" fillId="27" borderId="0" applyNumberFormat="0" applyBorder="0" applyAlignment="0" applyProtection="0">
      <alignment vertical="center"/>
    </xf>
    <xf numFmtId="0" fontId="3" fillId="28" borderId="0" applyNumberFormat="0" applyBorder="0" applyAlignment="0" applyProtection="0">
      <alignment vertical="center"/>
    </xf>
    <xf numFmtId="0" fontId="6" fillId="29" borderId="0" applyNumberFormat="0" applyBorder="0" applyAlignment="0" applyProtection="0">
      <alignment vertical="center"/>
    </xf>
    <xf numFmtId="0" fontId="6" fillId="30" borderId="0" applyNumberFormat="0" applyBorder="0" applyAlignment="0" applyProtection="0">
      <alignment vertical="center"/>
    </xf>
    <xf numFmtId="0" fontId="3" fillId="31" borderId="0" applyNumberFormat="0" applyBorder="0" applyAlignment="0" applyProtection="0">
      <alignment vertical="center"/>
    </xf>
    <xf numFmtId="0" fontId="6" fillId="32" borderId="0" applyNumberFormat="0" applyBorder="0" applyAlignment="0" applyProtection="0">
      <alignment vertical="center"/>
    </xf>
  </cellStyleXfs>
  <cellXfs count="4">
    <xf numFmtId="0" fontId="0" fillId="0" borderId="0" xfId="0">
      <alignment vertical="center"/>
    </xf>
    <xf numFmtId="0" fontId="1" fillId="0" borderId="0" xfId="0" applyFont="1" applyFill="1" applyBorder="1" applyAlignment="1"/>
    <xf numFmtId="0" fontId="2" fillId="0" borderId="0" xfId="0" applyFont="1" applyFill="1" applyBorder="1" applyAlignment="1"/>
    <xf numFmtId="0" fontId="0" fillId="0" borderId="0" xfId="0" applyFont="1" applyFill="1" applyBorder="1" applyAlignment="1"/>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A755"/>
  <sheetViews>
    <sheetView tabSelected="1" workbookViewId="0">
      <selection activeCell="A1" sqref="A1"/>
    </sheetView>
  </sheetViews>
  <sheetFormatPr defaultColWidth="8.88888888888889" defaultRowHeight="13.2"/>
  <cols>
    <col min="1" max="2" width="8.88888888888889" style="1"/>
    <col min="3" max="3" width="9.66666666666667" style="1"/>
    <col min="4" max="4" width="24.7777777777778" style="1" customWidth="1"/>
    <col min="5" max="7" width="8.88888888888889" style="1"/>
    <col min="8" max="8" width="37.7777777777778" style="1" customWidth="1"/>
    <col min="9" max="10" width="8.88888888888889" style="1"/>
    <col min="11" max="11" width="32.2685185185185" style="1" customWidth="1"/>
    <col min="12" max="12" width="22.4444444444444" style="1" customWidth="1"/>
    <col min="13" max="14" width="18.1111111111111" style="1" customWidth="1"/>
    <col min="15" max="27" width="8.88888888888889" style="1"/>
    <col min="28" max="28" width="15.2592592592593" style="1" customWidth="1"/>
    <col min="29" max="31" width="8.88888888888889" style="1"/>
    <col min="32" max="32" width="31.2222222222222" style="1" customWidth="1"/>
    <col min="33" max="33" width="22.8888888888889" style="1" customWidth="1"/>
    <col min="34" max="37" width="8.88888888888889" style="1"/>
    <col min="38" max="38" width="12.0740740740741" style="1" customWidth="1"/>
    <col min="39" max="62" width="8.88888888888889" style="1"/>
    <col min="63" max="63" width="12.8888888888889" style="1"/>
    <col min="64" max="72" width="8.88888888888889" style="1"/>
    <col min="73" max="74" width="9.66666666666667" style="1"/>
    <col min="75" max="16384" width="8.88888888888889" style="1"/>
  </cols>
  <sheetData>
    <row r="1" s="1" customFormat="1" ht="14.4" spans="1:79">
      <c r="A1" s="2" t="s">
        <v>0</v>
      </c>
      <c r="B1" s="2"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3" t="s">
        <v>26</v>
      </c>
      <c r="AB1" s="3"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67</v>
      </c>
      <c r="BQ1" s="1" t="s">
        <v>68</v>
      </c>
      <c r="BR1" s="1" t="s">
        <v>69</v>
      </c>
      <c r="BS1" s="1" t="s">
        <v>70</v>
      </c>
      <c r="BT1" s="1" t="s">
        <v>71</v>
      </c>
      <c r="BU1" s="1" t="s">
        <v>72</v>
      </c>
      <c r="BV1" s="1" t="s">
        <v>73</v>
      </c>
      <c r="BW1" s="1" t="s">
        <v>74</v>
      </c>
      <c r="BX1" s="1" t="s">
        <v>75</v>
      </c>
      <c r="BY1" s="1" t="s">
        <v>76</v>
      </c>
      <c r="BZ1" s="1" t="s">
        <v>77</v>
      </c>
      <c r="CA1" s="1" t="s">
        <v>78</v>
      </c>
    </row>
    <row r="2" customFormat="1" ht="14.4" spans="1:79">
      <c r="A2">
        <v>1</v>
      </c>
      <c r="B2" s="2" t="s">
        <v>79</v>
      </c>
      <c r="C2" s="1" t="s">
        <v>80</v>
      </c>
      <c r="D2" s="1" t="s">
        <v>81</v>
      </c>
      <c r="E2" s="1" t="s">
        <v>82</v>
      </c>
      <c r="F2" s="1" t="s">
        <v>82</v>
      </c>
      <c r="G2" s="1" t="s">
        <v>82</v>
      </c>
      <c r="H2" s="1" t="s">
        <v>83</v>
      </c>
      <c r="I2" s="1" t="s">
        <v>82</v>
      </c>
      <c r="J2" s="1" t="s">
        <v>82</v>
      </c>
      <c r="K2" s="1" t="s">
        <v>84</v>
      </c>
      <c r="L2" s="1" t="s">
        <v>85</v>
      </c>
      <c r="M2" s="1">
        <v>69.504</v>
      </c>
      <c r="N2" s="2" t="s">
        <v>86</v>
      </c>
      <c r="O2" s="1" t="s">
        <v>82</v>
      </c>
      <c r="P2" s="1" t="s">
        <v>82</v>
      </c>
      <c r="Q2" s="1" t="s">
        <v>87</v>
      </c>
      <c r="R2" s="1" t="s">
        <v>88</v>
      </c>
      <c r="S2" s="1" t="s">
        <v>82</v>
      </c>
      <c r="T2" s="1" t="s">
        <v>82</v>
      </c>
      <c r="U2" s="1" t="s">
        <v>82</v>
      </c>
      <c r="V2" s="1" t="s">
        <v>82</v>
      </c>
      <c r="W2" s="1" t="s">
        <v>82</v>
      </c>
      <c r="X2" s="1" t="s">
        <v>89</v>
      </c>
      <c r="Y2" s="1" t="s">
        <v>82</v>
      </c>
      <c r="Z2" s="1" t="s">
        <v>90</v>
      </c>
      <c r="AA2" s="1">
        <v>1</v>
      </c>
      <c r="AB2" s="1" t="s">
        <v>91</v>
      </c>
      <c r="AC2" s="1" t="s">
        <v>92</v>
      </c>
      <c r="AD2" s="1" t="s">
        <v>93</v>
      </c>
      <c r="AE2" s="1" t="s">
        <v>94</v>
      </c>
      <c r="AF2" s="1" t="s">
        <v>82</v>
      </c>
      <c r="AG2" s="1" t="s">
        <v>82</v>
      </c>
      <c r="AH2" s="1" t="s">
        <v>82</v>
      </c>
      <c r="AI2" s="1" t="s">
        <v>82</v>
      </c>
      <c r="AJ2" s="1" t="s">
        <v>82</v>
      </c>
      <c r="AK2" s="1" t="s">
        <v>82</v>
      </c>
      <c r="AL2" s="1" t="s">
        <v>82</v>
      </c>
      <c r="AM2" s="1" t="s">
        <v>82</v>
      </c>
      <c r="AN2" s="1">
        <v>0</v>
      </c>
      <c r="AO2" s="1">
        <v>0</v>
      </c>
      <c r="AP2" s="1">
        <v>0</v>
      </c>
      <c r="AQ2" s="1">
        <v>2</v>
      </c>
      <c r="AR2" s="1">
        <v>5</v>
      </c>
      <c r="AS2" s="1" t="s">
        <v>95</v>
      </c>
      <c r="AT2" s="1" t="s">
        <v>96</v>
      </c>
      <c r="AU2" s="1" t="s">
        <v>97</v>
      </c>
      <c r="AV2" s="1" t="s">
        <v>98</v>
      </c>
      <c r="AW2" s="1" t="s">
        <v>99</v>
      </c>
      <c r="AX2" s="1" t="s">
        <v>82</v>
      </c>
      <c r="AY2" s="1" t="s">
        <v>85</v>
      </c>
      <c r="AZ2" s="1" t="s">
        <v>100</v>
      </c>
      <c r="BA2" s="1" t="s">
        <v>101</v>
      </c>
      <c r="BB2" s="1">
        <v>2022</v>
      </c>
      <c r="BC2" s="1">
        <v>604</v>
      </c>
      <c r="BD2" s="1">
        <v>7906</v>
      </c>
      <c r="BE2" s="1" t="s">
        <v>82</v>
      </c>
      <c r="BF2" s="1" t="s">
        <v>82</v>
      </c>
      <c r="BG2" s="1" t="s">
        <v>82</v>
      </c>
      <c r="BH2" s="1" t="s">
        <v>82</v>
      </c>
      <c r="BI2" s="1">
        <v>590</v>
      </c>
      <c r="BJ2" s="1">
        <v>590</v>
      </c>
      <c r="BK2" s="1" t="s">
        <v>82</v>
      </c>
      <c r="BL2" s="1" t="s">
        <v>102</v>
      </c>
      <c r="BM2" s="1" t="str">
        <f>HYPERLINK("http://dx.doi.org/10.1038/d41586-022-01049-8","http://dx.doi.org/10.1038/d41586-022-01049-8")</f>
        <v>http://dx.doi.org/10.1038/d41586-022-01049-8</v>
      </c>
      <c r="BN2" s="1" t="s">
        <v>82</v>
      </c>
      <c r="BO2" s="1" t="s">
        <v>82</v>
      </c>
      <c r="BP2" s="1">
        <v>1</v>
      </c>
      <c r="BQ2" s="1" t="s">
        <v>103</v>
      </c>
      <c r="BR2" s="1" t="s">
        <v>104</v>
      </c>
      <c r="BS2" s="1" t="s">
        <v>105</v>
      </c>
      <c r="BT2" s="1" t="s">
        <v>106</v>
      </c>
      <c r="BU2" s="1">
        <v>35440815</v>
      </c>
      <c r="BV2" s="1" t="s">
        <v>107</v>
      </c>
      <c r="BW2" s="1" t="s">
        <v>82</v>
      </c>
      <c r="BX2" s="1" t="s">
        <v>82</v>
      </c>
      <c r="BY2" s="1" t="s">
        <v>108</v>
      </c>
      <c r="BZ2" s="1" t="s">
        <v>109</v>
      </c>
      <c r="CA2" s="1" t="str">
        <f>HYPERLINK("https%3A%2F%2Fwww.webofscience.com%2Fwos%2Fwoscc%2Ffull-record%2FWOS:000784967400014","View Full Record in Web of Science")</f>
        <v>View Full Record in Web of Science</v>
      </c>
    </row>
    <row r="3" customFormat="1" ht="14.4" spans="1:79">
      <c r="A3">
        <v>2</v>
      </c>
      <c r="B3" s="2" t="s">
        <v>110</v>
      </c>
      <c r="C3" s="1" t="s">
        <v>80</v>
      </c>
      <c r="D3" s="1" t="s">
        <v>111</v>
      </c>
      <c r="E3" s="1" t="s">
        <v>82</v>
      </c>
      <c r="F3" s="1" t="s">
        <v>82</v>
      </c>
      <c r="G3" s="1" t="s">
        <v>82</v>
      </c>
      <c r="H3" s="1" t="s">
        <v>112</v>
      </c>
      <c r="I3" s="1" t="s">
        <v>82</v>
      </c>
      <c r="J3" s="1" t="s">
        <v>82</v>
      </c>
      <c r="K3" s="1" t="s">
        <v>113</v>
      </c>
      <c r="L3" s="1" t="s">
        <v>114</v>
      </c>
      <c r="M3" s="1">
        <v>63.832</v>
      </c>
      <c r="N3" s="2" t="s">
        <v>86</v>
      </c>
      <c r="O3" s="1" t="s">
        <v>82</v>
      </c>
      <c r="P3" s="1" t="s">
        <v>82</v>
      </c>
      <c r="Q3" s="1" t="s">
        <v>87</v>
      </c>
      <c r="R3" s="1" t="s">
        <v>115</v>
      </c>
      <c r="S3" s="1" t="s">
        <v>82</v>
      </c>
      <c r="T3" s="1" t="s">
        <v>82</v>
      </c>
      <c r="U3" s="1" t="s">
        <v>82</v>
      </c>
      <c r="V3" s="1" t="s">
        <v>82</v>
      </c>
      <c r="W3" s="1" t="s">
        <v>82</v>
      </c>
      <c r="X3" s="1" t="s">
        <v>82</v>
      </c>
      <c r="Y3" s="1" t="s">
        <v>116</v>
      </c>
      <c r="Z3" s="1" t="s">
        <v>117</v>
      </c>
      <c r="AA3" s="1"/>
      <c r="AB3" s="1" t="s">
        <v>118</v>
      </c>
      <c r="AC3" s="1" t="s">
        <v>119</v>
      </c>
      <c r="AD3" s="1" t="s">
        <v>120</v>
      </c>
      <c r="AE3" s="1" t="s">
        <v>121</v>
      </c>
      <c r="AF3" s="1" t="s">
        <v>122</v>
      </c>
      <c r="AG3" s="1" t="s">
        <v>123</v>
      </c>
      <c r="AH3" s="1" t="s">
        <v>82</v>
      </c>
      <c r="AI3" s="1" t="s">
        <v>124</v>
      </c>
      <c r="AJ3" s="1" t="s">
        <v>125</v>
      </c>
      <c r="AK3" s="1" t="s">
        <v>126</v>
      </c>
      <c r="AL3" s="1" t="s">
        <v>127</v>
      </c>
      <c r="AM3" s="1" t="s">
        <v>82</v>
      </c>
      <c r="AN3" s="1">
        <v>50</v>
      </c>
      <c r="AO3" s="1">
        <v>2</v>
      </c>
      <c r="AP3" s="1">
        <v>2</v>
      </c>
      <c r="AQ3" s="1">
        <v>64</v>
      </c>
      <c r="AR3" s="1">
        <v>64</v>
      </c>
      <c r="AS3" s="1" t="s">
        <v>128</v>
      </c>
      <c r="AT3" s="1" t="s">
        <v>129</v>
      </c>
      <c r="AU3" s="1" t="s">
        <v>130</v>
      </c>
      <c r="AV3" s="1" t="s">
        <v>131</v>
      </c>
      <c r="AW3" s="1" t="s">
        <v>132</v>
      </c>
      <c r="AX3" s="1" t="s">
        <v>82</v>
      </c>
      <c r="AY3" s="1" t="s">
        <v>114</v>
      </c>
      <c r="AZ3" s="1" t="s">
        <v>133</v>
      </c>
      <c r="BA3" s="1" t="s">
        <v>134</v>
      </c>
      <c r="BB3" s="1">
        <v>2022</v>
      </c>
      <c r="BC3" s="1">
        <v>377</v>
      </c>
      <c r="BD3" s="1">
        <v>6612</v>
      </c>
      <c r="BE3" s="1" t="s">
        <v>82</v>
      </c>
      <c r="BF3" s="1" t="s">
        <v>82</v>
      </c>
      <c r="BG3" s="1" t="s">
        <v>82</v>
      </c>
      <c r="BH3" s="1" t="s">
        <v>82</v>
      </c>
      <c r="BI3" s="1">
        <v>1298</v>
      </c>
      <c r="BJ3" s="1">
        <v>1303</v>
      </c>
      <c r="BK3" s="1" t="s">
        <v>82</v>
      </c>
      <c r="BL3" s="1" t="s">
        <v>135</v>
      </c>
      <c r="BM3" s="1" t="str">
        <f>HYPERLINK("http://dx.doi.org/10.1126/science.abo1633","http://dx.doi.org/10.1126/science.abo1633")</f>
        <v>http://dx.doi.org/10.1126/science.abo1633</v>
      </c>
      <c r="BN3" s="1" t="s">
        <v>82</v>
      </c>
      <c r="BO3" s="1" t="s">
        <v>82</v>
      </c>
      <c r="BP3" s="1">
        <v>6</v>
      </c>
      <c r="BQ3" s="1" t="s">
        <v>103</v>
      </c>
      <c r="BR3" s="1" t="s">
        <v>104</v>
      </c>
      <c r="BS3" s="1" t="s">
        <v>105</v>
      </c>
      <c r="BT3" s="1" t="s">
        <v>136</v>
      </c>
      <c r="BU3" s="1">
        <v>36108005</v>
      </c>
      <c r="BV3" s="1" t="s">
        <v>82</v>
      </c>
      <c r="BW3" s="1" t="s">
        <v>82</v>
      </c>
      <c r="BX3" s="1" t="s">
        <v>82</v>
      </c>
      <c r="BY3" s="1" t="s">
        <v>108</v>
      </c>
      <c r="BZ3" s="1" t="s">
        <v>137</v>
      </c>
      <c r="CA3" s="1" t="str">
        <f>HYPERLINK("https%3A%2F%2Fwww.webofscience.com%2Fwos%2Fwoscc%2Ffull-record%2FWOS:000887933500036","View Full Record in Web of Science")</f>
        <v>View Full Record in Web of Science</v>
      </c>
    </row>
    <row r="4" customFormat="1" ht="14.4" spans="1:79">
      <c r="A4">
        <v>3</v>
      </c>
      <c r="B4" s="2" t="s">
        <v>79</v>
      </c>
      <c r="C4" s="1" t="s">
        <v>80</v>
      </c>
      <c r="D4" s="1" t="s">
        <v>138</v>
      </c>
      <c r="E4" s="1" t="s">
        <v>82</v>
      </c>
      <c r="F4" s="1"/>
      <c r="G4" s="1" t="s">
        <v>82</v>
      </c>
      <c r="H4" s="1" t="s">
        <v>139</v>
      </c>
      <c r="I4" s="1" t="s">
        <v>82</v>
      </c>
      <c r="J4" s="1" t="s">
        <v>82</v>
      </c>
      <c r="K4" s="1" t="s">
        <v>140</v>
      </c>
      <c r="L4" s="1" t="s">
        <v>114</v>
      </c>
      <c r="M4" s="1">
        <v>63.832</v>
      </c>
      <c r="N4" s="2" t="s">
        <v>86</v>
      </c>
      <c r="O4" s="1" t="s">
        <v>82</v>
      </c>
      <c r="P4" s="1" t="s">
        <v>82</v>
      </c>
      <c r="Q4" s="1" t="s">
        <v>87</v>
      </c>
      <c r="R4" s="1" t="s">
        <v>88</v>
      </c>
      <c r="S4" s="1" t="s">
        <v>82</v>
      </c>
      <c r="T4" s="1" t="s">
        <v>82</v>
      </c>
      <c r="U4" s="1" t="s">
        <v>82</v>
      </c>
      <c r="V4" s="1" t="s">
        <v>82</v>
      </c>
      <c r="W4" s="1" t="s">
        <v>82</v>
      </c>
      <c r="X4" s="1"/>
      <c r="Y4" s="1" t="s">
        <v>141</v>
      </c>
      <c r="Z4" s="1" t="s">
        <v>82</v>
      </c>
      <c r="AA4" s="1">
        <v>1</v>
      </c>
      <c r="AB4" s="1" t="s">
        <v>142</v>
      </c>
      <c r="AC4" s="1" t="s">
        <v>143</v>
      </c>
      <c r="AD4" s="1" t="s">
        <v>93</v>
      </c>
      <c r="AE4" s="1" t="s">
        <v>144</v>
      </c>
      <c r="AF4" s="1" t="s">
        <v>145</v>
      </c>
      <c r="AG4" s="1" t="s">
        <v>146</v>
      </c>
      <c r="AH4" s="1" t="s">
        <v>82</v>
      </c>
      <c r="AI4" s="1" t="s">
        <v>82</v>
      </c>
      <c r="AJ4" s="1" t="s">
        <v>147</v>
      </c>
      <c r="AK4" s="1" t="s">
        <v>148</v>
      </c>
      <c r="AL4" s="1" t="s">
        <v>149</v>
      </c>
      <c r="AM4" s="1" t="s">
        <v>82</v>
      </c>
      <c r="AN4" s="1">
        <v>15</v>
      </c>
      <c r="AO4" s="1">
        <v>0</v>
      </c>
      <c r="AP4" s="1">
        <v>0</v>
      </c>
      <c r="AQ4" s="1">
        <v>17</v>
      </c>
      <c r="AR4" s="1">
        <v>18</v>
      </c>
      <c r="AS4" s="1" t="s">
        <v>128</v>
      </c>
      <c r="AT4" s="1" t="s">
        <v>129</v>
      </c>
      <c r="AU4" s="1" t="s">
        <v>130</v>
      </c>
      <c r="AV4" s="1" t="s">
        <v>131</v>
      </c>
      <c r="AW4" s="1" t="s">
        <v>132</v>
      </c>
      <c r="AX4" s="1" t="s">
        <v>82</v>
      </c>
      <c r="AY4" s="1" t="s">
        <v>114</v>
      </c>
      <c r="AZ4" s="1" t="s">
        <v>133</v>
      </c>
      <c r="BA4" s="1" t="s">
        <v>150</v>
      </c>
      <c r="BB4" s="1">
        <v>2022</v>
      </c>
      <c r="BC4" s="1">
        <v>377</v>
      </c>
      <c r="BD4" s="1">
        <v>6605</v>
      </c>
      <c r="BE4" s="1" t="s">
        <v>82</v>
      </c>
      <c r="BF4" s="1" t="s">
        <v>82</v>
      </c>
      <c r="BG4" s="1" t="s">
        <v>82</v>
      </c>
      <c r="BH4" s="1" t="s">
        <v>82</v>
      </c>
      <c r="BI4" s="1">
        <v>471</v>
      </c>
      <c r="BJ4" s="1">
        <v>472</v>
      </c>
      <c r="BK4" s="1" t="s">
        <v>82</v>
      </c>
      <c r="BL4" s="1" t="s">
        <v>151</v>
      </c>
      <c r="BM4" s="1" t="str">
        <f>HYPERLINK("http://dx.doi.org/10.1126/science.add3198","http://dx.doi.org/10.1126/science.add3198")</f>
        <v>http://dx.doi.org/10.1126/science.add3198</v>
      </c>
      <c r="BN4" s="1" t="s">
        <v>82</v>
      </c>
      <c r="BO4" s="1" t="s">
        <v>82</v>
      </c>
      <c r="BP4" s="1">
        <v>2</v>
      </c>
      <c r="BQ4" s="1" t="s">
        <v>103</v>
      </c>
      <c r="BR4" s="1" t="s">
        <v>104</v>
      </c>
      <c r="BS4" s="1" t="s">
        <v>105</v>
      </c>
      <c r="BT4" s="1" t="s">
        <v>152</v>
      </c>
      <c r="BU4" s="1">
        <v>35901153</v>
      </c>
      <c r="BV4" s="1" t="s">
        <v>82</v>
      </c>
      <c r="BW4" s="1" t="s">
        <v>82</v>
      </c>
      <c r="BX4" s="1" t="s">
        <v>82</v>
      </c>
      <c r="BY4" s="1" t="s">
        <v>108</v>
      </c>
      <c r="BZ4" s="1" t="s">
        <v>153</v>
      </c>
      <c r="CA4" s="1" t="str">
        <f>HYPERLINK("https%3A%2F%2Fwww.webofscience.com%2Fwos%2Fwoscc%2Ffull-record%2FWOS:000836647500021","View Full Record in Web of Science")</f>
        <v>View Full Record in Web of Science</v>
      </c>
    </row>
    <row r="5" customFormat="1" ht="14.4" spans="1:79">
      <c r="A5">
        <v>4</v>
      </c>
      <c r="B5" s="2" t="s">
        <v>79</v>
      </c>
      <c r="C5" s="1" t="s">
        <v>80</v>
      </c>
      <c r="D5" s="1" t="s">
        <v>154</v>
      </c>
      <c r="E5" s="1" t="s">
        <v>82</v>
      </c>
      <c r="F5" s="1" t="s">
        <v>82</v>
      </c>
      <c r="G5" s="1" t="s">
        <v>82</v>
      </c>
      <c r="H5" s="1" t="s">
        <v>155</v>
      </c>
      <c r="I5" s="1" t="s">
        <v>82</v>
      </c>
      <c r="J5" s="1" t="s">
        <v>82</v>
      </c>
      <c r="K5" s="1" t="s">
        <v>156</v>
      </c>
      <c r="L5" s="1" t="s">
        <v>114</v>
      </c>
      <c r="M5" s="1">
        <v>63.832</v>
      </c>
      <c r="N5" s="2" t="s">
        <v>86</v>
      </c>
      <c r="O5" s="1" t="s">
        <v>82</v>
      </c>
      <c r="P5" s="1" t="s">
        <v>82</v>
      </c>
      <c r="Q5" s="1" t="s">
        <v>87</v>
      </c>
      <c r="R5" s="1" t="s">
        <v>115</v>
      </c>
      <c r="S5" s="1" t="s">
        <v>82</v>
      </c>
      <c r="T5" s="1" t="s">
        <v>82</v>
      </c>
      <c r="U5" s="1" t="s">
        <v>82</v>
      </c>
      <c r="V5" s="1" t="s">
        <v>82</v>
      </c>
      <c r="W5" s="1" t="s">
        <v>82</v>
      </c>
      <c r="X5" s="1" t="s">
        <v>82</v>
      </c>
      <c r="Y5" s="1" t="s">
        <v>157</v>
      </c>
      <c r="Z5" s="1" t="s">
        <v>158</v>
      </c>
      <c r="AA5" s="1"/>
      <c r="AB5" s="1" t="s">
        <v>159</v>
      </c>
      <c r="AC5" s="1" t="s">
        <v>160</v>
      </c>
      <c r="AD5" s="1" t="s">
        <v>120</v>
      </c>
      <c r="AE5" s="1" t="s">
        <v>161</v>
      </c>
      <c r="AF5" s="1" t="s">
        <v>162</v>
      </c>
      <c r="AG5" s="1" t="s">
        <v>163</v>
      </c>
      <c r="AH5" s="1" t="s">
        <v>164</v>
      </c>
      <c r="AI5" s="1" t="s">
        <v>165</v>
      </c>
      <c r="AJ5" s="1" t="s">
        <v>166</v>
      </c>
      <c r="AK5" s="1" t="s">
        <v>167</v>
      </c>
      <c r="AL5" s="1" t="s">
        <v>168</v>
      </c>
      <c r="AM5" s="1" t="s">
        <v>82</v>
      </c>
      <c r="AN5" s="1">
        <v>90</v>
      </c>
      <c r="AO5" s="1">
        <v>3</v>
      </c>
      <c r="AP5" s="1">
        <v>3</v>
      </c>
      <c r="AQ5" s="1">
        <v>39</v>
      </c>
      <c r="AR5" s="1">
        <v>52</v>
      </c>
      <c r="AS5" s="1" t="s">
        <v>128</v>
      </c>
      <c r="AT5" s="1" t="s">
        <v>129</v>
      </c>
      <c r="AU5" s="1" t="s">
        <v>130</v>
      </c>
      <c r="AV5" s="1" t="s">
        <v>131</v>
      </c>
      <c r="AW5" s="1" t="s">
        <v>132</v>
      </c>
      <c r="AX5" s="1" t="s">
        <v>82</v>
      </c>
      <c r="AY5" s="1" t="s">
        <v>114</v>
      </c>
      <c r="AZ5" s="1" t="s">
        <v>133</v>
      </c>
      <c r="BA5" s="1" t="s">
        <v>169</v>
      </c>
      <c r="BB5" s="1">
        <v>2022</v>
      </c>
      <c r="BC5" s="1">
        <v>376</v>
      </c>
      <c r="BD5" s="1">
        <v>6600</v>
      </c>
      <c r="BE5" s="1" t="s">
        <v>82</v>
      </c>
      <c r="BF5" s="1" t="s">
        <v>82</v>
      </c>
      <c r="BG5" s="1" t="s">
        <v>170</v>
      </c>
      <c r="BH5" s="1" t="s">
        <v>82</v>
      </c>
      <c r="BI5" s="1">
        <v>1459</v>
      </c>
      <c r="BJ5" s="1" t="s">
        <v>171</v>
      </c>
      <c r="BK5" s="1" t="s">
        <v>82</v>
      </c>
      <c r="BL5" s="1" t="s">
        <v>172</v>
      </c>
      <c r="BM5" s="1" t="str">
        <f>HYPERLINK("http://dx.doi.org/10.1126/science.abm0151","http://dx.doi.org/10.1126/science.abm0151")</f>
        <v>http://dx.doi.org/10.1126/science.abm0151</v>
      </c>
      <c r="BN5" s="1" t="s">
        <v>82</v>
      </c>
      <c r="BO5" s="1" t="s">
        <v>82</v>
      </c>
      <c r="BP5" s="1">
        <v>47</v>
      </c>
      <c r="BQ5" s="1" t="s">
        <v>103</v>
      </c>
      <c r="BR5" s="1" t="s">
        <v>104</v>
      </c>
      <c r="BS5" s="1" t="s">
        <v>105</v>
      </c>
      <c r="BT5" s="1" t="s">
        <v>173</v>
      </c>
      <c r="BU5" s="1">
        <v>35737773</v>
      </c>
      <c r="BV5" s="1" t="s">
        <v>174</v>
      </c>
      <c r="BW5" s="1" t="s">
        <v>82</v>
      </c>
      <c r="BX5" s="1" t="s">
        <v>82</v>
      </c>
      <c r="BY5" s="1" t="s">
        <v>108</v>
      </c>
      <c r="BZ5" s="1" t="s">
        <v>175</v>
      </c>
      <c r="CA5" s="1" t="str">
        <f>HYPERLINK("https%3A%2F%2Fwww.webofscience.com%2Fwos%2Fwoscc%2Ffull-record%2FWOS:000819288900043","View Full Record in Web of Science")</f>
        <v>View Full Record in Web of Science</v>
      </c>
    </row>
    <row r="6" customFormat="1" ht="14.4" spans="1:79">
      <c r="A6">
        <v>5</v>
      </c>
      <c r="B6" s="2" t="s">
        <v>79</v>
      </c>
      <c r="C6" s="1" t="s">
        <v>80</v>
      </c>
      <c r="D6" s="1" t="s">
        <v>176</v>
      </c>
      <c r="E6" s="1" t="s">
        <v>82</v>
      </c>
      <c r="F6" s="1" t="s">
        <v>82</v>
      </c>
      <c r="G6" s="1" t="s">
        <v>82</v>
      </c>
      <c r="H6" s="1" t="s">
        <v>177</v>
      </c>
      <c r="I6" s="1" t="s">
        <v>82</v>
      </c>
      <c r="J6" s="1" t="s">
        <v>82</v>
      </c>
      <c r="K6" s="1" t="s">
        <v>178</v>
      </c>
      <c r="L6" s="1" t="s">
        <v>114</v>
      </c>
      <c r="M6" s="1">
        <v>63.832</v>
      </c>
      <c r="N6" s="2" t="s">
        <v>86</v>
      </c>
      <c r="O6" s="1"/>
      <c r="P6" s="1" t="s">
        <v>82</v>
      </c>
      <c r="Q6" s="1" t="s">
        <v>87</v>
      </c>
      <c r="R6" s="1" t="s">
        <v>115</v>
      </c>
      <c r="S6" s="1" t="s">
        <v>82</v>
      </c>
      <c r="T6" s="1" t="s">
        <v>82</v>
      </c>
      <c r="U6" s="1" t="s">
        <v>82</v>
      </c>
      <c r="V6" s="1" t="s">
        <v>82</v>
      </c>
      <c r="W6" s="1" t="s">
        <v>82</v>
      </c>
      <c r="X6" s="1" t="s">
        <v>82</v>
      </c>
      <c r="Y6" s="1" t="s">
        <v>179</v>
      </c>
      <c r="Z6" s="1" t="s">
        <v>180</v>
      </c>
      <c r="AA6" s="1"/>
      <c r="AB6" s="1" t="s">
        <v>181</v>
      </c>
      <c r="AC6" s="1" t="s">
        <v>182</v>
      </c>
      <c r="AD6" s="1" t="s">
        <v>120</v>
      </c>
      <c r="AE6" s="1" t="s">
        <v>183</v>
      </c>
      <c r="AF6" s="1" t="s">
        <v>184</v>
      </c>
      <c r="AG6" s="1" t="s">
        <v>185</v>
      </c>
      <c r="AH6" s="1" t="s">
        <v>186</v>
      </c>
      <c r="AI6" s="1" t="s">
        <v>187</v>
      </c>
      <c r="AJ6" s="1" t="s">
        <v>188</v>
      </c>
      <c r="AK6" s="1" t="s">
        <v>189</v>
      </c>
      <c r="AL6" s="1" t="s">
        <v>190</v>
      </c>
      <c r="AM6" s="1" t="s">
        <v>82</v>
      </c>
      <c r="AN6" s="1">
        <v>123</v>
      </c>
      <c r="AO6" s="1">
        <v>12</v>
      </c>
      <c r="AP6" s="1">
        <v>12</v>
      </c>
      <c r="AQ6" s="1">
        <v>121</v>
      </c>
      <c r="AR6" s="1">
        <v>229</v>
      </c>
      <c r="AS6" s="1" t="s">
        <v>128</v>
      </c>
      <c r="AT6" s="1" t="s">
        <v>129</v>
      </c>
      <c r="AU6" s="1" t="s">
        <v>130</v>
      </c>
      <c r="AV6" s="1" t="s">
        <v>131</v>
      </c>
      <c r="AW6" s="1" t="s">
        <v>132</v>
      </c>
      <c r="AX6" s="1" t="s">
        <v>82</v>
      </c>
      <c r="AY6" s="1" t="s">
        <v>114</v>
      </c>
      <c r="AZ6" s="1" t="s">
        <v>133</v>
      </c>
      <c r="BA6" s="1" t="s">
        <v>191</v>
      </c>
      <c r="BB6" s="1">
        <v>2022</v>
      </c>
      <c r="BC6" s="1">
        <v>375</v>
      </c>
      <c r="BD6" s="1">
        <v>6586</v>
      </c>
      <c r="BE6" s="1" t="s">
        <v>82</v>
      </c>
      <c r="BF6" s="1" t="s">
        <v>82</v>
      </c>
      <c r="BG6" s="1" t="s">
        <v>82</v>
      </c>
      <c r="BH6" s="1" t="s">
        <v>82</v>
      </c>
      <c r="BI6" s="1">
        <v>1275</v>
      </c>
      <c r="BJ6" s="1" t="s">
        <v>171</v>
      </c>
      <c r="BK6" s="1" t="s">
        <v>82</v>
      </c>
      <c r="BL6" s="1" t="s">
        <v>192</v>
      </c>
      <c r="BM6" s="1" t="str">
        <f>HYPERLINK("http://dx.doi.org/10.1126/science.abk0989","http://dx.doi.org/10.1126/science.abk0989")</f>
        <v>http://dx.doi.org/10.1126/science.abk0989</v>
      </c>
      <c r="BN6" s="1" t="s">
        <v>82</v>
      </c>
      <c r="BO6" s="1" t="s">
        <v>82</v>
      </c>
      <c r="BP6" s="1">
        <v>95</v>
      </c>
      <c r="BQ6" s="1" t="s">
        <v>103</v>
      </c>
      <c r="BR6" s="1" t="s">
        <v>104</v>
      </c>
      <c r="BS6" s="1" t="s">
        <v>105</v>
      </c>
      <c r="BT6" s="1" t="s">
        <v>193</v>
      </c>
      <c r="BU6" s="1">
        <v>35298255</v>
      </c>
      <c r="BV6" s="1" t="s">
        <v>194</v>
      </c>
      <c r="BW6" s="1" t="s">
        <v>82</v>
      </c>
      <c r="BX6" s="1" t="s">
        <v>82</v>
      </c>
      <c r="BY6" s="1" t="s">
        <v>108</v>
      </c>
      <c r="BZ6" s="1" t="s">
        <v>195</v>
      </c>
      <c r="CA6" s="1" t="str">
        <f>HYPERLINK("https%3A%2F%2Fwww.webofscience.com%2Fwos%2Fwoscc%2Ffull-record%2FWOS:000770386600037","View Full Record in Web of Science")</f>
        <v>View Full Record in Web of Science</v>
      </c>
    </row>
    <row r="7" customFormat="1" ht="14.4" spans="1:79">
      <c r="A7">
        <v>6</v>
      </c>
      <c r="B7" s="2" t="s">
        <v>79</v>
      </c>
      <c r="C7" s="1" t="s">
        <v>80</v>
      </c>
      <c r="D7" s="1" t="s">
        <v>196</v>
      </c>
      <c r="E7" s="1" t="s">
        <v>82</v>
      </c>
      <c r="F7" s="1" t="s">
        <v>82</v>
      </c>
      <c r="G7" s="1" t="s">
        <v>82</v>
      </c>
      <c r="H7" s="1" t="s">
        <v>197</v>
      </c>
      <c r="I7" s="1" t="s">
        <v>82</v>
      </c>
      <c r="J7" s="1" t="s">
        <v>82</v>
      </c>
      <c r="K7" s="1" t="s">
        <v>198</v>
      </c>
      <c r="L7" s="1" t="s">
        <v>199</v>
      </c>
      <c r="M7" s="1">
        <v>24.902</v>
      </c>
      <c r="N7" s="2" t="s">
        <v>86</v>
      </c>
      <c r="O7" s="1" t="s">
        <v>82</v>
      </c>
      <c r="P7" s="1" t="s">
        <v>82</v>
      </c>
      <c r="Q7" s="1" t="s">
        <v>87</v>
      </c>
      <c r="R7" s="1" t="s">
        <v>200</v>
      </c>
      <c r="S7" s="1" t="s">
        <v>82</v>
      </c>
      <c r="T7" s="1" t="s">
        <v>82</v>
      </c>
      <c r="U7" s="1" t="s">
        <v>82</v>
      </c>
      <c r="V7" s="1" t="s">
        <v>82</v>
      </c>
      <c r="W7" s="1" t="s">
        <v>82</v>
      </c>
      <c r="X7" s="1" t="s">
        <v>201</v>
      </c>
      <c r="Y7" s="1" t="s">
        <v>202</v>
      </c>
      <c r="Z7" s="1" t="s">
        <v>203</v>
      </c>
      <c r="AA7" s="1"/>
      <c r="AB7" s="1" t="s">
        <v>204</v>
      </c>
      <c r="AC7" s="1" t="s">
        <v>205</v>
      </c>
      <c r="AD7" s="1" t="s">
        <v>206</v>
      </c>
      <c r="AE7" s="1" t="s">
        <v>207</v>
      </c>
      <c r="AF7" s="1" t="s">
        <v>208</v>
      </c>
      <c r="AG7" s="1" t="s">
        <v>209</v>
      </c>
      <c r="AH7" s="1" t="s">
        <v>210</v>
      </c>
      <c r="AI7" s="1" t="s">
        <v>211</v>
      </c>
      <c r="AJ7" s="1" t="s">
        <v>212</v>
      </c>
      <c r="AK7" s="1" t="s">
        <v>213</v>
      </c>
      <c r="AL7" s="1" t="s">
        <v>214</v>
      </c>
      <c r="AM7" s="1" t="s">
        <v>82</v>
      </c>
      <c r="AN7" s="1">
        <v>754</v>
      </c>
      <c r="AO7" s="1">
        <v>3</v>
      </c>
      <c r="AP7" s="1">
        <v>3</v>
      </c>
      <c r="AQ7" s="1">
        <v>41</v>
      </c>
      <c r="AR7" s="1">
        <v>41</v>
      </c>
      <c r="AS7" s="1" t="s">
        <v>215</v>
      </c>
      <c r="AT7" s="1" t="s">
        <v>216</v>
      </c>
      <c r="AU7" s="1" t="s">
        <v>217</v>
      </c>
      <c r="AV7" s="1" t="s">
        <v>218</v>
      </c>
      <c r="AW7" s="1" t="s">
        <v>219</v>
      </c>
      <c r="AX7" s="1" t="s">
        <v>82</v>
      </c>
      <c r="AY7" s="1" t="s">
        <v>220</v>
      </c>
      <c r="AZ7" s="1" t="s">
        <v>221</v>
      </c>
      <c r="BA7" s="1" t="s">
        <v>222</v>
      </c>
      <c r="BB7" s="1">
        <v>2022</v>
      </c>
      <c r="BC7" s="1">
        <v>116</v>
      </c>
      <c r="BD7" s="1">
        <v>1</v>
      </c>
      <c r="BE7" s="1" t="s">
        <v>82</v>
      </c>
      <c r="BF7" s="1" t="s">
        <v>82</v>
      </c>
      <c r="BG7" s="1" t="s">
        <v>82</v>
      </c>
      <c r="BH7" s="1" t="s">
        <v>82</v>
      </c>
      <c r="BI7" s="1">
        <v>547</v>
      </c>
      <c r="BJ7" s="1">
        <v>614</v>
      </c>
      <c r="BK7" s="1" t="s">
        <v>82</v>
      </c>
      <c r="BL7" s="1" t="s">
        <v>223</v>
      </c>
      <c r="BM7" s="1" t="str">
        <f>HYPERLINK("http://dx.doi.org/10.1007/s13225-022-00510-3","http://dx.doi.org/10.1007/s13225-022-00510-3")</f>
        <v>http://dx.doi.org/10.1007/s13225-022-00510-3</v>
      </c>
      <c r="BN7" s="1" t="s">
        <v>82</v>
      </c>
      <c r="BO7" s="1" t="s">
        <v>224</v>
      </c>
      <c r="BP7" s="1">
        <v>68</v>
      </c>
      <c r="BQ7" s="1" t="s">
        <v>225</v>
      </c>
      <c r="BR7" s="1" t="s">
        <v>104</v>
      </c>
      <c r="BS7" s="1" t="s">
        <v>225</v>
      </c>
      <c r="BT7" s="1" t="s">
        <v>226</v>
      </c>
      <c r="BU7" s="1">
        <v>36123995</v>
      </c>
      <c r="BV7" s="1" t="s">
        <v>227</v>
      </c>
      <c r="BW7" s="1" t="s">
        <v>82</v>
      </c>
      <c r="BX7" s="1" t="s">
        <v>82</v>
      </c>
      <c r="BY7" s="1" t="s">
        <v>108</v>
      </c>
      <c r="BZ7" s="1" t="s">
        <v>228</v>
      </c>
      <c r="CA7" s="1" t="str">
        <f>HYPERLINK("https%3A%2F%2Fwww.webofscience.com%2Fwos%2Fwoscc%2Ffull-record%2FWOS:000854665500001","View Full Record in Web of Science")</f>
        <v>View Full Record in Web of Science</v>
      </c>
    </row>
    <row r="8" customFormat="1" ht="14.4" spans="1:79">
      <c r="A8">
        <v>7</v>
      </c>
      <c r="B8" s="2" t="s">
        <v>79</v>
      </c>
      <c r="C8" s="1" t="s">
        <v>80</v>
      </c>
      <c r="D8" s="1" t="s">
        <v>229</v>
      </c>
      <c r="E8" s="1" t="s">
        <v>82</v>
      </c>
      <c r="F8" s="1" t="s">
        <v>82</v>
      </c>
      <c r="G8" s="1" t="s">
        <v>82</v>
      </c>
      <c r="H8" s="1" t="s">
        <v>230</v>
      </c>
      <c r="I8" s="1" t="s">
        <v>82</v>
      </c>
      <c r="J8" s="1" t="s">
        <v>82</v>
      </c>
      <c r="K8" s="1" t="s">
        <v>231</v>
      </c>
      <c r="L8" s="1" t="s">
        <v>199</v>
      </c>
      <c r="M8" s="1">
        <v>24.902</v>
      </c>
      <c r="N8" s="2" t="s">
        <v>86</v>
      </c>
      <c r="O8" s="1" t="s">
        <v>82</v>
      </c>
      <c r="P8" s="1" t="s">
        <v>82</v>
      </c>
      <c r="Q8" s="1" t="s">
        <v>87</v>
      </c>
      <c r="R8" s="1" t="s">
        <v>200</v>
      </c>
      <c r="S8" s="1" t="s">
        <v>82</v>
      </c>
      <c r="T8" s="1" t="s">
        <v>82</v>
      </c>
      <c r="U8" s="1" t="s">
        <v>82</v>
      </c>
      <c r="V8" s="1" t="s">
        <v>82</v>
      </c>
      <c r="W8" s="1" t="s">
        <v>82</v>
      </c>
      <c r="X8" s="1" t="s">
        <v>232</v>
      </c>
      <c r="Y8" s="1" t="s">
        <v>233</v>
      </c>
      <c r="Z8" s="1" t="s">
        <v>234</v>
      </c>
      <c r="AA8" s="1"/>
      <c r="AB8" s="1" t="s">
        <v>235</v>
      </c>
      <c r="AC8" s="1" t="s">
        <v>236</v>
      </c>
      <c r="AD8" s="1" t="s">
        <v>120</v>
      </c>
      <c r="AE8" s="1" t="s">
        <v>237</v>
      </c>
      <c r="AF8" s="1" t="s">
        <v>238</v>
      </c>
      <c r="AG8" s="1" t="s">
        <v>239</v>
      </c>
      <c r="AH8" s="1" t="s">
        <v>240</v>
      </c>
      <c r="AI8" s="1" t="s">
        <v>241</v>
      </c>
      <c r="AJ8" s="1" t="s">
        <v>242</v>
      </c>
      <c r="AK8" s="1" t="s">
        <v>243</v>
      </c>
      <c r="AL8" s="1" t="s">
        <v>244</v>
      </c>
      <c r="AM8" s="1" t="s">
        <v>82</v>
      </c>
      <c r="AN8" s="1">
        <v>1665</v>
      </c>
      <c r="AO8" s="1">
        <v>6</v>
      </c>
      <c r="AP8" s="1">
        <v>6</v>
      </c>
      <c r="AQ8" s="1">
        <v>21</v>
      </c>
      <c r="AR8" s="1">
        <v>26</v>
      </c>
      <c r="AS8" s="1" t="s">
        <v>215</v>
      </c>
      <c r="AT8" s="1" t="s">
        <v>216</v>
      </c>
      <c r="AU8" s="1" t="s">
        <v>217</v>
      </c>
      <c r="AV8" s="1" t="s">
        <v>218</v>
      </c>
      <c r="AW8" s="1" t="s">
        <v>219</v>
      </c>
      <c r="AX8" s="1" t="s">
        <v>82</v>
      </c>
      <c r="AY8" s="1" t="s">
        <v>220</v>
      </c>
      <c r="AZ8" s="1" t="s">
        <v>221</v>
      </c>
      <c r="BA8" s="1" t="s">
        <v>245</v>
      </c>
      <c r="BB8" s="1">
        <v>2022</v>
      </c>
      <c r="BC8" s="1">
        <v>114</v>
      </c>
      <c r="BD8" s="1">
        <v>1</v>
      </c>
      <c r="BE8" s="1" t="s">
        <v>82</v>
      </c>
      <c r="BF8" s="1" t="s">
        <v>82</v>
      </c>
      <c r="BG8" s="1" t="s">
        <v>170</v>
      </c>
      <c r="BH8" s="1" t="s">
        <v>82</v>
      </c>
      <c r="BI8" s="1">
        <v>3</v>
      </c>
      <c r="BJ8" s="1">
        <v>235</v>
      </c>
      <c r="BK8" s="1" t="s">
        <v>82</v>
      </c>
      <c r="BL8" s="1" t="s">
        <v>246</v>
      </c>
      <c r="BM8" s="1" t="str">
        <f>HYPERLINK("http://dx.doi.org/10.1007/s13225-022-00503-2","http://dx.doi.org/10.1007/s13225-022-00503-2")</f>
        <v>http://dx.doi.org/10.1007/s13225-022-00503-2</v>
      </c>
      <c r="BN8" s="1" t="s">
        <v>82</v>
      </c>
      <c r="BO8" s="1" t="s">
        <v>247</v>
      </c>
      <c r="BP8" s="1">
        <v>233</v>
      </c>
      <c r="BQ8" s="1" t="s">
        <v>225</v>
      </c>
      <c r="BR8" s="1" t="s">
        <v>104</v>
      </c>
      <c r="BS8" s="1" t="s">
        <v>225</v>
      </c>
      <c r="BT8" s="1" t="s">
        <v>248</v>
      </c>
      <c r="BU8" s="1" t="s">
        <v>82</v>
      </c>
      <c r="BV8" s="1" t="s">
        <v>82</v>
      </c>
      <c r="BW8" s="1" t="s">
        <v>82</v>
      </c>
      <c r="BX8" s="1" t="s">
        <v>82</v>
      </c>
      <c r="BY8" s="1" t="s">
        <v>108</v>
      </c>
      <c r="BZ8" s="1" t="s">
        <v>249</v>
      </c>
      <c r="CA8" s="1" t="str">
        <f>HYPERLINK("https%3A%2F%2Fwww.webofscience.com%2Fwos%2Fwoscc%2Ffull-record%2FWOS:000790629700001","View Full Record in Web of Science")</f>
        <v>View Full Record in Web of Science</v>
      </c>
    </row>
    <row r="9" customFormat="1" ht="14.4" spans="1:79">
      <c r="A9">
        <v>8</v>
      </c>
      <c r="B9" s="2" t="s">
        <v>79</v>
      </c>
      <c r="C9" s="1" t="s">
        <v>80</v>
      </c>
      <c r="D9" s="1" t="s">
        <v>250</v>
      </c>
      <c r="E9" s="1" t="s">
        <v>82</v>
      </c>
      <c r="F9" s="1" t="s">
        <v>82</v>
      </c>
      <c r="G9" s="1" t="s">
        <v>82</v>
      </c>
      <c r="H9" s="1" t="s">
        <v>251</v>
      </c>
      <c r="I9" s="1" t="s">
        <v>82</v>
      </c>
      <c r="J9" s="1" t="s">
        <v>82</v>
      </c>
      <c r="K9" s="1" t="s">
        <v>252</v>
      </c>
      <c r="L9" s="1" t="s">
        <v>199</v>
      </c>
      <c r="M9" s="1">
        <v>24.902</v>
      </c>
      <c r="N9" s="2" t="s">
        <v>86</v>
      </c>
      <c r="O9" s="1" t="s">
        <v>82</v>
      </c>
      <c r="P9" s="1" t="s">
        <v>82</v>
      </c>
      <c r="Q9" s="1" t="s">
        <v>87</v>
      </c>
      <c r="R9" s="1" t="s">
        <v>115</v>
      </c>
      <c r="S9" s="1" t="s">
        <v>82</v>
      </c>
      <c r="T9" s="1" t="s">
        <v>82</v>
      </c>
      <c r="U9" s="1" t="s">
        <v>82</v>
      </c>
      <c r="V9" s="1" t="s">
        <v>82</v>
      </c>
      <c r="W9" s="1" t="s">
        <v>82</v>
      </c>
      <c r="X9" s="1" t="s">
        <v>253</v>
      </c>
      <c r="Y9" s="1" t="s">
        <v>254</v>
      </c>
      <c r="Z9" s="1" t="s">
        <v>255</v>
      </c>
      <c r="AA9" s="1"/>
      <c r="AB9" s="1" t="s">
        <v>256</v>
      </c>
      <c r="AC9" s="1" t="s">
        <v>257</v>
      </c>
      <c r="AD9" s="1" t="s">
        <v>120</v>
      </c>
      <c r="AE9" s="1" t="s">
        <v>258</v>
      </c>
      <c r="AF9" s="1" t="s">
        <v>259</v>
      </c>
      <c r="AG9" s="1" t="s">
        <v>260</v>
      </c>
      <c r="AH9" s="1" t="s">
        <v>261</v>
      </c>
      <c r="AI9" s="1" t="s">
        <v>262</v>
      </c>
      <c r="AJ9" s="1" t="s">
        <v>263</v>
      </c>
      <c r="AK9" s="1" t="s">
        <v>264</v>
      </c>
      <c r="AL9" s="1" t="s">
        <v>265</v>
      </c>
      <c r="AM9" s="1" t="s">
        <v>82</v>
      </c>
      <c r="AN9" s="1">
        <v>285</v>
      </c>
      <c r="AO9" s="1">
        <v>11</v>
      </c>
      <c r="AP9" s="1">
        <v>11</v>
      </c>
      <c r="AQ9" s="1">
        <v>20</v>
      </c>
      <c r="AR9" s="1">
        <v>34</v>
      </c>
      <c r="AS9" s="1" t="s">
        <v>215</v>
      </c>
      <c r="AT9" s="1" t="s">
        <v>216</v>
      </c>
      <c r="AU9" s="1" t="s">
        <v>217</v>
      </c>
      <c r="AV9" s="1" t="s">
        <v>218</v>
      </c>
      <c r="AW9" s="1" t="s">
        <v>219</v>
      </c>
      <c r="AX9" s="1" t="s">
        <v>82</v>
      </c>
      <c r="AY9" s="1" t="s">
        <v>220</v>
      </c>
      <c r="AZ9" s="1" t="s">
        <v>221</v>
      </c>
      <c r="BA9" s="1" t="s">
        <v>245</v>
      </c>
      <c r="BB9" s="1">
        <v>2022</v>
      </c>
      <c r="BC9" s="1">
        <v>114</v>
      </c>
      <c r="BD9" s="1">
        <v>1</v>
      </c>
      <c r="BE9" s="1" t="s">
        <v>82</v>
      </c>
      <c r="BF9" s="1" t="s">
        <v>82</v>
      </c>
      <c r="BG9" s="1" t="s">
        <v>170</v>
      </c>
      <c r="BH9" s="1" t="s">
        <v>82</v>
      </c>
      <c r="BI9" s="1">
        <v>327</v>
      </c>
      <c r="BJ9" s="1">
        <v>386</v>
      </c>
      <c r="BK9" s="1" t="s">
        <v>82</v>
      </c>
      <c r="BL9" s="1" t="s">
        <v>266</v>
      </c>
      <c r="BM9" s="1" t="str">
        <f>HYPERLINK("http://dx.doi.org/10.1007/s13225-022-00502-3","http://dx.doi.org/10.1007/s13225-022-00502-3")</f>
        <v>http://dx.doi.org/10.1007/s13225-022-00502-3</v>
      </c>
      <c r="BN9" s="1" t="s">
        <v>82</v>
      </c>
      <c r="BO9" s="1" t="s">
        <v>267</v>
      </c>
      <c r="BP9" s="1">
        <v>60</v>
      </c>
      <c r="BQ9" s="1" t="s">
        <v>225</v>
      </c>
      <c r="BR9" s="1" t="s">
        <v>104</v>
      </c>
      <c r="BS9" s="1" t="s">
        <v>225</v>
      </c>
      <c r="BT9" s="1" t="s">
        <v>248</v>
      </c>
      <c r="BU9" s="1" t="s">
        <v>82</v>
      </c>
      <c r="BV9" s="1" t="s">
        <v>268</v>
      </c>
      <c r="BW9" s="1" t="s">
        <v>82</v>
      </c>
      <c r="BX9" s="1" t="s">
        <v>82</v>
      </c>
      <c r="BY9" s="1" t="s">
        <v>108</v>
      </c>
      <c r="BZ9" s="1" t="s">
        <v>269</v>
      </c>
      <c r="CA9" s="1" t="str">
        <f>HYPERLINK("https%3A%2F%2Fwww.webofscience.com%2Fwos%2Fwoscc%2Ffull-record%2FWOS:000788477900001","View Full Record in Web of Science")</f>
        <v>View Full Record in Web of Science</v>
      </c>
    </row>
    <row r="10" customFormat="1" ht="14.4" spans="1:79">
      <c r="A10">
        <v>9</v>
      </c>
      <c r="B10" s="2" t="s">
        <v>79</v>
      </c>
      <c r="C10" s="1" t="s">
        <v>80</v>
      </c>
      <c r="D10" s="1" t="s">
        <v>270</v>
      </c>
      <c r="E10" s="1" t="s">
        <v>82</v>
      </c>
      <c r="F10" s="1" t="s">
        <v>82</v>
      </c>
      <c r="G10" s="1" t="s">
        <v>82</v>
      </c>
      <c r="H10" s="1" t="s">
        <v>271</v>
      </c>
      <c r="I10" s="1" t="s">
        <v>82</v>
      </c>
      <c r="J10" s="1" t="s">
        <v>82</v>
      </c>
      <c r="K10" s="1" t="s">
        <v>272</v>
      </c>
      <c r="L10" s="1" t="s">
        <v>199</v>
      </c>
      <c r="M10" s="1">
        <v>24.902</v>
      </c>
      <c r="N10" s="2" t="s">
        <v>86</v>
      </c>
      <c r="O10" s="1" t="s">
        <v>82</v>
      </c>
      <c r="P10" s="1" t="s">
        <v>82</v>
      </c>
      <c r="Q10" s="1" t="s">
        <v>87</v>
      </c>
      <c r="R10" s="1" t="s">
        <v>273</v>
      </c>
      <c r="S10" s="1" t="s">
        <v>82</v>
      </c>
      <c r="T10" s="1" t="s">
        <v>82</v>
      </c>
      <c r="U10" s="1" t="s">
        <v>82</v>
      </c>
      <c r="V10" s="1" t="s">
        <v>82</v>
      </c>
      <c r="W10" s="1" t="s">
        <v>82</v>
      </c>
      <c r="X10" s="1" t="s">
        <v>82</v>
      </c>
      <c r="Y10" s="1" t="s">
        <v>82</v>
      </c>
      <c r="Z10" s="1" t="s">
        <v>82</v>
      </c>
      <c r="AA10" s="1"/>
      <c r="AB10" s="1" t="s">
        <v>274</v>
      </c>
      <c r="AC10" s="1" t="s">
        <v>275</v>
      </c>
      <c r="AD10" s="1" t="s">
        <v>120</v>
      </c>
      <c r="AE10" s="1" t="s">
        <v>276</v>
      </c>
      <c r="AF10" s="1" t="s">
        <v>277</v>
      </c>
      <c r="AG10" s="1" t="s">
        <v>278</v>
      </c>
      <c r="AH10" s="1" t="s">
        <v>279</v>
      </c>
      <c r="AI10" s="1" t="s">
        <v>280</v>
      </c>
      <c r="AJ10" s="1" t="s">
        <v>82</v>
      </c>
      <c r="AK10" s="1" t="s">
        <v>82</v>
      </c>
      <c r="AL10" s="1" t="s">
        <v>82</v>
      </c>
      <c r="AM10" s="1" t="s">
        <v>82</v>
      </c>
      <c r="AN10" s="1">
        <v>1</v>
      </c>
      <c r="AO10" s="1">
        <v>1</v>
      </c>
      <c r="AP10" s="1">
        <v>1</v>
      </c>
      <c r="AQ10" s="1">
        <v>1</v>
      </c>
      <c r="AR10" s="1">
        <v>2</v>
      </c>
      <c r="AS10" s="1" t="s">
        <v>215</v>
      </c>
      <c r="AT10" s="1" t="s">
        <v>216</v>
      </c>
      <c r="AU10" s="1" t="s">
        <v>217</v>
      </c>
      <c r="AV10" s="1" t="s">
        <v>218</v>
      </c>
      <c r="AW10" s="1" t="s">
        <v>219</v>
      </c>
      <c r="AX10" s="1" t="s">
        <v>82</v>
      </c>
      <c r="AY10" s="1" t="s">
        <v>220</v>
      </c>
      <c r="AZ10" s="1" t="s">
        <v>221</v>
      </c>
      <c r="BA10" s="1" t="s">
        <v>245</v>
      </c>
      <c r="BB10" s="1">
        <v>2022</v>
      </c>
      <c r="BC10" s="1">
        <v>114</v>
      </c>
      <c r="BD10" s="1">
        <v>1</v>
      </c>
      <c r="BE10" s="1" t="s">
        <v>82</v>
      </c>
      <c r="BF10" s="1" t="s">
        <v>82</v>
      </c>
      <c r="BG10" s="1" t="s">
        <v>170</v>
      </c>
      <c r="BH10" s="1" t="s">
        <v>82</v>
      </c>
      <c r="BI10" s="1">
        <v>279</v>
      </c>
      <c r="BJ10" s="1">
        <v>279</v>
      </c>
      <c r="BK10" s="1" t="s">
        <v>82</v>
      </c>
      <c r="BL10" s="1" t="s">
        <v>281</v>
      </c>
      <c r="BM10" s="1" t="str">
        <f>HYPERLINK("http://dx.doi.org/10.1007/s13225-022-00504-1","http://dx.doi.org/10.1007/s13225-022-00504-1")</f>
        <v>http://dx.doi.org/10.1007/s13225-022-00504-1</v>
      </c>
      <c r="BN10" s="1" t="s">
        <v>82</v>
      </c>
      <c r="BO10" s="1" t="s">
        <v>282</v>
      </c>
      <c r="BP10" s="1">
        <v>1</v>
      </c>
      <c r="BQ10" s="1" t="s">
        <v>225</v>
      </c>
      <c r="BR10" s="1" t="s">
        <v>104</v>
      </c>
      <c r="BS10" s="1" t="s">
        <v>225</v>
      </c>
      <c r="BT10" s="1" t="s">
        <v>248</v>
      </c>
      <c r="BU10" s="1" t="s">
        <v>82</v>
      </c>
      <c r="BV10" s="1" t="s">
        <v>268</v>
      </c>
      <c r="BW10" s="1" t="s">
        <v>82</v>
      </c>
      <c r="BX10" s="1" t="s">
        <v>82</v>
      </c>
      <c r="BY10" s="1" t="s">
        <v>108</v>
      </c>
      <c r="BZ10" s="1" t="s">
        <v>283</v>
      </c>
      <c r="CA10" s="1" t="str">
        <f>HYPERLINK("https%3A%2F%2Fwww.webofscience.com%2Fwos%2Fwoscc%2Ffull-record%2FWOS:000762880500001","View Full Record in Web of Science")</f>
        <v>View Full Record in Web of Science</v>
      </c>
    </row>
    <row r="11" customFormat="1" ht="14.4" spans="1:79">
      <c r="A11">
        <v>10</v>
      </c>
      <c r="B11" s="2" t="s">
        <v>79</v>
      </c>
      <c r="C11" s="1" t="s">
        <v>80</v>
      </c>
      <c r="D11" s="1" t="s">
        <v>284</v>
      </c>
      <c r="E11" s="1" t="s">
        <v>82</v>
      </c>
      <c r="F11" s="1" t="s">
        <v>82</v>
      </c>
      <c r="G11" s="1" t="s">
        <v>82</v>
      </c>
      <c r="H11" s="1" t="s">
        <v>271</v>
      </c>
      <c r="I11" s="1" t="s">
        <v>82</v>
      </c>
      <c r="J11" s="1" t="s">
        <v>82</v>
      </c>
      <c r="K11" s="1" t="s">
        <v>285</v>
      </c>
      <c r="L11" s="1" t="s">
        <v>199</v>
      </c>
      <c r="M11" s="1">
        <v>24.902</v>
      </c>
      <c r="N11" s="2" t="s">
        <v>86</v>
      </c>
      <c r="O11" s="1" t="s">
        <v>82</v>
      </c>
      <c r="P11" s="1" t="s">
        <v>82</v>
      </c>
      <c r="Q11" s="1" t="s">
        <v>87</v>
      </c>
      <c r="R11" s="1" t="s">
        <v>200</v>
      </c>
      <c r="S11" s="1" t="s">
        <v>82</v>
      </c>
      <c r="T11" s="1" t="s">
        <v>82</v>
      </c>
      <c r="U11" s="1" t="s">
        <v>82</v>
      </c>
      <c r="V11" s="1" t="s">
        <v>82</v>
      </c>
      <c r="W11" s="1" t="s">
        <v>82</v>
      </c>
      <c r="X11" s="1" t="s">
        <v>286</v>
      </c>
      <c r="Y11" s="1" t="s">
        <v>287</v>
      </c>
      <c r="Z11" s="1" t="s">
        <v>288</v>
      </c>
      <c r="AA11" s="1"/>
      <c r="AB11" s="1" t="s">
        <v>274</v>
      </c>
      <c r="AC11" s="1" t="s">
        <v>289</v>
      </c>
      <c r="AD11" s="1" t="s">
        <v>120</v>
      </c>
      <c r="AE11" s="1" t="s">
        <v>276</v>
      </c>
      <c r="AF11" s="1" t="s">
        <v>277</v>
      </c>
      <c r="AG11" s="1" t="s">
        <v>278</v>
      </c>
      <c r="AH11" s="1" t="s">
        <v>290</v>
      </c>
      <c r="AI11" s="1" t="s">
        <v>291</v>
      </c>
      <c r="AJ11" s="1" t="s">
        <v>292</v>
      </c>
      <c r="AK11" s="1" t="s">
        <v>293</v>
      </c>
      <c r="AL11" s="1" t="s">
        <v>294</v>
      </c>
      <c r="AM11" s="1" t="s">
        <v>82</v>
      </c>
      <c r="AN11" s="1">
        <v>491</v>
      </c>
      <c r="AO11" s="1">
        <v>2</v>
      </c>
      <c r="AP11" s="1">
        <v>2</v>
      </c>
      <c r="AQ11" s="1">
        <v>3</v>
      </c>
      <c r="AR11" s="1">
        <v>8</v>
      </c>
      <c r="AS11" s="1" t="s">
        <v>215</v>
      </c>
      <c r="AT11" s="1" t="s">
        <v>216</v>
      </c>
      <c r="AU11" s="1" t="s">
        <v>217</v>
      </c>
      <c r="AV11" s="1" t="s">
        <v>218</v>
      </c>
      <c r="AW11" s="1" t="s">
        <v>219</v>
      </c>
      <c r="AX11" s="1" t="s">
        <v>82</v>
      </c>
      <c r="AY11" s="1" t="s">
        <v>220</v>
      </c>
      <c r="AZ11" s="1" t="s">
        <v>221</v>
      </c>
      <c r="BA11" s="1" t="s">
        <v>245</v>
      </c>
      <c r="BB11" s="1">
        <v>2022</v>
      </c>
      <c r="BC11" s="1">
        <v>114</v>
      </c>
      <c r="BD11" s="1">
        <v>1</v>
      </c>
      <c r="BE11" s="1" t="s">
        <v>82</v>
      </c>
      <c r="BF11" s="1" t="s">
        <v>82</v>
      </c>
      <c r="BG11" s="1" t="s">
        <v>170</v>
      </c>
      <c r="BH11" s="1" t="s">
        <v>82</v>
      </c>
      <c r="BI11" s="1">
        <v>237</v>
      </c>
      <c r="BJ11" s="1">
        <v>278</v>
      </c>
      <c r="BK11" s="1" t="s">
        <v>82</v>
      </c>
      <c r="BL11" s="1" t="s">
        <v>295</v>
      </c>
      <c r="BM11" s="1" t="str">
        <f>HYPERLINK("http://dx.doi.org/10.1007/s13225-022-00498-w","http://dx.doi.org/10.1007/s13225-022-00498-w")</f>
        <v>http://dx.doi.org/10.1007/s13225-022-00498-w</v>
      </c>
      <c r="BN11" s="1" t="s">
        <v>82</v>
      </c>
      <c r="BO11" s="1" t="s">
        <v>296</v>
      </c>
      <c r="BP11" s="1">
        <v>42</v>
      </c>
      <c r="BQ11" s="1" t="s">
        <v>225</v>
      </c>
      <c r="BR11" s="1" t="s">
        <v>104</v>
      </c>
      <c r="BS11" s="1" t="s">
        <v>225</v>
      </c>
      <c r="BT11" s="1" t="s">
        <v>248</v>
      </c>
      <c r="BU11" s="1" t="s">
        <v>82</v>
      </c>
      <c r="BV11" s="1" t="s">
        <v>268</v>
      </c>
      <c r="BW11" s="1" t="s">
        <v>82</v>
      </c>
      <c r="BX11" s="1" t="s">
        <v>82</v>
      </c>
      <c r="BY11" s="1" t="s">
        <v>108</v>
      </c>
      <c r="BZ11" s="1" t="s">
        <v>297</v>
      </c>
      <c r="CA11" s="1" t="str">
        <f>HYPERLINK("https%3A%2F%2Fwww.webofscience.com%2Fwos%2Fwoscc%2Ffull-record%2FWOS:000757239900001","View Full Record in Web of Science")</f>
        <v>View Full Record in Web of Science</v>
      </c>
    </row>
    <row r="12" customFormat="1" ht="14.4" spans="1:79">
      <c r="A12">
        <v>11</v>
      </c>
      <c r="B12" s="2" t="s">
        <v>79</v>
      </c>
      <c r="C12" s="1" t="s">
        <v>80</v>
      </c>
      <c r="D12" s="1" t="s">
        <v>298</v>
      </c>
      <c r="E12" s="1" t="s">
        <v>82</v>
      </c>
      <c r="F12" s="1" t="s">
        <v>82</v>
      </c>
      <c r="G12" s="1" t="s">
        <v>82</v>
      </c>
      <c r="H12" s="1" t="s">
        <v>299</v>
      </c>
      <c r="I12" s="1" t="s">
        <v>82</v>
      </c>
      <c r="J12" s="1" t="s">
        <v>82</v>
      </c>
      <c r="K12" s="1" t="s">
        <v>300</v>
      </c>
      <c r="L12" s="1" t="s">
        <v>199</v>
      </c>
      <c r="M12" s="1">
        <v>24.902</v>
      </c>
      <c r="N12" s="2" t="s">
        <v>86</v>
      </c>
      <c r="O12" s="1" t="s">
        <v>82</v>
      </c>
      <c r="P12" s="1" t="s">
        <v>82</v>
      </c>
      <c r="Q12" s="1" t="s">
        <v>87</v>
      </c>
      <c r="R12" s="1" t="s">
        <v>200</v>
      </c>
      <c r="S12" s="1" t="s">
        <v>82</v>
      </c>
      <c r="T12" s="1" t="s">
        <v>82</v>
      </c>
      <c r="U12" s="1" t="s">
        <v>82</v>
      </c>
      <c r="V12" s="1" t="s">
        <v>82</v>
      </c>
      <c r="W12" s="1" t="s">
        <v>82</v>
      </c>
      <c r="X12" s="1" t="s">
        <v>301</v>
      </c>
      <c r="Y12" s="1" t="s">
        <v>302</v>
      </c>
      <c r="Z12" s="1" t="s">
        <v>303</v>
      </c>
      <c r="AA12" s="1"/>
      <c r="AB12" s="1" t="s">
        <v>304</v>
      </c>
      <c r="AC12" s="1" t="s">
        <v>305</v>
      </c>
      <c r="AD12" s="1" t="s">
        <v>120</v>
      </c>
      <c r="AE12" s="1" t="s">
        <v>306</v>
      </c>
      <c r="AF12" s="1" t="s">
        <v>307</v>
      </c>
      <c r="AG12" s="1" t="s">
        <v>308</v>
      </c>
      <c r="AH12" s="1" t="s">
        <v>309</v>
      </c>
      <c r="AI12" s="1" t="s">
        <v>310</v>
      </c>
      <c r="AJ12" s="1" t="s">
        <v>311</v>
      </c>
      <c r="AK12" s="1" t="s">
        <v>312</v>
      </c>
      <c r="AL12" s="1" t="s">
        <v>313</v>
      </c>
      <c r="AM12" s="1" t="s">
        <v>82</v>
      </c>
      <c r="AN12" s="1">
        <v>648</v>
      </c>
      <c r="AO12" s="1">
        <v>7</v>
      </c>
      <c r="AP12" s="1">
        <v>8</v>
      </c>
      <c r="AQ12" s="1">
        <v>24</v>
      </c>
      <c r="AR12" s="1">
        <v>63</v>
      </c>
      <c r="AS12" s="1" t="s">
        <v>215</v>
      </c>
      <c r="AT12" s="1" t="s">
        <v>216</v>
      </c>
      <c r="AU12" s="1" t="s">
        <v>217</v>
      </c>
      <c r="AV12" s="1" t="s">
        <v>218</v>
      </c>
      <c r="AW12" s="1" t="s">
        <v>219</v>
      </c>
      <c r="AX12" s="1" t="s">
        <v>82</v>
      </c>
      <c r="AY12" s="1" t="s">
        <v>220</v>
      </c>
      <c r="AZ12" s="1" t="s">
        <v>221</v>
      </c>
      <c r="BA12" s="1" t="s">
        <v>245</v>
      </c>
      <c r="BB12" s="1">
        <v>2022</v>
      </c>
      <c r="BC12" s="1">
        <v>114</v>
      </c>
      <c r="BD12" s="1">
        <v>1</v>
      </c>
      <c r="BE12" s="1" t="s">
        <v>82</v>
      </c>
      <c r="BF12" s="1" t="s">
        <v>82</v>
      </c>
      <c r="BG12" s="1" t="s">
        <v>170</v>
      </c>
      <c r="BH12" s="1" t="s">
        <v>82</v>
      </c>
      <c r="BI12" s="1">
        <v>281</v>
      </c>
      <c r="BJ12" s="1">
        <v>325</v>
      </c>
      <c r="BK12" s="1" t="s">
        <v>82</v>
      </c>
      <c r="BL12" s="1" t="s">
        <v>314</v>
      </c>
      <c r="BM12" s="1" t="str">
        <f>HYPERLINK("http://dx.doi.org/10.1007/s13225-021-00497-3","http://dx.doi.org/10.1007/s13225-021-00497-3")</f>
        <v>http://dx.doi.org/10.1007/s13225-021-00497-3</v>
      </c>
      <c r="BN12" s="1" t="s">
        <v>82</v>
      </c>
      <c r="BO12" s="1" t="s">
        <v>315</v>
      </c>
      <c r="BP12" s="1">
        <v>45</v>
      </c>
      <c r="BQ12" s="1" t="s">
        <v>225</v>
      </c>
      <c r="BR12" s="1" t="s">
        <v>104</v>
      </c>
      <c r="BS12" s="1" t="s">
        <v>225</v>
      </c>
      <c r="BT12" s="1" t="s">
        <v>248</v>
      </c>
      <c r="BU12" s="1" t="s">
        <v>82</v>
      </c>
      <c r="BV12" s="1" t="s">
        <v>316</v>
      </c>
      <c r="BW12" s="1" t="s">
        <v>82</v>
      </c>
      <c r="BX12" s="1" t="s">
        <v>82</v>
      </c>
      <c r="BY12" s="1" t="s">
        <v>108</v>
      </c>
      <c r="BZ12" s="1" t="s">
        <v>317</v>
      </c>
      <c r="CA12" s="1" t="str">
        <f>HYPERLINK("https%3A%2F%2Fwww.webofscience.com%2Fwos%2Fwoscc%2Ffull-record%2FWOS:000742621400001","View Full Record in Web of Science")</f>
        <v>View Full Record in Web of Science</v>
      </c>
    </row>
    <row r="13" s="1" customFormat="1" ht="14.4" spans="1:79">
      <c r="A13">
        <v>12</v>
      </c>
      <c r="B13" t="s">
        <v>79</v>
      </c>
      <c r="C13" t="s">
        <v>80</v>
      </c>
      <c r="D13" t="s">
        <v>318</v>
      </c>
      <c r="E13" t="s">
        <v>82</v>
      </c>
      <c r="F13" t="s">
        <v>82</v>
      </c>
      <c r="G13" t="s">
        <v>82</v>
      </c>
      <c r="H13" t="s">
        <v>319</v>
      </c>
      <c r="I13" t="s">
        <v>82</v>
      </c>
      <c r="J13" t="s">
        <v>82</v>
      </c>
      <c r="K13" t="s">
        <v>320</v>
      </c>
      <c r="L13" t="s">
        <v>321</v>
      </c>
      <c r="M13">
        <v>23.178</v>
      </c>
      <c r="N13" t="s">
        <v>86</v>
      </c>
      <c r="O13" t="s">
        <v>82</v>
      </c>
      <c r="P13" t="s">
        <v>82</v>
      </c>
      <c r="Q13" t="s">
        <v>87</v>
      </c>
      <c r="R13" t="s">
        <v>88</v>
      </c>
      <c r="S13" t="s">
        <v>82</v>
      </c>
      <c r="T13" t="s">
        <v>82</v>
      </c>
      <c r="U13" t="s">
        <v>82</v>
      </c>
      <c r="V13" t="s">
        <v>82</v>
      </c>
      <c r="W13" t="s">
        <v>82</v>
      </c>
      <c r="X13" t="s">
        <v>82</v>
      </c>
      <c r="Y13" t="s">
        <v>82</v>
      </c>
      <c r="Z13" t="s">
        <v>82</v>
      </c>
      <c r="AA13"/>
      <c r="AB13" t="s">
        <v>322</v>
      </c>
      <c r="AC13" t="s">
        <v>323</v>
      </c>
      <c r="AD13" s="1" t="s">
        <v>120</v>
      </c>
      <c r="AE13" t="s">
        <v>324</v>
      </c>
      <c r="AF13" t="s">
        <v>325</v>
      </c>
      <c r="AG13" t="s">
        <v>326</v>
      </c>
      <c r="AH13" t="s">
        <v>82</v>
      </c>
      <c r="AI13" t="s">
        <v>327</v>
      </c>
      <c r="AJ13" t="s">
        <v>82</v>
      </c>
      <c r="AK13" t="s">
        <v>82</v>
      </c>
      <c r="AL13" t="s">
        <v>82</v>
      </c>
      <c r="AM13" t="s">
        <v>82</v>
      </c>
      <c r="AN13">
        <v>11</v>
      </c>
      <c r="AO13">
        <v>3</v>
      </c>
      <c r="AP13">
        <v>3</v>
      </c>
      <c r="AQ13">
        <v>0</v>
      </c>
      <c r="AR13">
        <v>0</v>
      </c>
      <c r="AS13" t="s">
        <v>328</v>
      </c>
      <c r="AT13" t="s">
        <v>329</v>
      </c>
      <c r="AU13" t="s">
        <v>330</v>
      </c>
      <c r="AV13" t="s">
        <v>331</v>
      </c>
      <c r="AW13" t="s">
        <v>332</v>
      </c>
      <c r="AX13" t="s">
        <v>82</v>
      </c>
      <c r="AY13" t="s">
        <v>333</v>
      </c>
      <c r="AZ13" t="s">
        <v>334</v>
      </c>
      <c r="BA13" t="s">
        <v>335</v>
      </c>
      <c r="BB13">
        <v>2022</v>
      </c>
      <c r="BC13">
        <v>9</v>
      </c>
      <c r="BD13">
        <v>12</v>
      </c>
      <c r="BE13" t="s">
        <v>82</v>
      </c>
      <c r="BF13" t="s">
        <v>82</v>
      </c>
      <c r="BG13" t="s">
        <v>82</v>
      </c>
      <c r="BH13" t="s">
        <v>82</v>
      </c>
      <c r="BI13" t="s">
        <v>82</v>
      </c>
      <c r="BJ13" t="s">
        <v>82</v>
      </c>
      <c r="BK13" t="s">
        <v>336</v>
      </c>
      <c r="BL13" t="s">
        <v>337</v>
      </c>
      <c r="BM13" t="s">
        <v>338</v>
      </c>
      <c r="BN13" t="s">
        <v>82</v>
      </c>
      <c r="BO13" t="s">
        <v>82</v>
      </c>
      <c r="BP13">
        <v>3</v>
      </c>
      <c r="BQ13" t="s">
        <v>103</v>
      </c>
      <c r="BR13" t="s">
        <v>104</v>
      </c>
      <c r="BS13" t="s">
        <v>105</v>
      </c>
      <c r="BT13" t="s">
        <v>339</v>
      </c>
      <c r="BU13">
        <v>36694803</v>
      </c>
      <c r="BV13" t="s">
        <v>82</v>
      </c>
      <c r="BW13" t="s">
        <v>82</v>
      </c>
      <c r="BX13" t="s">
        <v>82</v>
      </c>
      <c r="BY13" t="s">
        <v>340</v>
      </c>
      <c r="BZ13" t="s">
        <v>341</v>
      </c>
      <c r="CA13" t="s">
        <v>342</v>
      </c>
    </row>
    <row r="14" s="1" customFormat="1" ht="14.4" spans="1:79">
      <c r="A14">
        <v>13</v>
      </c>
      <c r="B14" t="s">
        <v>79</v>
      </c>
      <c r="C14" t="s">
        <v>80</v>
      </c>
      <c r="D14" t="s">
        <v>343</v>
      </c>
      <c r="E14" t="s">
        <v>82</v>
      </c>
      <c r="F14" t="s">
        <v>82</v>
      </c>
      <c r="G14" t="s">
        <v>82</v>
      </c>
      <c r="H14" t="s">
        <v>344</v>
      </c>
      <c r="I14" t="s">
        <v>82</v>
      </c>
      <c r="J14" t="s">
        <v>82</v>
      </c>
      <c r="K14" t="s">
        <v>345</v>
      </c>
      <c r="L14" t="s">
        <v>321</v>
      </c>
      <c r="M14">
        <v>23.178</v>
      </c>
      <c r="N14" t="s">
        <v>86</v>
      </c>
      <c r="O14" t="s">
        <v>82</v>
      </c>
      <c r="P14" t="s">
        <v>82</v>
      </c>
      <c r="Q14" t="s">
        <v>87</v>
      </c>
      <c r="R14" t="s">
        <v>88</v>
      </c>
      <c r="S14" t="s">
        <v>82</v>
      </c>
      <c r="T14" t="s">
        <v>82</v>
      </c>
      <c r="U14" t="s">
        <v>82</v>
      </c>
      <c r="V14" t="s">
        <v>82</v>
      </c>
      <c r="W14" t="s">
        <v>82</v>
      </c>
      <c r="X14" t="s">
        <v>82</v>
      </c>
      <c r="Y14" t="s">
        <v>82</v>
      </c>
      <c r="Z14" t="s">
        <v>82</v>
      </c>
      <c r="AA14">
        <v>1</v>
      </c>
      <c r="AB14" t="s">
        <v>344</v>
      </c>
      <c r="AC14" t="s">
        <v>346</v>
      </c>
      <c r="AD14" s="1" t="s">
        <v>93</v>
      </c>
      <c r="AE14" t="s">
        <v>94</v>
      </c>
      <c r="AF14" t="s">
        <v>347</v>
      </c>
      <c r="AG14" t="s">
        <v>348</v>
      </c>
      <c r="AH14" t="s">
        <v>82</v>
      </c>
      <c r="AI14" t="s">
        <v>349</v>
      </c>
      <c r="AJ14" t="s">
        <v>82</v>
      </c>
      <c r="AK14" t="s">
        <v>82</v>
      </c>
      <c r="AL14" t="s">
        <v>82</v>
      </c>
      <c r="AM14" t="s">
        <v>82</v>
      </c>
      <c r="AN14">
        <v>6</v>
      </c>
      <c r="AO14">
        <v>0</v>
      </c>
      <c r="AP14">
        <v>0</v>
      </c>
      <c r="AQ14">
        <v>1</v>
      </c>
      <c r="AR14">
        <v>1</v>
      </c>
      <c r="AS14" t="s">
        <v>328</v>
      </c>
      <c r="AT14" t="s">
        <v>329</v>
      </c>
      <c r="AU14" t="s">
        <v>330</v>
      </c>
      <c r="AV14" t="s">
        <v>331</v>
      </c>
      <c r="AW14" t="s">
        <v>332</v>
      </c>
      <c r="AX14" t="s">
        <v>82</v>
      </c>
      <c r="AY14" t="s">
        <v>333</v>
      </c>
      <c r="AZ14" t="s">
        <v>334</v>
      </c>
      <c r="BA14" t="s">
        <v>335</v>
      </c>
      <c r="BB14">
        <v>2022</v>
      </c>
      <c r="BC14">
        <v>9</v>
      </c>
      <c r="BD14">
        <v>12</v>
      </c>
      <c r="BE14" t="s">
        <v>82</v>
      </c>
      <c r="BF14" t="s">
        <v>82</v>
      </c>
      <c r="BG14" t="s">
        <v>82</v>
      </c>
      <c r="BH14" t="s">
        <v>82</v>
      </c>
      <c r="BI14" t="s">
        <v>82</v>
      </c>
      <c r="BJ14" t="s">
        <v>82</v>
      </c>
      <c r="BK14" t="s">
        <v>350</v>
      </c>
      <c r="BL14" t="s">
        <v>351</v>
      </c>
      <c r="BM14" t="s">
        <v>352</v>
      </c>
      <c r="BN14" t="s">
        <v>82</v>
      </c>
      <c r="BO14" t="s">
        <v>82</v>
      </c>
      <c r="BP14">
        <v>1</v>
      </c>
      <c r="BQ14" t="s">
        <v>103</v>
      </c>
      <c r="BR14" t="s">
        <v>104</v>
      </c>
      <c r="BS14" t="s">
        <v>105</v>
      </c>
      <c r="BT14" t="s">
        <v>339</v>
      </c>
      <c r="BU14">
        <v>36694804</v>
      </c>
      <c r="BV14" t="s">
        <v>353</v>
      </c>
      <c r="BW14" t="s">
        <v>82</v>
      </c>
      <c r="BX14" t="s">
        <v>82</v>
      </c>
      <c r="BY14" t="s">
        <v>340</v>
      </c>
      <c r="BZ14" t="s">
        <v>354</v>
      </c>
      <c r="CA14" t="s">
        <v>342</v>
      </c>
    </row>
    <row r="15" s="1" customFormat="1" ht="14.4" spans="1:79">
      <c r="A15">
        <v>14</v>
      </c>
      <c r="B15" s="2" t="s">
        <v>79</v>
      </c>
      <c r="C15" s="1" t="s">
        <v>80</v>
      </c>
      <c r="D15" s="1" t="s">
        <v>355</v>
      </c>
      <c r="E15" s="1" t="s">
        <v>82</v>
      </c>
      <c r="F15" s="1" t="s">
        <v>82</v>
      </c>
      <c r="G15" s="1" t="s">
        <v>82</v>
      </c>
      <c r="H15" s="1" t="s">
        <v>356</v>
      </c>
      <c r="I15" s="1" t="s">
        <v>82</v>
      </c>
      <c r="J15" s="1" t="s">
        <v>82</v>
      </c>
      <c r="K15" s="1" t="s">
        <v>357</v>
      </c>
      <c r="L15" s="1" t="s">
        <v>358</v>
      </c>
      <c r="M15" s="1">
        <v>22.012</v>
      </c>
      <c r="N15" s="2" t="s">
        <v>86</v>
      </c>
      <c r="O15" s="1" t="s">
        <v>82</v>
      </c>
      <c r="P15" s="1" t="s">
        <v>82</v>
      </c>
      <c r="Q15" s="1" t="s">
        <v>87</v>
      </c>
      <c r="R15" s="1" t="s">
        <v>200</v>
      </c>
      <c r="S15" s="1" t="s">
        <v>82</v>
      </c>
      <c r="T15" s="1" t="s">
        <v>82</v>
      </c>
      <c r="U15" s="1" t="s">
        <v>82</v>
      </c>
      <c r="V15" s="1" t="s">
        <v>82</v>
      </c>
      <c r="W15" s="1" t="s">
        <v>82</v>
      </c>
      <c r="X15" s="1" t="s">
        <v>82</v>
      </c>
      <c r="Y15" s="1" t="s">
        <v>359</v>
      </c>
      <c r="Z15" s="1" t="s">
        <v>360</v>
      </c>
      <c r="AA15" s="1">
        <v>1</v>
      </c>
      <c r="AB15" s="1" t="s">
        <v>361</v>
      </c>
      <c r="AC15" s="1" t="s">
        <v>362</v>
      </c>
      <c r="AD15" s="1" t="s">
        <v>93</v>
      </c>
      <c r="AE15" s="1" t="s">
        <v>363</v>
      </c>
      <c r="AF15" s="1" t="s">
        <v>364</v>
      </c>
      <c r="AG15" s="1" t="s">
        <v>365</v>
      </c>
      <c r="AH15" s="1" t="s">
        <v>82</v>
      </c>
      <c r="AI15" s="1" t="s">
        <v>366</v>
      </c>
      <c r="AJ15" s="1" t="s">
        <v>367</v>
      </c>
      <c r="AK15" s="1" t="s">
        <v>368</v>
      </c>
      <c r="AL15" s="1" t="s">
        <v>369</v>
      </c>
      <c r="AM15" s="1" t="s">
        <v>82</v>
      </c>
      <c r="AN15" s="1">
        <v>71</v>
      </c>
      <c r="AO15" s="1">
        <v>9</v>
      </c>
      <c r="AP15" s="1">
        <v>10</v>
      </c>
      <c r="AQ15" s="1">
        <v>26</v>
      </c>
      <c r="AR15" s="1">
        <v>43</v>
      </c>
      <c r="AS15" s="1" t="s">
        <v>370</v>
      </c>
      <c r="AT15" s="1" t="s">
        <v>371</v>
      </c>
      <c r="AU15" s="1" t="s">
        <v>372</v>
      </c>
      <c r="AV15" s="1" t="s">
        <v>373</v>
      </c>
      <c r="AW15" s="1" t="s">
        <v>374</v>
      </c>
      <c r="AX15" s="1" t="s">
        <v>82</v>
      </c>
      <c r="AY15" s="1" t="s">
        <v>375</v>
      </c>
      <c r="AZ15" s="1" t="s">
        <v>376</v>
      </c>
      <c r="BA15" s="1" t="s">
        <v>245</v>
      </c>
      <c r="BB15" s="1">
        <v>2022</v>
      </c>
      <c r="BC15" s="1">
        <v>27</v>
      </c>
      <c r="BD15" s="1">
        <v>5</v>
      </c>
      <c r="BE15" s="1" t="s">
        <v>82</v>
      </c>
      <c r="BF15" s="1" t="s">
        <v>82</v>
      </c>
      <c r="BG15" s="1" t="s">
        <v>82</v>
      </c>
      <c r="BH15" s="1" t="s">
        <v>82</v>
      </c>
      <c r="BI15" s="1">
        <v>450</v>
      </c>
      <c r="BJ15" s="1">
        <v>459</v>
      </c>
      <c r="BK15" s="1" t="s">
        <v>82</v>
      </c>
      <c r="BL15" s="1" t="s">
        <v>377</v>
      </c>
      <c r="BM15" s="1" t="str">
        <f>HYPERLINK("http://dx.doi.org/10.1016/j.tplants.2021.11.009","http://dx.doi.org/10.1016/j.tplants.2021.11.009")</f>
        <v>http://dx.doi.org/10.1016/j.tplants.2021.11.009</v>
      </c>
      <c r="BN15" s="1" t="s">
        <v>82</v>
      </c>
      <c r="BO15" s="1" t="s">
        <v>267</v>
      </c>
      <c r="BP15" s="1">
        <v>10</v>
      </c>
      <c r="BQ15" s="1" t="s">
        <v>378</v>
      </c>
      <c r="BR15" s="1" t="s">
        <v>104</v>
      </c>
      <c r="BS15" s="1" t="s">
        <v>378</v>
      </c>
      <c r="BT15" s="1" t="s">
        <v>379</v>
      </c>
      <c r="BU15" s="1">
        <v>34876337</v>
      </c>
      <c r="BV15" s="1" t="s">
        <v>82</v>
      </c>
      <c r="BW15" s="1" t="s">
        <v>82</v>
      </c>
      <c r="BX15" s="1" t="s">
        <v>82</v>
      </c>
      <c r="BY15" s="1" t="s">
        <v>108</v>
      </c>
      <c r="BZ15" s="1" t="s">
        <v>380</v>
      </c>
      <c r="CA15" s="1" t="str">
        <f>HYPERLINK("https%3A%2F%2Fwww.webofscience.com%2Fwos%2Fwoscc%2Ffull-record%2FWOS:000793707900006","View Full Record in Web of Science")</f>
        <v>View Full Record in Web of Science</v>
      </c>
    </row>
    <row r="16" s="1" customFormat="1" ht="14.4" spans="1:79">
      <c r="A16">
        <v>15</v>
      </c>
      <c r="B16" s="2" t="s">
        <v>79</v>
      </c>
      <c r="C16" s="1" t="s">
        <v>80</v>
      </c>
      <c r="D16" s="1" t="s">
        <v>381</v>
      </c>
      <c r="E16" s="1" t="s">
        <v>82</v>
      </c>
      <c r="F16" s="1" t="s">
        <v>82</v>
      </c>
      <c r="G16" s="1" t="s">
        <v>82</v>
      </c>
      <c r="H16" s="1" t="s">
        <v>382</v>
      </c>
      <c r="I16" s="1" t="s">
        <v>82</v>
      </c>
      <c r="J16" s="1" t="s">
        <v>82</v>
      </c>
      <c r="K16" s="1" t="s">
        <v>383</v>
      </c>
      <c r="L16" s="1" t="s">
        <v>358</v>
      </c>
      <c r="M16" s="1">
        <v>22.012</v>
      </c>
      <c r="N16" s="2" t="s">
        <v>86</v>
      </c>
      <c r="O16" s="1" t="s">
        <v>82</v>
      </c>
      <c r="P16" s="1" t="s">
        <v>82</v>
      </c>
      <c r="Q16" s="1" t="s">
        <v>87</v>
      </c>
      <c r="R16" s="1" t="s">
        <v>200</v>
      </c>
      <c r="S16" s="1" t="s">
        <v>82</v>
      </c>
      <c r="T16" s="1" t="s">
        <v>82</v>
      </c>
      <c r="U16" s="1" t="s">
        <v>82</v>
      </c>
      <c r="V16" s="1" t="s">
        <v>82</v>
      </c>
      <c r="W16" s="1" t="s">
        <v>82</v>
      </c>
      <c r="X16" s="1" t="s">
        <v>384</v>
      </c>
      <c r="Y16" s="1" t="s">
        <v>385</v>
      </c>
      <c r="Z16" s="1" t="s">
        <v>386</v>
      </c>
      <c r="AB16" s="1" t="s">
        <v>387</v>
      </c>
      <c r="AC16" s="1" t="s">
        <v>388</v>
      </c>
      <c r="AD16" s="1" t="s">
        <v>206</v>
      </c>
      <c r="AE16" s="1" t="s">
        <v>389</v>
      </c>
      <c r="AF16" s="1" t="s">
        <v>390</v>
      </c>
      <c r="AG16" s="1" t="s">
        <v>391</v>
      </c>
      <c r="AH16" s="1" t="s">
        <v>392</v>
      </c>
      <c r="AI16" s="1" t="s">
        <v>393</v>
      </c>
      <c r="AJ16" s="1" t="s">
        <v>394</v>
      </c>
      <c r="AK16" s="1" t="s">
        <v>395</v>
      </c>
      <c r="AL16" s="1" t="s">
        <v>396</v>
      </c>
      <c r="AM16" s="1" t="s">
        <v>82</v>
      </c>
      <c r="AN16" s="1">
        <v>71</v>
      </c>
      <c r="AO16" s="1">
        <v>4</v>
      </c>
      <c r="AP16" s="1">
        <v>4</v>
      </c>
      <c r="AQ16" s="1">
        <v>11</v>
      </c>
      <c r="AR16" s="1">
        <v>18</v>
      </c>
      <c r="AS16" s="1" t="s">
        <v>370</v>
      </c>
      <c r="AT16" s="1" t="s">
        <v>371</v>
      </c>
      <c r="AU16" s="1" t="s">
        <v>372</v>
      </c>
      <c r="AV16" s="1" t="s">
        <v>373</v>
      </c>
      <c r="AW16" s="1" t="s">
        <v>374</v>
      </c>
      <c r="AX16" s="1" t="s">
        <v>82</v>
      </c>
      <c r="AY16" s="1" t="s">
        <v>375</v>
      </c>
      <c r="AZ16" s="1" t="s">
        <v>376</v>
      </c>
      <c r="BA16" s="1" t="s">
        <v>397</v>
      </c>
      <c r="BB16" s="1">
        <v>2022</v>
      </c>
      <c r="BC16" s="1">
        <v>27</v>
      </c>
      <c r="BD16" s="1">
        <v>2</v>
      </c>
      <c r="BE16" s="1" t="s">
        <v>82</v>
      </c>
      <c r="BF16" s="1" t="s">
        <v>82</v>
      </c>
      <c r="BG16" s="1" t="s">
        <v>82</v>
      </c>
      <c r="BH16" s="1" t="s">
        <v>82</v>
      </c>
      <c r="BI16" s="1">
        <v>139</v>
      </c>
      <c r="BJ16" s="1">
        <v>146</v>
      </c>
      <c r="BK16" s="1" t="s">
        <v>82</v>
      </c>
      <c r="BL16" s="1" t="s">
        <v>398</v>
      </c>
      <c r="BM16" s="1" t="str">
        <f>HYPERLINK("http://dx.doi.org/10.1016/j.tplants.2021.08.008","http://dx.doi.org/10.1016/j.tplants.2021.08.008")</f>
        <v>http://dx.doi.org/10.1016/j.tplants.2021.08.008</v>
      </c>
      <c r="BN16" s="1" t="s">
        <v>82</v>
      </c>
      <c r="BO16" s="1" t="s">
        <v>82</v>
      </c>
      <c r="BP16" s="1">
        <v>8</v>
      </c>
      <c r="BQ16" s="1" t="s">
        <v>378</v>
      </c>
      <c r="BR16" s="1" t="s">
        <v>104</v>
      </c>
      <c r="BS16" s="1" t="s">
        <v>378</v>
      </c>
      <c r="BT16" s="1" t="s">
        <v>399</v>
      </c>
      <c r="BU16" s="1">
        <v>34556418</v>
      </c>
      <c r="BV16" s="1" t="s">
        <v>82</v>
      </c>
      <c r="BW16" s="1" t="s">
        <v>82</v>
      </c>
      <c r="BX16" s="1" t="s">
        <v>82</v>
      </c>
      <c r="BY16" s="1" t="s">
        <v>108</v>
      </c>
      <c r="BZ16" s="1" t="s">
        <v>400</v>
      </c>
      <c r="CA16" s="1" t="str">
        <f>HYPERLINK("https%3A%2F%2Fwww.webofscience.com%2Fwos%2Fwoscc%2Ffull-record%2FWOS:000743946800007","View Full Record in Web of Science")</f>
        <v>View Full Record in Web of Science</v>
      </c>
    </row>
    <row r="17" s="1" customFormat="1" ht="14.4" spans="1:79">
      <c r="A17">
        <v>16</v>
      </c>
      <c r="B17" s="2" t="s">
        <v>79</v>
      </c>
      <c r="C17" s="1" t="s">
        <v>80</v>
      </c>
      <c r="D17" s="1" t="s">
        <v>401</v>
      </c>
      <c r="E17" s="1" t="s">
        <v>82</v>
      </c>
      <c r="F17" s="1" t="s">
        <v>82</v>
      </c>
      <c r="G17" s="1" t="s">
        <v>82</v>
      </c>
      <c r="H17" s="1" t="s">
        <v>402</v>
      </c>
      <c r="I17" s="1" t="s">
        <v>82</v>
      </c>
      <c r="J17" s="1" t="s">
        <v>82</v>
      </c>
      <c r="K17" s="1" t="s">
        <v>403</v>
      </c>
      <c r="L17" s="1" t="s">
        <v>404</v>
      </c>
      <c r="M17" s="1">
        <v>21.949</v>
      </c>
      <c r="N17" s="2" t="s">
        <v>86</v>
      </c>
      <c r="O17" s="1" t="s">
        <v>82</v>
      </c>
      <c r="P17" s="1" t="s">
        <v>82</v>
      </c>
      <c r="Q17" s="1" t="s">
        <v>87</v>
      </c>
      <c r="R17" s="1" t="s">
        <v>115</v>
      </c>
      <c r="S17" s="1" t="s">
        <v>82</v>
      </c>
      <c r="T17" s="1" t="s">
        <v>82</v>
      </c>
      <c r="U17" s="1" t="s">
        <v>82</v>
      </c>
      <c r="V17" s="1" t="s">
        <v>82</v>
      </c>
      <c r="W17" s="1" t="s">
        <v>82</v>
      </c>
      <c r="X17" s="1" t="s">
        <v>405</v>
      </c>
      <c r="Y17" s="1" t="s">
        <v>406</v>
      </c>
      <c r="Z17" s="1" t="s">
        <v>407</v>
      </c>
      <c r="AA17" s="1">
        <v>1</v>
      </c>
      <c r="AB17" s="1" t="s">
        <v>408</v>
      </c>
      <c r="AC17" s="1" t="s">
        <v>409</v>
      </c>
      <c r="AD17" s="1" t="s">
        <v>93</v>
      </c>
      <c r="AE17" s="1" t="s">
        <v>410</v>
      </c>
      <c r="AF17" s="1" t="s">
        <v>411</v>
      </c>
      <c r="AG17" s="1" t="s">
        <v>412</v>
      </c>
      <c r="AH17" s="1" t="s">
        <v>413</v>
      </c>
      <c r="AI17" s="1" t="s">
        <v>414</v>
      </c>
      <c r="AJ17" s="1" t="s">
        <v>82</v>
      </c>
      <c r="AK17" s="1" t="s">
        <v>82</v>
      </c>
      <c r="AL17" s="1" t="s">
        <v>82</v>
      </c>
      <c r="AM17" s="1" t="s">
        <v>82</v>
      </c>
      <c r="AN17" s="1">
        <v>52</v>
      </c>
      <c r="AO17" s="1">
        <v>0</v>
      </c>
      <c r="AP17" s="1">
        <v>0</v>
      </c>
      <c r="AQ17" s="1">
        <v>30</v>
      </c>
      <c r="AR17" s="1">
        <v>32</v>
      </c>
      <c r="AS17" s="1" t="s">
        <v>415</v>
      </c>
      <c r="AT17" s="1" t="s">
        <v>416</v>
      </c>
      <c r="AU17" s="1" t="s">
        <v>417</v>
      </c>
      <c r="AV17" s="1" t="s">
        <v>418</v>
      </c>
      <c r="AW17" s="1" t="s">
        <v>419</v>
      </c>
      <c r="AX17" s="1" t="s">
        <v>82</v>
      </c>
      <c r="AY17" s="1" t="s">
        <v>420</v>
      </c>
      <c r="AZ17" s="1" t="s">
        <v>421</v>
      </c>
      <c r="BA17" s="1" t="s">
        <v>422</v>
      </c>
      <c r="BB17" s="1">
        <v>2022</v>
      </c>
      <c r="BC17" s="1">
        <v>15</v>
      </c>
      <c r="BD17" s="1">
        <v>8</v>
      </c>
      <c r="BE17" s="1" t="s">
        <v>82</v>
      </c>
      <c r="BF17" s="1" t="s">
        <v>82</v>
      </c>
      <c r="BG17" s="1" t="s">
        <v>82</v>
      </c>
      <c r="BH17" s="1" t="s">
        <v>82</v>
      </c>
      <c r="BI17" s="1">
        <v>1384</v>
      </c>
      <c r="BJ17" s="1">
        <v>1399</v>
      </c>
      <c r="BK17" s="1" t="s">
        <v>82</v>
      </c>
      <c r="BL17" s="1" t="s">
        <v>423</v>
      </c>
      <c r="BM17" s="1" t="str">
        <f>HYPERLINK("http://dx.doi.org/10.1016/j.molp.2022.07.007","http://dx.doi.org/10.1016/j.molp.2022.07.007")</f>
        <v>http://dx.doi.org/10.1016/j.molp.2022.07.007</v>
      </c>
      <c r="BN17" s="1" t="s">
        <v>82</v>
      </c>
      <c r="BO17" s="1" t="s">
        <v>424</v>
      </c>
      <c r="BP17" s="1">
        <v>16</v>
      </c>
      <c r="BQ17" s="1" t="s">
        <v>425</v>
      </c>
      <c r="BR17" s="1" t="s">
        <v>104</v>
      </c>
      <c r="BS17" s="1" t="s">
        <v>425</v>
      </c>
      <c r="BT17" s="1" t="s">
        <v>426</v>
      </c>
      <c r="BU17" s="1">
        <v>35854658</v>
      </c>
      <c r="BV17" s="1" t="s">
        <v>427</v>
      </c>
      <c r="BW17" s="1" t="s">
        <v>82</v>
      </c>
      <c r="BX17" s="1" t="s">
        <v>82</v>
      </c>
      <c r="BY17" s="1" t="s">
        <v>108</v>
      </c>
      <c r="BZ17" s="1" t="s">
        <v>428</v>
      </c>
      <c r="CA17" s="1" t="str">
        <f>HYPERLINK("https%3A%2F%2Fwww.webofscience.com%2Fwos%2Fwoscc%2Ffull-record%2FWOS:000843532600016","View Full Record in Web of Science")</f>
        <v>View Full Record in Web of Science</v>
      </c>
    </row>
    <row r="18" s="1" customFormat="1" ht="14.4" spans="1:79">
      <c r="A18">
        <v>17</v>
      </c>
      <c r="B18" s="2" t="s">
        <v>79</v>
      </c>
      <c r="C18" s="1" t="s">
        <v>80</v>
      </c>
      <c r="D18" s="1" t="s">
        <v>429</v>
      </c>
      <c r="E18" s="1" t="s">
        <v>82</v>
      </c>
      <c r="F18" s="1" t="s">
        <v>82</v>
      </c>
      <c r="G18" s="1" t="s">
        <v>82</v>
      </c>
      <c r="H18" s="1" t="s">
        <v>430</v>
      </c>
      <c r="I18" s="1" t="s">
        <v>82</v>
      </c>
      <c r="J18" s="1" t="s">
        <v>82</v>
      </c>
      <c r="K18" s="1" t="s">
        <v>431</v>
      </c>
      <c r="L18" s="1" t="s">
        <v>404</v>
      </c>
      <c r="M18" s="1">
        <v>21.949</v>
      </c>
      <c r="N18" s="2" t="s">
        <v>86</v>
      </c>
      <c r="O18" s="1" t="s">
        <v>82</v>
      </c>
      <c r="P18" s="1" t="s">
        <v>82</v>
      </c>
      <c r="Q18" s="1" t="s">
        <v>87</v>
      </c>
      <c r="R18" s="1" t="s">
        <v>115</v>
      </c>
      <c r="S18" s="1" t="s">
        <v>82</v>
      </c>
      <c r="T18" s="1" t="s">
        <v>82</v>
      </c>
      <c r="U18" s="1" t="s">
        <v>82</v>
      </c>
      <c r="V18" s="1" t="s">
        <v>82</v>
      </c>
      <c r="W18" s="1" t="s">
        <v>82</v>
      </c>
      <c r="X18" s="1" t="s">
        <v>432</v>
      </c>
      <c r="Y18" s="1" t="s">
        <v>433</v>
      </c>
      <c r="Z18" s="1" t="s">
        <v>434</v>
      </c>
      <c r="AB18" s="1" t="s">
        <v>435</v>
      </c>
      <c r="AC18" s="1" t="s">
        <v>436</v>
      </c>
      <c r="AD18" s="1" t="s">
        <v>206</v>
      </c>
      <c r="AE18" s="1" t="s">
        <v>437</v>
      </c>
      <c r="AF18" s="1" t="s">
        <v>438</v>
      </c>
      <c r="AG18" s="1" t="s">
        <v>439</v>
      </c>
      <c r="AH18" s="1" t="s">
        <v>82</v>
      </c>
      <c r="AI18" s="1" t="s">
        <v>440</v>
      </c>
      <c r="AJ18" s="1" t="s">
        <v>441</v>
      </c>
      <c r="AK18" s="1" t="s">
        <v>442</v>
      </c>
      <c r="AL18" s="1" t="s">
        <v>443</v>
      </c>
      <c r="AM18" s="1" t="s">
        <v>82</v>
      </c>
      <c r="AN18" s="1">
        <v>93</v>
      </c>
      <c r="AO18" s="1">
        <v>6</v>
      </c>
      <c r="AP18" s="1">
        <v>6</v>
      </c>
      <c r="AQ18" s="1">
        <v>26</v>
      </c>
      <c r="AR18" s="1">
        <v>41</v>
      </c>
      <c r="AS18" s="1" t="s">
        <v>415</v>
      </c>
      <c r="AT18" s="1" t="s">
        <v>416</v>
      </c>
      <c r="AU18" s="1" t="s">
        <v>417</v>
      </c>
      <c r="AV18" s="1" t="s">
        <v>418</v>
      </c>
      <c r="AW18" s="1" t="s">
        <v>419</v>
      </c>
      <c r="AX18" s="1" t="s">
        <v>82</v>
      </c>
      <c r="AY18" s="1" t="s">
        <v>420</v>
      </c>
      <c r="AZ18" s="1" t="s">
        <v>421</v>
      </c>
      <c r="BA18" s="1" t="s">
        <v>444</v>
      </c>
      <c r="BB18" s="1">
        <v>2022</v>
      </c>
      <c r="BC18" s="1">
        <v>15</v>
      </c>
      <c r="BD18" s="1">
        <v>5</v>
      </c>
      <c r="BE18" s="1" t="s">
        <v>82</v>
      </c>
      <c r="BF18" s="1" t="s">
        <v>82</v>
      </c>
      <c r="BG18" s="1" t="s">
        <v>82</v>
      </c>
      <c r="BH18" s="1" t="s">
        <v>82</v>
      </c>
      <c r="BI18" s="1">
        <v>857</v>
      </c>
      <c r="BJ18" s="1">
        <v>871</v>
      </c>
      <c r="BK18" s="1" t="s">
        <v>82</v>
      </c>
      <c r="BL18" s="1" t="s">
        <v>445</v>
      </c>
      <c r="BM18" s="1" t="str">
        <f>HYPERLINK("http://dx.doi.org/10.1016/j.molp.2022.02.001","http://dx.doi.org/10.1016/j.molp.2022.02.001")</f>
        <v>http://dx.doi.org/10.1016/j.molp.2022.02.001</v>
      </c>
      <c r="BN18" s="1" t="s">
        <v>82</v>
      </c>
      <c r="BO18" s="1" t="s">
        <v>247</v>
      </c>
      <c r="BP18" s="1">
        <v>15</v>
      </c>
      <c r="BQ18" s="1" t="s">
        <v>425</v>
      </c>
      <c r="BR18" s="1" t="s">
        <v>104</v>
      </c>
      <c r="BS18" s="1" t="s">
        <v>425</v>
      </c>
      <c r="BT18" s="1" t="s">
        <v>446</v>
      </c>
      <c r="BU18" s="1">
        <v>35235827</v>
      </c>
      <c r="BV18" s="1" t="s">
        <v>268</v>
      </c>
      <c r="BW18" s="1" t="s">
        <v>82</v>
      </c>
      <c r="BX18" s="1" t="s">
        <v>82</v>
      </c>
      <c r="BY18" s="1" t="s">
        <v>108</v>
      </c>
      <c r="BZ18" s="1" t="s">
        <v>447</v>
      </c>
      <c r="CA18" s="1" t="str">
        <f>HYPERLINK("https%3A%2F%2Fwww.webofscience.com%2Fwos%2Fwoscc%2Ffull-record%2FWOS:000796780000013","View Full Record in Web of Science")</f>
        <v>View Full Record in Web of Science</v>
      </c>
    </row>
    <row r="19" s="1" customFormat="1" ht="14.4" spans="1:79">
      <c r="A19">
        <v>18</v>
      </c>
      <c r="B19" s="2" t="s">
        <v>79</v>
      </c>
      <c r="C19" s="1" t="s">
        <v>80</v>
      </c>
      <c r="D19" s="1" t="s">
        <v>448</v>
      </c>
      <c r="E19" s="1" t="s">
        <v>82</v>
      </c>
      <c r="F19" s="1" t="s">
        <v>82</v>
      </c>
      <c r="G19" s="1" t="s">
        <v>82</v>
      </c>
      <c r="H19" s="1" t="s">
        <v>449</v>
      </c>
      <c r="I19" s="1" t="s">
        <v>82</v>
      </c>
      <c r="J19" s="1" t="s">
        <v>82</v>
      </c>
      <c r="K19" s="1" t="s">
        <v>450</v>
      </c>
      <c r="L19" s="1" t="s">
        <v>404</v>
      </c>
      <c r="M19" s="1">
        <v>21.949</v>
      </c>
      <c r="N19" s="2" t="s">
        <v>86</v>
      </c>
      <c r="O19" s="1" t="s">
        <v>82</v>
      </c>
      <c r="P19" s="1" t="s">
        <v>82</v>
      </c>
      <c r="Q19" s="1" t="s">
        <v>87</v>
      </c>
      <c r="R19" s="1" t="s">
        <v>115</v>
      </c>
      <c r="S19" s="1" t="s">
        <v>82</v>
      </c>
      <c r="T19" s="1" t="s">
        <v>82</v>
      </c>
      <c r="U19" s="1" t="s">
        <v>82</v>
      </c>
      <c r="V19" s="1" t="s">
        <v>82</v>
      </c>
      <c r="W19" s="1" t="s">
        <v>82</v>
      </c>
      <c r="X19" s="1" t="s">
        <v>451</v>
      </c>
      <c r="Y19" s="1" t="s">
        <v>452</v>
      </c>
      <c r="Z19" s="1" t="s">
        <v>453</v>
      </c>
      <c r="AB19" s="1" t="s">
        <v>454</v>
      </c>
      <c r="AC19" s="1" t="s">
        <v>455</v>
      </c>
      <c r="AD19" s="1" t="s">
        <v>120</v>
      </c>
      <c r="AE19" s="1" t="s">
        <v>456</v>
      </c>
      <c r="AF19" s="1" t="s">
        <v>457</v>
      </c>
      <c r="AG19" s="1" t="s">
        <v>458</v>
      </c>
      <c r="AH19" s="1" t="s">
        <v>459</v>
      </c>
      <c r="AI19" s="1" t="s">
        <v>460</v>
      </c>
      <c r="AJ19" s="1" t="s">
        <v>461</v>
      </c>
      <c r="AK19" s="1" t="s">
        <v>462</v>
      </c>
      <c r="AL19" s="1" t="s">
        <v>463</v>
      </c>
      <c r="AM19" s="1" t="s">
        <v>82</v>
      </c>
      <c r="AN19" s="1">
        <v>116</v>
      </c>
      <c r="AO19" s="1">
        <v>10</v>
      </c>
      <c r="AP19" s="1">
        <v>11</v>
      </c>
      <c r="AQ19" s="1">
        <v>19</v>
      </c>
      <c r="AR19" s="1">
        <v>35</v>
      </c>
      <c r="AS19" s="1" t="s">
        <v>415</v>
      </c>
      <c r="AT19" s="1" t="s">
        <v>416</v>
      </c>
      <c r="AU19" s="1" t="s">
        <v>417</v>
      </c>
      <c r="AV19" s="1" t="s">
        <v>418</v>
      </c>
      <c r="AW19" s="1" t="s">
        <v>419</v>
      </c>
      <c r="AX19" s="1" t="s">
        <v>82</v>
      </c>
      <c r="AY19" s="1" t="s">
        <v>420</v>
      </c>
      <c r="AZ19" s="1" t="s">
        <v>421</v>
      </c>
      <c r="BA19" s="1" t="s">
        <v>464</v>
      </c>
      <c r="BB19" s="1">
        <v>2022</v>
      </c>
      <c r="BC19" s="1">
        <v>15</v>
      </c>
      <c r="BD19" s="1">
        <v>4</v>
      </c>
      <c r="BE19" s="1" t="s">
        <v>82</v>
      </c>
      <c r="BF19" s="1" t="s">
        <v>82</v>
      </c>
      <c r="BG19" s="1" t="s">
        <v>82</v>
      </c>
      <c r="BH19" s="1" t="s">
        <v>82</v>
      </c>
      <c r="BI19" s="1">
        <v>755</v>
      </c>
      <c r="BJ19" s="1">
        <v>777</v>
      </c>
      <c r="BK19" s="1" t="s">
        <v>82</v>
      </c>
      <c r="BL19" s="1" t="s">
        <v>465</v>
      </c>
      <c r="BM19" s="1" t="str">
        <f>HYPERLINK("http://dx.doi.org/10.1016/j.molp.2022.01.015","http://dx.doi.org/10.1016/j.molp.2022.01.015")</f>
        <v>http://dx.doi.org/10.1016/j.molp.2022.01.015</v>
      </c>
      <c r="BN19" s="1" t="s">
        <v>82</v>
      </c>
      <c r="BO19" s="1" t="s">
        <v>267</v>
      </c>
      <c r="BP19" s="1">
        <v>23</v>
      </c>
      <c r="BQ19" s="1" t="s">
        <v>425</v>
      </c>
      <c r="BR19" s="1" t="s">
        <v>104</v>
      </c>
      <c r="BS19" s="1" t="s">
        <v>425</v>
      </c>
      <c r="BT19" s="1" t="s">
        <v>466</v>
      </c>
      <c r="BU19" s="1">
        <v>35093593</v>
      </c>
      <c r="BV19" s="1" t="s">
        <v>268</v>
      </c>
      <c r="BW19" s="1" t="s">
        <v>82</v>
      </c>
      <c r="BX19" s="1" t="s">
        <v>82</v>
      </c>
      <c r="BY19" s="1" t="s">
        <v>108</v>
      </c>
      <c r="BZ19" s="1" t="s">
        <v>467</v>
      </c>
      <c r="CA19" s="1" t="str">
        <f>HYPERLINK("https%3A%2F%2Fwww.webofscience.com%2Fwos%2Fwoscc%2Ffull-record%2FWOS:000787043300004","View Full Record in Web of Science")</f>
        <v>View Full Record in Web of Science</v>
      </c>
    </row>
    <row r="20" s="1" customFormat="1" ht="14.4" spans="1:79">
      <c r="A20">
        <v>19</v>
      </c>
      <c r="B20" s="2" t="s">
        <v>79</v>
      </c>
      <c r="C20" s="1" t="s">
        <v>80</v>
      </c>
      <c r="D20" s="1" t="s">
        <v>468</v>
      </c>
      <c r="E20" s="1" t="s">
        <v>82</v>
      </c>
      <c r="F20" s="1" t="s">
        <v>82</v>
      </c>
      <c r="G20" s="1" t="s">
        <v>82</v>
      </c>
      <c r="H20" s="1" t="s">
        <v>469</v>
      </c>
      <c r="I20" s="1" t="s">
        <v>82</v>
      </c>
      <c r="J20" s="1" t="s">
        <v>82</v>
      </c>
      <c r="K20" s="1" t="s">
        <v>470</v>
      </c>
      <c r="L20" s="1" t="s">
        <v>471</v>
      </c>
      <c r="M20" s="1">
        <v>19.967</v>
      </c>
      <c r="N20" s="2" t="s">
        <v>86</v>
      </c>
      <c r="O20" s="1" t="s">
        <v>82</v>
      </c>
      <c r="P20" s="1" t="s">
        <v>82</v>
      </c>
      <c r="Q20" s="1" t="s">
        <v>87</v>
      </c>
      <c r="R20" s="1" t="s">
        <v>88</v>
      </c>
      <c r="S20" s="1" t="s">
        <v>82</v>
      </c>
      <c r="T20" s="1" t="s">
        <v>82</v>
      </c>
      <c r="U20" s="1" t="s">
        <v>82</v>
      </c>
      <c r="V20" s="1" t="s">
        <v>82</v>
      </c>
      <c r="W20" s="1" t="s">
        <v>82</v>
      </c>
      <c r="X20" s="1" t="s">
        <v>82</v>
      </c>
      <c r="Y20" s="1" t="s">
        <v>82</v>
      </c>
      <c r="Z20" s="1" t="s">
        <v>472</v>
      </c>
      <c r="AA20" s="1">
        <v>1</v>
      </c>
      <c r="AB20" s="1" t="s">
        <v>469</v>
      </c>
      <c r="AC20" s="1" t="s">
        <v>473</v>
      </c>
      <c r="AD20" s="1" t="s">
        <v>93</v>
      </c>
      <c r="AE20" s="1" t="s">
        <v>94</v>
      </c>
      <c r="AF20" s="1" t="s">
        <v>474</v>
      </c>
      <c r="AG20" s="1" t="s">
        <v>475</v>
      </c>
      <c r="AH20" s="1" t="s">
        <v>82</v>
      </c>
      <c r="AI20" s="1" t="s">
        <v>476</v>
      </c>
      <c r="AJ20" s="1" t="s">
        <v>477</v>
      </c>
      <c r="AK20" s="1" t="s">
        <v>477</v>
      </c>
      <c r="AL20" s="1" t="s">
        <v>478</v>
      </c>
      <c r="AM20" s="1" t="s">
        <v>82</v>
      </c>
      <c r="AN20" s="1">
        <v>9</v>
      </c>
      <c r="AO20" s="1">
        <v>0</v>
      </c>
      <c r="AP20" s="1">
        <v>0</v>
      </c>
      <c r="AQ20" s="1">
        <v>5</v>
      </c>
      <c r="AR20" s="1">
        <v>5</v>
      </c>
      <c r="AS20" s="1" t="s">
        <v>479</v>
      </c>
      <c r="AT20" s="1" t="s">
        <v>480</v>
      </c>
      <c r="AU20" s="1" t="s">
        <v>481</v>
      </c>
      <c r="AV20" s="1" t="s">
        <v>482</v>
      </c>
      <c r="AW20" s="1" t="s">
        <v>483</v>
      </c>
      <c r="AX20" s="1" t="s">
        <v>82</v>
      </c>
      <c r="AY20" s="1" t="s">
        <v>484</v>
      </c>
      <c r="AZ20" s="1" t="s">
        <v>485</v>
      </c>
      <c r="BA20" s="1" t="s">
        <v>486</v>
      </c>
      <c r="BB20" s="1">
        <v>2022</v>
      </c>
      <c r="BC20" s="1">
        <v>5</v>
      </c>
      <c r="BD20" s="1">
        <v>11</v>
      </c>
      <c r="BE20" s="1" t="s">
        <v>82</v>
      </c>
      <c r="BF20" s="1" t="s">
        <v>82</v>
      </c>
      <c r="BG20" s="1" t="s">
        <v>82</v>
      </c>
      <c r="BH20" s="1" t="s">
        <v>82</v>
      </c>
      <c r="BI20" s="1">
        <v>3571</v>
      </c>
      <c r="BJ20" s="1">
        <v>3573</v>
      </c>
      <c r="BK20" s="1" t="s">
        <v>82</v>
      </c>
      <c r="BL20" s="1" t="s">
        <v>487</v>
      </c>
      <c r="BM20" s="1" t="str">
        <f>HYPERLINK("http://dx.doi.org/10.1016/j.matt.2022.09.030","http://dx.doi.org/10.1016/j.matt.2022.09.030")</f>
        <v>http://dx.doi.org/10.1016/j.matt.2022.09.030</v>
      </c>
      <c r="BN20" s="1" t="s">
        <v>82</v>
      </c>
      <c r="BO20" s="1" t="s">
        <v>82</v>
      </c>
      <c r="BP20" s="1">
        <v>3</v>
      </c>
      <c r="BQ20" s="1" t="s">
        <v>488</v>
      </c>
      <c r="BR20" s="1" t="s">
        <v>104</v>
      </c>
      <c r="BS20" s="1" t="s">
        <v>489</v>
      </c>
      <c r="BT20" s="1" t="s">
        <v>490</v>
      </c>
      <c r="BU20" s="1" t="s">
        <v>82</v>
      </c>
      <c r="BV20" s="1" t="s">
        <v>82</v>
      </c>
      <c r="BW20" s="1" t="s">
        <v>82</v>
      </c>
      <c r="BX20" s="1" t="s">
        <v>82</v>
      </c>
      <c r="BY20" s="1" t="s">
        <v>108</v>
      </c>
      <c r="BZ20" s="1" t="s">
        <v>491</v>
      </c>
      <c r="CA20" s="1" t="str">
        <f>HYPERLINK("https%3A%2F%2Fwww.webofscience.com%2Fwos%2Fwoscc%2Ffull-record%2FWOS:000886088400006","View Full Record in Web of Science")</f>
        <v>View Full Record in Web of Science</v>
      </c>
    </row>
    <row r="21" s="1" customFormat="1" ht="14.4" spans="1:79">
      <c r="A21">
        <v>20</v>
      </c>
      <c r="B21" s="2" t="s">
        <v>79</v>
      </c>
      <c r="C21" s="1" t="s">
        <v>80</v>
      </c>
      <c r="D21" s="1" t="s">
        <v>492</v>
      </c>
      <c r="E21" s="1" t="s">
        <v>82</v>
      </c>
      <c r="F21" s="1" t="s">
        <v>82</v>
      </c>
      <c r="G21" s="1" t="s">
        <v>82</v>
      </c>
      <c r="H21" s="1" t="s">
        <v>493</v>
      </c>
      <c r="I21" s="1" t="s">
        <v>82</v>
      </c>
      <c r="J21" s="1" t="s">
        <v>82</v>
      </c>
      <c r="K21" s="1" t="s">
        <v>494</v>
      </c>
      <c r="L21" s="1" t="s">
        <v>495</v>
      </c>
      <c r="M21" s="1">
        <v>18.962</v>
      </c>
      <c r="N21" s="2" t="s">
        <v>86</v>
      </c>
      <c r="O21" s="1" t="s">
        <v>82</v>
      </c>
      <c r="P21" s="1" t="s">
        <v>82</v>
      </c>
      <c r="Q21" s="1" t="s">
        <v>87</v>
      </c>
      <c r="R21" s="1" t="s">
        <v>115</v>
      </c>
      <c r="S21" s="1" t="s">
        <v>82</v>
      </c>
      <c r="T21" s="1" t="s">
        <v>82</v>
      </c>
      <c r="U21" s="1" t="s">
        <v>82</v>
      </c>
      <c r="V21" s="1" t="s">
        <v>82</v>
      </c>
      <c r="W21" s="1" t="s">
        <v>82</v>
      </c>
      <c r="X21" s="1" t="s">
        <v>496</v>
      </c>
      <c r="Y21" s="1" t="s">
        <v>497</v>
      </c>
      <c r="Z21" s="1" t="s">
        <v>498</v>
      </c>
      <c r="AB21" s="1" t="s">
        <v>499</v>
      </c>
      <c r="AC21" s="1" t="s">
        <v>500</v>
      </c>
      <c r="AD21" s="1" t="s">
        <v>120</v>
      </c>
      <c r="AE21" s="1" t="s">
        <v>501</v>
      </c>
      <c r="AF21" s="1" t="s">
        <v>502</v>
      </c>
      <c r="AG21" s="1" t="s">
        <v>503</v>
      </c>
      <c r="AH21" s="1" t="s">
        <v>82</v>
      </c>
      <c r="AI21" s="1" t="s">
        <v>504</v>
      </c>
      <c r="AJ21" s="1" t="s">
        <v>505</v>
      </c>
      <c r="AK21" s="1" t="s">
        <v>506</v>
      </c>
      <c r="AL21" s="1" t="s">
        <v>507</v>
      </c>
      <c r="AM21" s="1" t="s">
        <v>82</v>
      </c>
      <c r="AN21" s="1">
        <v>46</v>
      </c>
      <c r="AO21" s="1">
        <v>0</v>
      </c>
      <c r="AP21" s="1">
        <v>0</v>
      </c>
      <c r="AQ21" s="1">
        <v>5</v>
      </c>
      <c r="AR21" s="1">
        <v>7</v>
      </c>
      <c r="AS21" s="1" t="s">
        <v>508</v>
      </c>
      <c r="AT21" s="1" t="s">
        <v>329</v>
      </c>
      <c r="AU21" s="1" t="s">
        <v>509</v>
      </c>
      <c r="AV21" s="1" t="s">
        <v>510</v>
      </c>
      <c r="AW21" s="1" t="s">
        <v>511</v>
      </c>
      <c r="AX21" s="1" t="s">
        <v>82</v>
      </c>
      <c r="AY21" s="1" t="s">
        <v>495</v>
      </c>
      <c r="AZ21" s="1" t="s">
        <v>512</v>
      </c>
      <c r="BA21" s="1" t="s">
        <v>397</v>
      </c>
      <c r="BB21" s="1">
        <v>2022</v>
      </c>
      <c r="BC21" s="1">
        <v>42</v>
      </c>
      <c r="BD21" s="1" t="s">
        <v>82</v>
      </c>
      <c r="BE21" s="1" t="s">
        <v>82</v>
      </c>
      <c r="BF21" s="1" t="s">
        <v>82</v>
      </c>
      <c r="BG21" s="1" t="s">
        <v>82</v>
      </c>
      <c r="BH21" s="1" t="s">
        <v>82</v>
      </c>
      <c r="BI21" s="1" t="s">
        <v>82</v>
      </c>
      <c r="BJ21" s="1" t="s">
        <v>82</v>
      </c>
      <c r="BK21" s="1">
        <v>101353</v>
      </c>
      <c r="BL21" s="1" t="s">
        <v>513</v>
      </c>
      <c r="BM21" s="1" t="str">
        <f>HYPERLINK("http://dx.doi.org/10.1016/j.nantod.2021.101353","http://dx.doi.org/10.1016/j.nantod.2021.101353")</f>
        <v>http://dx.doi.org/10.1016/j.nantod.2021.101353</v>
      </c>
      <c r="BN21" s="1" t="s">
        <v>82</v>
      </c>
      <c r="BO21" s="1" t="s">
        <v>82</v>
      </c>
      <c r="BP21" s="1">
        <v>12</v>
      </c>
      <c r="BQ21" s="1" t="s">
        <v>514</v>
      </c>
      <c r="BR21" s="1" t="s">
        <v>104</v>
      </c>
      <c r="BS21" s="1" t="s">
        <v>515</v>
      </c>
      <c r="BT21" s="1" t="s">
        <v>516</v>
      </c>
      <c r="BU21" s="1" t="s">
        <v>82</v>
      </c>
      <c r="BV21" s="1" t="s">
        <v>268</v>
      </c>
      <c r="BW21" s="1" t="s">
        <v>82</v>
      </c>
      <c r="BX21" s="1" t="s">
        <v>82</v>
      </c>
      <c r="BY21" s="1" t="s">
        <v>108</v>
      </c>
      <c r="BZ21" s="1" t="s">
        <v>517</v>
      </c>
      <c r="CA21" s="1" t="str">
        <f>HYPERLINK("https%3A%2F%2Fwww.webofscience.com%2Fwos%2Fwoscc%2Ffull-record%2FWOS:000777229600005","View Full Record in Web of Science")</f>
        <v>View Full Record in Web of Science</v>
      </c>
    </row>
    <row r="22" s="1" customFormat="1" ht="14.4" spans="1:79">
      <c r="A22">
        <v>21</v>
      </c>
      <c r="B22" s="2" t="s">
        <v>79</v>
      </c>
      <c r="C22" s="1" t="s">
        <v>80</v>
      </c>
      <c r="D22" s="1" t="s">
        <v>518</v>
      </c>
      <c r="E22" s="1" t="s">
        <v>82</v>
      </c>
      <c r="F22" s="1" t="s">
        <v>82</v>
      </c>
      <c r="G22" s="1" t="s">
        <v>82</v>
      </c>
      <c r="H22" s="1" t="s">
        <v>519</v>
      </c>
      <c r="I22" s="1" t="s">
        <v>82</v>
      </c>
      <c r="J22" s="1" t="s">
        <v>82</v>
      </c>
      <c r="K22" s="1" t="s">
        <v>520</v>
      </c>
      <c r="L22" s="1" t="s">
        <v>521</v>
      </c>
      <c r="M22" s="1">
        <v>17.909</v>
      </c>
      <c r="N22" s="2" t="s">
        <v>86</v>
      </c>
      <c r="O22" s="1" t="s">
        <v>82</v>
      </c>
      <c r="P22" s="1" t="s">
        <v>82</v>
      </c>
      <c r="Q22" s="1" t="s">
        <v>87</v>
      </c>
      <c r="R22" s="1" t="s">
        <v>200</v>
      </c>
      <c r="S22" s="1" t="s">
        <v>82</v>
      </c>
      <c r="T22" s="1" t="s">
        <v>82</v>
      </c>
      <c r="U22" s="1" t="s">
        <v>82</v>
      </c>
      <c r="V22" s="1" t="s">
        <v>82</v>
      </c>
      <c r="W22" s="1" t="s">
        <v>82</v>
      </c>
      <c r="X22" s="1" t="s">
        <v>522</v>
      </c>
      <c r="Y22" s="1" t="s">
        <v>523</v>
      </c>
      <c r="Z22" s="1" t="s">
        <v>524</v>
      </c>
      <c r="AB22" s="1" t="s">
        <v>525</v>
      </c>
      <c r="AC22" s="1" t="s">
        <v>526</v>
      </c>
      <c r="AD22" s="1" t="s">
        <v>120</v>
      </c>
      <c r="AE22" s="1" t="s">
        <v>527</v>
      </c>
      <c r="AF22" s="1" t="s">
        <v>528</v>
      </c>
      <c r="AG22" s="1" t="s">
        <v>529</v>
      </c>
      <c r="AH22" s="1" t="s">
        <v>530</v>
      </c>
      <c r="AI22" s="1" t="s">
        <v>531</v>
      </c>
      <c r="AJ22" s="1" t="s">
        <v>532</v>
      </c>
      <c r="AK22" s="1" t="s">
        <v>533</v>
      </c>
      <c r="AL22" s="1" t="s">
        <v>534</v>
      </c>
      <c r="AM22" s="1" t="s">
        <v>82</v>
      </c>
      <c r="AN22" s="1">
        <v>139</v>
      </c>
      <c r="AO22" s="1">
        <v>1</v>
      </c>
      <c r="AP22" s="1">
        <v>1</v>
      </c>
      <c r="AQ22" s="1">
        <v>10</v>
      </c>
      <c r="AR22" s="1">
        <v>10</v>
      </c>
      <c r="AS22" s="1" t="s">
        <v>535</v>
      </c>
      <c r="AT22" s="1" t="s">
        <v>536</v>
      </c>
      <c r="AU22" s="1" t="s">
        <v>537</v>
      </c>
      <c r="AV22" s="1" t="s">
        <v>538</v>
      </c>
      <c r="AW22" s="1" t="s">
        <v>539</v>
      </c>
      <c r="AX22" s="1" t="s">
        <v>82</v>
      </c>
      <c r="AY22" s="1" t="s">
        <v>540</v>
      </c>
      <c r="AZ22" s="1" t="s">
        <v>541</v>
      </c>
      <c r="BA22" s="1" t="s">
        <v>82</v>
      </c>
      <c r="BB22" s="1">
        <v>2022</v>
      </c>
      <c r="BC22" s="1">
        <v>47</v>
      </c>
      <c r="BD22" s="1" t="s">
        <v>82</v>
      </c>
      <c r="BE22" s="1" t="s">
        <v>82</v>
      </c>
      <c r="BF22" s="1" t="s">
        <v>82</v>
      </c>
      <c r="BG22" s="1" t="s">
        <v>82</v>
      </c>
      <c r="BH22" s="1" t="s">
        <v>82</v>
      </c>
      <c r="BI22" s="1">
        <v>511</v>
      </c>
      <c r="BJ22" s="1">
        <v>534</v>
      </c>
      <c r="BK22" s="1" t="s">
        <v>82</v>
      </c>
      <c r="BL22" s="1" t="s">
        <v>542</v>
      </c>
      <c r="BM22" s="1" t="str">
        <f>HYPERLINK("http://dx.doi.org/10.1146/annurev-environ-112320-050744","http://dx.doi.org/10.1146/annurev-environ-112320-050744")</f>
        <v>http://dx.doi.org/10.1146/annurev-environ-112320-050744</v>
      </c>
      <c r="BN22" s="1" t="s">
        <v>82</v>
      </c>
      <c r="BO22" s="1" t="s">
        <v>82</v>
      </c>
      <c r="BP22" s="1">
        <v>24</v>
      </c>
      <c r="BQ22" s="1" t="s">
        <v>543</v>
      </c>
      <c r="BR22" s="1" t="s">
        <v>544</v>
      </c>
      <c r="BS22" s="1" t="s">
        <v>545</v>
      </c>
      <c r="BT22" s="1" t="s">
        <v>546</v>
      </c>
      <c r="BU22" s="1" t="s">
        <v>82</v>
      </c>
      <c r="BV22" s="1" t="s">
        <v>174</v>
      </c>
      <c r="BW22" s="1" t="s">
        <v>82</v>
      </c>
      <c r="BX22" s="1" t="s">
        <v>82</v>
      </c>
      <c r="BY22" s="1" t="s">
        <v>108</v>
      </c>
      <c r="BZ22" s="1" t="s">
        <v>547</v>
      </c>
      <c r="CA22" s="1" t="str">
        <f>HYPERLINK("https%3A%2F%2Fwww.webofscience.com%2Fwos%2Fwoscc%2Ffull-record%2FWOS:000869731800020","View Full Record in Web of Science")</f>
        <v>View Full Record in Web of Science</v>
      </c>
    </row>
    <row r="23" s="1" customFormat="1" ht="14.4" spans="1:79">
      <c r="A23">
        <v>22</v>
      </c>
      <c r="B23" s="2" t="s">
        <v>79</v>
      </c>
      <c r="C23" s="1" t="s">
        <v>80</v>
      </c>
      <c r="D23" s="1" t="s">
        <v>548</v>
      </c>
      <c r="E23" s="1" t="s">
        <v>82</v>
      </c>
      <c r="F23" s="1" t="s">
        <v>82</v>
      </c>
      <c r="G23" s="1" t="s">
        <v>82</v>
      </c>
      <c r="H23" s="1" t="s">
        <v>549</v>
      </c>
      <c r="I23" s="1" t="s">
        <v>82</v>
      </c>
      <c r="J23" s="1" t="s">
        <v>82</v>
      </c>
      <c r="K23" s="1" t="s">
        <v>550</v>
      </c>
      <c r="L23" s="1" t="s">
        <v>551</v>
      </c>
      <c r="M23" s="1">
        <v>17.906</v>
      </c>
      <c r="N23" s="2" t="s">
        <v>86</v>
      </c>
      <c r="O23" s="1" t="s">
        <v>82</v>
      </c>
      <c r="P23" s="1" t="s">
        <v>82</v>
      </c>
      <c r="Q23" s="1" t="s">
        <v>87</v>
      </c>
      <c r="R23" s="1" t="s">
        <v>115</v>
      </c>
      <c r="S23" s="1" t="s">
        <v>82</v>
      </c>
      <c r="T23" s="1" t="s">
        <v>82</v>
      </c>
      <c r="U23" s="1" t="s">
        <v>82</v>
      </c>
      <c r="V23" s="1" t="s">
        <v>82</v>
      </c>
      <c r="W23" s="1" t="s">
        <v>82</v>
      </c>
      <c r="X23" s="1" t="s">
        <v>552</v>
      </c>
      <c r="Y23" s="1" t="s">
        <v>553</v>
      </c>
      <c r="Z23" s="1" t="s">
        <v>554</v>
      </c>
      <c r="AB23" s="1" t="s">
        <v>555</v>
      </c>
      <c r="AC23" s="1" t="s">
        <v>556</v>
      </c>
      <c r="AD23" s="1" t="s">
        <v>120</v>
      </c>
      <c r="AE23" s="1" t="s">
        <v>557</v>
      </c>
      <c r="AF23" s="1" t="s">
        <v>558</v>
      </c>
      <c r="AG23" s="1" t="s">
        <v>559</v>
      </c>
      <c r="AH23" s="1" t="s">
        <v>82</v>
      </c>
      <c r="AI23" s="1" t="s">
        <v>82</v>
      </c>
      <c r="AJ23" s="1" t="s">
        <v>560</v>
      </c>
      <c r="AK23" s="1" t="s">
        <v>561</v>
      </c>
      <c r="AL23" s="1" t="s">
        <v>562</v>
      </c>
      <c r="AM23" s="1" t="s">
        <v>82</v>
      </c>
      <c r="AN23" s="1">
        <v>96</v>
      </c>
      <c r="AO23" s="1">
        <v>0</v>
      </c>
      <c r="AP23" s="1">
        <v>0</v>
      </c>
      <c r="AQ23" s="1">
        <v>30</v>
      </c>
      <c r="AR23" s="1">
        <v>36</v>
      </c>
      <c r="AS23" s="1" t="s">
        <v>563</v>
      </c>
      <c r="AT23" s="1" t="s">
        <v>371</v>
      </c>
      <c r="AU23" s="1" t="s">
        <v>564</v>
      </c>
      <c r="AV23" s="1" t="s">
        <v>565</v>
      </c>
      <c r="AW23" s="1" t="s">
        <v>82</v>
      </c>
      <c r="AX23" s="1" t="s">
        <v>82</v>
      </c>
      <c r="AY23" s="1" t="s">
        <v>566</v>
      </c>
      <c r="AZ23" s="1" t="s">
        <v>567</v>
      </c>
      <c r="BA23" s="1" t="s">
        <v>568</v>
      </c>
      <c r="BB23" s="1">
        <v>2022</v>
      </c>
      <c r="BC23" s="1">
        <v>23</v>
      </c>
      <c r="BD23" s="1">
        <v>1</v>
      </c>
      <c r="BE23" s="1" t="s">
        <v>82</v>
      </c>
      <c r="BF23" s="1" t="s">
        <v>82</v>
      </c>
      <c r="BG23" s="1" t="s">
        <v>82</v>
      </c>
      <c r="BH23" s="1" t="s">
        <v>82</v>
      </c>
      <c r="BI23" s="1" t="s">
        <v>82</v>
      </c>
      <c r="BJ23" s="1" t="s">
        <v>82</v>
      </c>
      <c r="BK23" s="1">
        <v>145</v>
      </c>
      <c r="BL23" s="1" t="s">
        <v>569</v>
      </c>
      <c r="BM23" s="1" t="str">
        <f>HYPERLINK("http://dx.doi.org/10.1186/s13059-022-02720-z","http://dx.doi.org/10.1186/s13059-022-02720-z")</f>
        <v>http://dx.doi.org/10.1186/s13059-022-02720-z</v>
      </c>
      <c r="BN23" s="1" t="s">
        <v>82</v>
      </c>
      <c r="BO23" s="1" t="s">
        <v>82</v>
      </c>
      <c r="BP23" s="1">
        <v>18</v>
      </c>
      <c r="BQ23" s="1" t="s">
        <v>570</v>
      </c>
      <c r="BR23" s="1" t="s">
        <v>104</v>
      </c>
      <c r="BS23" s="1" t="s">
        <v>570</v>
      </c>
      <c r="BT23" s="1" t="s">
        <v>571</v>
      </c>
      <c r="BU23" s="1">
        <v>35787713</v>
      </c>
      <c r="BV23" s="1" t="s">
        <v>316</v>
      </c>
      <c r="BW23" s="1" t="s">
        <v>82</v>
      </c>
      <c r="BX23" s="1" t="s">
        <v>82</v>
      </c>
      <c r="BY23" s="1" t="s">
        <v>108</v>
      </c>
      <c r="BZ23" s="1" t="s">
        <v>572</v>
      </c>
      <c r="CA23" s="1" t="str">
        <f>HYPERLINK("https%3A%2F%2Fwww.webofscience.com%2Fwos%2Fwoscc%2Ffull-record%2FWOS:000820649400003","View Full Record in Web of Science")</f>
        <v>View Full Record in Web of Science</v>
      </c>
    </row>
    <row r="24" s="1" customFormat="1" ht="14.4" spans="1:79">
      <c r="A24">
        <v>23</v>
      </c>
      <c r="B24" s="2" t="s">
        <v>79</v>
      </c>
      <c r="C24" s="1" t="s">
        <v>80</v>
      </c>
      <c r="D24" s="1" t="s">
        <v>573</v>
      </c>
      <c r="E24" s="1" t="s">
        <v>82</v>
      </c>
      <c r="F24" s="1" t="s">
        <v>82</v>
      </c>
      <c r="G24" s="1" t="s">
        <v>82</v>
      </c>
      <c r="H24" s="1" t="s">
        <v>574</v>
      </c>
      <c r="I24" s="1" t="s">
        <v>82</v>
      </c>
      <c r="J24" s="1" t="s">
        <v>82</v>
      </c>
      <c r="K24" s="1" t="s">
        <v>575</v>
      </c>
      <c r="L24" s="1" t="s">
        <v>551</v>
      </c>
      <c r="M24" s="1">
        <v>17.906</v>
      </c>
      <c r="N24" s="2" t="s">
        <v>86</v>
      </c>
      <c r="O24" s="1" t="s">
        <v>82</v>
      </c>
      <c r="P24" s="1" t="s">
        <v>82</v>
      </c>
      <c r="Q24" s="1" t="s">
        <v>87</v>
      </c>
      <c r="R24" s="1" t="s">
        <v>115</v>
      </c>
      <c r="S24" s="1" t="s">
        <v>82</v>
      </c>
      <c r="T24" s="1" t="s">
        <v>82</v>
      </c>
      <c r="U24" s="1" t="s">
        <v>82</v>
      </c>
      <c r="V24" s="1" t="s">
        <v>82</v>
      </c>
      <c r="W24" s="1" t="s">
        <v>82</v>
      </c>
      <c r="X24" s="1" t="s">
        <v>576</v>
      </c>
      <c r="Y24" s="1" t="s">
        <v>577</v>
      </c>
      <c r="Z24" s="1" t="s">
        <v>578</v>
      </c>
      <c r="AA24" s="1">
        <v>1</v>
      </c>
      <c r="AB24" s="1" t="s">
        <v>579</v>
      </c>
      <c r="AC24" s="1" t="s">
        <v>580</v>
      </c>
      <c r="AD24" s="1" t="s">
        <v>93</v>
      </c>
      <c r="AE24" s="1" t="s">
        <v>581</v>
      </c>
      <c r="AF24" s="1" t="s">
        <v>582</v>
      </c>
      <c r="AG24" s="1" t="s">
        <v>583</v>
      </c>
      <c r="AH24" s="1" t="s">
        <v>584</v>
      </c>
      <c r="AI24" s="1" t="s">
        <v>585</v>
      </c>
      <c r="AJ24" s="1" t="s">
        <v>586</v>
      </c>
      <c r="AK24" s="1" t="s">
        <v>587</v>
      </c>
      <c r="AL24" s="1" t="s">
        <v>588</v>
      </c>
      <c r="AM24" s="1" t="s">
        <v>82</v>
      </c>
      <c r="AN24" s="1">
        <v>74</v>
      </c>
      <c r="AO24" s="1">
        <v>1</v>
      </c>
      <c r="AP24" s="1">
        <v>1</v>
      </c>
      <c r="AQ24" s="1">
        <v>10</v>
      </c>
      <c r="AR24" s="1">
        <v>14</v>
      </c>
      <c r="AS24" s="1" t="s">
        <v>563</v>
      </c>
      <c r="AT24" s="1" t="s">
        <v>371</v>
      </c>
      <c r="AU24" s="1" t="s">
        <v>564</v>
      </c>
      <c r="AV24" s="1" t="s">
        <v>565</v>
      </c>
      <c r="AW24" s="1" t="s">
        <v>82</v>
      </c>
      <c r="AX24" s="1" t="s">
        <v>82</v>
      </c>
      <c r="AY24" s="1" t="s">
        <v>566</v>
      </c>
      <c r="AZ24" s="1" t="s">
        <v>567</v>
      </c>
      <c r="BA24" s="1" t="s">
        <v>589</v>
      </c>
      <c r="BB24" s="1">
        <v>2022</v>
      </c>
      <c r="BC24" s="1">
        <v>23</v>
      </c>
      <c r="BD24" s="1">
        <v>1</v>
      </c>
      <c r="BE24" s="1" t="s">
        <v>82</v>
      </c>
      <c r="BF24" s="1" t="s">
        <v>82</v>
      </c>
      <c r="BG24" s="1" t="s">
        <v>82</v>
      </c>
      <c r="BH24" s="1" t="s">
        <v>82</v>
      </c>
      <c r="BI24" s="1" t="s">
        <v>82</v>
      </c>
      <c r="BJ24" s="1" t="s">
        <v>82</v>
      </c>
      <c r="BK24" s="1">
        <v>130</v>
      </c>
      <c r="BL24" s="1" t="s">
        <v>590</v>
      </c>
      <c r="BM24" s="1" t="str">
        <f>HYPERLINK("http://dx.doi.org/10.1186/s13059-022-02696-w","http://dx.doi.org/10.1186/s13059-022-02696-w")</f>
        <v>http://dx.doi.org/10.1186/s13059-022-02696-w</v>
      </c>
      <c r="BN24" s="1" t="s">
        <v>82</v>
      </c>
      <c r="BO24" s="1" t="s">
        <v>82</v>
      </c>
      <c r="BP24" s="1">
        <v>23</v>
      </c>
      <c r="BQ24" s="1" t="s">
        <v>570</v>
      </c>
      <c r="BR24" s="1" t="s">
        <v>104</v>
      </c>
      <c r="BS24" s="1" t="s">
        <v>570</v>
      </c>
      <c r="BT24" s="1" t="s">
        <v>591</v>
      </c>
      <c r="BU24" s="1">
        <v>35706016</v>
      </c>
      <c r="BV24" s="1" t="s">
        <v>592</v>
      </c>
      <c r="BW24" s="1" t="s">
        <v>82</v>
      </c>
      <c r="BX24" s="1" t="s">
        <v>82</v>
      </c>
      <c r="BY24" s="1" t="s">
        <v>108</v>
      </c>
      <c r="BZ24" s="1" t="s">
        <v>593</v>
      </c>
      <c r="CA24" s="1" t="str">
        <f>HYPERLINK("https%3A%2F%2Fwww.webofscience.com%2Fwos%2Fwoscc%2Ffull-record%2FWOS:000811758800002","View Full Record in Web of Science")</f>
        <v>View Full Record in Web of Science</v>
      </c>
    </row>
    <row r="25" s="1" customFormat="1" ht="14.4" spans="1:79">
      <c r="A25">
        <v>24</v>
      </c>
      <c r="B25" s="2" t="s">
        <v>110</v>
      </c>
      <c r="C25" s="1" t="s">
        <v>80</v>
      </c>
      <c r="D25" s="1" t="s">
        <v>594</v>
      </c>
      <c r="E25" s="1" t="s">
        <v>82</v>
      </c>
      <c r="F25" s="1" t="s">
        <v>82</v>
      </c>
      <c r="G25" s="1" t="s">
        <v>82</v>
      </c>
      <c r="H25" s="1" t="s">
        <v>595</v>
      </c>
      <c r="I25" s="1" t="s">
        <v>82</v>
      </c>
      <c r="J25" s="1" t="s">
        <v>82</v>
      </c>
      <c r="K25" s="1" t="s">
        <v>596</v>
      </c>
      <c r="L25" s="1" t="s">
        <v>597</v>
      </c>
      <c r="M25" s="1">
        <v>17.694</v>
      </c>
      <c r="N25" s="2" t="s">
        <v>86</v>
      </c>
      <c r="O25" s="1" t="s">
        <v>82</v>
      </c>
      <c r="P25" s="1" t="s">
        <v>82</v>
      </c>
      <c r="Q25" s="1" t="s">
        <v>87</v>
      </c>
      <c r="R25" s="1" t="s">
        <v>115</v>
      </c>
      <c r="S25" s="1" t="s">
        <v>82</v>
      </c>
      <c r="T25" s="1" t="s">
        <v>82</v>
      </c>
      <c r="U25" s="1" t="s">
        <v>82</v>
      </c>
      <c r="V25" s="1" t="s">
        <v>82</v>
      </c>
      <c r="W25" s="1" t="s">
        <v>82</v>
      </c>
      <c r="X25" s="1" t="s">
        <v>82</v>
      </c>
      <c r="Y25" s="1" t="s">
        <v>598</v>
      </c>
      <c r="Z25" s="1" t="s">
        <v>599</v>
      </c>
      <c r="AA25" s="1">
        <v>1</v>
      </c>
      <c r="AB25" s="1" t="s">
        <v>600</v>
      </c>
      <c r="AC25" s="1" t="s">
        <v>601</v>
      </c>
      <c r="AD25" s="1" t="s">
        <v>93</v>
      </c>
      <c r="AE25" s="1" t="s">
        <v>602</v>
      </c>
      <c r="AF25" s="1" t="s">
        <v>603</v>
      </c>
      <c r="AG25" s="1" t="s">
        <v>604</v>
      </c>
      <c r="AH25" s="1" t="s">
        <v>605</v>
      </c>
      <c r="AI25" s="1" t="s">
        <v>606</v>
      </c>
      <c r="AJ25" s="1" t="s">
        <v>607</v>
      </c>
      <c r="AK25" s="1" t="s">
        <v>608</v>
      </c>
      <c r="AL25" s="1" t="s">
        <v>609</v>
      </c>
      <c r="AM25" s="1" t="s">
        <v>82</v>
      </c>
      <c r="AN25" s="1">
        <v>39</v>
      </c>
      <c r="AO25" s="1">
        <v>1</v>
      </c>
      <c r="AP25" s="1">
        <v>1</v>
      </c>
      <c r="AQ25" s="1">
        <v>31</v>
      </c>
      <c r="AR25" s="1">
        <v>31</v>
      </c>
      <c r="AS25" s="1" t="s">
        <v>95</v>
      </c>
      <c r="AT25" s="1" t="s">
        <v>96</v>
      </c>
      <c r="AU25" s="1" t="s">
        <v>97</v>
      </c>
      <c r="AV25" s="1" t="s">
        <v>82</v>
      </c>
      <c r="AW25" s="1" t="s">
        <v>610</v>
      </c>
      <c r="AX25" s="1" t="s">
        <v>82</v>
      </c>
      <c r="AY25" s="1" t="s">
        <v>611</v>
      </c>
      <c r="AZ25" s="1" t="s">
        <v>612</v>
      </c>
      <c r="BA25" s="1" t="s">
        <v>613</v>
      </c>
      <c r="BB25" s="1">
        <v>2022</v>
      </c>
      <c r="BC25" s="1">
        <v>13</v>
      </c>
      <c r="BD25" s="1">
        <v>1</v>
      </c>
      <c r="BE25" s="1" t="s">
        <v>82</v>
      </c>
      <c r="BF25" s="1" t="s">
        <v>82</v>
      </c>
      <c r="BG25" s="1" t="s">
        <v>82</v>
      </c>
      <c r="BH25" s="1" t="s">
        <v>82</v>
      </c>
      <c r="BI25" s="1" t="s">
        <v>82</v>
      </c>
      <c r="BJ25" s="1" t="s">
        <v>82</v>
      </c>
      <c r="BK25" s="1">
        <v>4994</v>
      </c>
      <c r="BL25" s="1" t="s">
        <v>614</v>
      </c>
      <c r="BM25" s="1" t="str">
        <f>HYPERLINK("http://dx.doi.org/10.1038/s41467-022-32776-1","http://dx.doi.org/10.1038/s41467-022-32776-1")</f>
        <v>http://dx.doi.org/10.1038/s41467-022-32776-1</v>
      </c>
      <c r="BN25" s="1" t="s">
        <v>82</v>
      </c>
      <c r="BO25" s="1" t="s">
        <v>82</v>
      </c>
      <c r="BP25" s="1">
        <v>8</v>
      </c>
      <c r="BQ25" s="1" t="s">
        <v>103</v>
      </c>
      <c r="BR25" s="1" t="s">
        <v>104</v>
      </c>
      <c r="BS25" s="1" t="s">
        <v>105</v>
      </c>
      <c r="BT25" s="1" t="s">
        <v>615</v>
      </c>
      <c r="BU25" s="1">
        <v>36008484</v>
      </c>
      <c r="BV25" s="1" t="s">
        <v>592</v>
      </c>
      <c r="BW25" s="1" t="s">
        <v>82</v>
      </c>
      <c r="BX25" s="1" t="s">
        <v>82</v>
      </c>
      <c r="BY25" s="1" t="s">
        <v>108</v>
      </c>
      <c r="BZ25" s="1" t="s">
        <v>616</v>
      </c>
      <c r="CA25" s="1" t="str">
        <f>HYPERLINK("https%3A%2F%2Fwww.webofscience.com%2Fwos%2Fwoscc%2Ffull-record%2FWOS:000845603400016","View Full Record in Web of Science")</f>
        <v>View Full Record in Web of Science</v>
      </c>
    </row>
    <row r="26" s="1" customFormat="1" ht="14.4" spans="1:79">
      <c r="A26">
        <v>25</v>
      </c>
      <c r="B26" s="2" t="s">
        <v>79</v>
      </c>
      <c r="C26" s="1" t="s">
        <v>80</v>
      </c>
      <c r="D26" s="1" t="s">
        <v>617</v>
      </c>
      <c r="E26" s="1" t="s">
        <v>82</v>
      </c>
      <c r="F26" s="1" t="s">
        <v>82</v>
      </c>
      <c r="G26" s="1" t="s">
        <v>82</v>
      </c>
      <c r="H26" s="1" t="s">
        <v>618</v>
      </c>
      <c r="I26" s="1" t="s">
        <v>82</v>
      </c>
      <c r="J26" s="1" t="s">
        <v>82</v>
      </c>
      <c r="K26" s="1" t="s">
        <v>619</v>
      </c>
      <c r="L26" s="1" t="s">
        <v>597</v>
      </c>
      <c r="M26" s="1">
        <v>17.694</v>
      </c>
      <c r="N26" s="2" t="s">
        <v>86</v>
      </c>
      <c r="O26" s="1" t="s">
        <v>82</v>
      </c>
      <c r="P26" s="1" t="s">
        <v>82</v>
      </c>
      <c r="Q26" s="1" t="s">
        <v>87</v>
      </c>
      <c r="R26" s="1" t="s">
        <v>115</v>
      </c>
      <c r="S26" s="1" t="s">
        <v>82</v>
      </c>
      <c r="T26" s="1" t="s">
        <v>82</v>
      </c>
      <c r="U26" s="1" t="s">
        <v>82</v>
      </c>
      <c r="V26" s="1" t="s">
        <v>82</v>
      </c>
      <c r="W26" s="1" t="s">
        <v>82</v>
      </c>
      <c r="X26" s="1" t="s">
        <v>82</v>
      </c>
      <c r="Y26" s="1" t="s">
        <v>620</v>
      </c>
      <c r="Z26" s="1" t="s">
        <v>621</v>
      </c>
      <c r="AB26" s="1" t="s">
        <v>622</v>
      </c>
      <c r="AC26" s="1" t="s">
        <v>623</v>
      </c>
      <c r="AD26" s="1" t="s">
        <v>120</v>
      </c>
      <c r="AE26" s="1" t="s">
        <v>624</v>
      </c>
      <c r="AF26" s="1" t="s">
        <v>625</v>
      </c>
      <c r="AG26" s="1" t="s">
        <v>626</v>
      </c>
      <c r="AH26" s="1" t="s">
        <v>627</v>
      </c>
      <c r="AI26" s="1" t="s">
        <v>628</v>
      </c>
      <c r="AJ26" s="1" t="s">
        <v>629</v>
      </c>
      <c r="AK26" s="1" t="s">
        <v>630</v>
      </c>
      <c r="AL26" s="1" t="s">
        <v>631</v>
      </c>
      <c r="AM26" s="1" t="s">
        <v>82</v>
      </c>
      <c r="AN26" s="1">
        <v>52</v>
      </c>
      <c r="AO26" s="1">
        <v>6</v>
      </c>
      <c r="AP26" s="1">
        <v>6</v>
      </c>
      <c r="AQ26" s="1">
        <v>94</v>
      </c>
      <c r="AR26" s="1">
        <v>169</v>
      </c>
      <c r="AS26" s="1" t="s">
        <v>95</v>
      </c>
      <c r="AT26" s="1" t="s">
        <v>96</v>
      </c>
      <c r="AU26" s="1" t="s">
        <v>97</v>
      </c>
      <c r="AV26" s="1" t="s">
        <v>82</v>
      </c>
      <c r="AW26" s="1" t="s">
        <v>610</v>
      </c>
      <c r="AX26" s="1" t="s">
        <v>82</v>
      </c>
      <c r="AY26" s="1" t="s">
        <v>611</v>
      </c>
      <c r="AZ26" s="1" t="s">
        <v>612</v>
      </c>
      <c r="BA26" s="1" t="s">
        <v>632</v>
      </c>
      <c r="BB26" s="1">
        <v>2022</v>
      </c>
      <c r="BC26" s="1">
        <v>13</v>
      </c>
      <c r="BD26" s="1">
        <v>1</v>
      </c>
      <c r="BE26" s="1" t="s">
        <v>82</v>
      </c>
      <c r="BF26" s="1" t="s">
        <v>82</v>
      </c>
      <c r="BG26" s="1" t="s">
        <v>82</v>
      </c>
      <c r="BH26" s="1" t="s">
        <v>82</v>
      </c>
      <c r="BI26" s="1" t="s">
        <v>82</v>
      </c>
      <c r="BJ26" s="1" t="s">
        <v>82</v>
      </c>
      <c r="BK26" s="1">
        <v>2681</v>
      </c>
      <c r="BL26" s="1" t="s">
        <v>633</v>
      </c>
      <c r="BM26" s="1" t="str">
        <f>HYPERLINK("http://dx.doi.org/10.1038/s41467-022-30047-7","http://dx.doi.org/10.1038/s41467-022-30047-7")</f>
        <v>http://dx.doi.org/10.1038/s41467-022-30047-7</v>
      </c>
      <c r="BN26" s="1" t="s">
        <v>82</v>
      </c>
      <c r="BO26" s="1" t="s">
        <v>82</v>
      </c>
      <c r="BP26" s="1">
        <v>10</v>
      </c>
      <c r="BQ26" s="1" t="s">
        <v>103</v>
      </c>
      <c r="BR26" s="1" t="s">
        <v>104</v>
      </c>
      <c r="BS26" s="1" t="s">
        <v>105</v>
      </c>
      <c r="BT26" s="1" t="s">
        <v>634</v>
      </c>
      <c r="BU26" s="1">
        <v>35562338</v>
      </c>
      <c r="BV26" s="1" t="s">
        <v>635</v>
      </c>
      <c r="BW26" s="1" t="s">
        <v>82</v>
      </c>
      <c r="BX26" s="1" t="s">
        <v>82</v>
      </c>
      <c r="BY26" s="1" t="s">
        <v>108</v>
      </c>
      <c r="BZ26" s="1" t="s">
        <v>636</v>
      </c>
      <c r="CA26" s="1" t="str">
        <f>HYPERLINK("https%3A%2F%2Fwww.webofscience.com%2Fwos%2Fwoscc%2Ffull-record%2FWOS:000795204200008","View Full Record in Web of Science")</f>
        <v>View Full Record in Web of Science</v>
      </c>
    </row>
    <row r="27" s="1" customFormat="1" ht="14.4" spans="1:79">
      <c r="A27">
        <v>26</v>
      </c>
      <c r="B27" s="2" t="s">
        <v>79</v>
      </c>
      <c r="C27" s="1" t="s">
        <v>80</v>
      </c>
      <c r="D27" s="1" t="s">
        <v>637</v>
      </c>
      <c r="E27" s="1" t="s">
        <v>82</v>
      </c>
      <c r="F27" s="1" t="s">
        <v>82</v>
      </c>
      <c r="G27" s="1" t="s">
        <v>82</v>
      </c>
      <c r="H27" s="1" t="s">
        <v>638</v>
      </c>
      <c r="I27" s="1" t="s">
        <v>82</v>
      </c>
      <c r="J27" s="1" t="s">
        <v>82</v>
      </c>
      <c r="K27" s="1" t="s">
        <v>639</v>
      </c>
      <c r="L27" s="1" t="s">
        <v>640</v>
      </c>
      <c r="M27" s="1">
        <v>17.352</v>
      </c>
      <c r="N27" s="2" t="s">
        <v>86</v>
      </c>
      <c r="O27" s="1" t="s">
        <v>82</v>
      </c>
      <c r="P27" s="1" t="s">
        <v>82</v>
      </c>
      <c r="Q27" s="1" t="s">
        <v>87</v>
      </c>
      <c r="R27" s="1" t="s">
        <v>115</v>
      </c>
      <c r="S27" s="1" t="s">
        <v>82</v>
      </c>
      <c r="T27" s="1" t="s">
        <v>82</v>
      </c>
      <c r="U27" s="1" t="s">
        <v>82</v>
      </c>
      <c r="V27" s="1" t="s">
        <v>82</v>
      </c>
      <c r="W27" s="1" t="s">
        <v>82</v>
      </c>
      <c r="X27" s="1" t="s">
        <v>82</v>
      </c>
      <c r="Y27" s="1" t="s">
        <v>641</v>
      </c>
      <c r="Z27" s="1" t="s">
        <v>642</v>
      </c>
      <c r="AB27" s="1" t="s">
        <v>643</v>
      </c>
      <c r="AC27" s="1" t="s">
        <v>644</v>
      </c>
      <c r="AD27" s="1" t="s">
        <v>206</v>
      </c>
      <c r="AE27" s="1" t="s">
        <v>645</v>
      </c>
      <c r="AF27" s="1" t="s">
        <v>646</v>
      </c>
      <c r="AG27" s="1" t="s">
        <v>647</v>
      </c>
      <c r="AH27" s="1" t="s">
        <v>648</v>
      </c>
      <c r="AI27" s="1" t="s">
        <v>649</v>
      </c>
      <c r="AJ27" s="1" t="s">
        <v>650</v>
      </c>
      <c r="AK27" s="1" t="s">
        <v>651</v>
      </c>
      <c r="AL27" s="1" t="s">
        <v>652</v>
      </c>
      <c r="AM27" s="1" t="s">
        <v>82</v>
      </c>
      <c r="AN27" s="1">
        <v>108</v>
      </c>
      <c r="AO27" s="1">
        <v>24</v>
      </c>
      <c r="AP27" s="1">
        <v>26</v>
      </c>
      <c r="AQ27" s="1">
        <v>64</v>
      </c>
      <c r="AR27" s="1">
        <v>126</v>
      </c>
      <c r="AS27" s="1" t="s">
        <v>95</v>
      </c>
      <c r="AT27" s="1" t="s">
        <v>96</v>
      </c>
      <c r="AU27" s="1" t="s">
        <v>97</v>
      </c>
      <c r="AV27" s="1" t="s">
        <v>653</v>
      </c>
      <c r="AW27" s="1" t="s">
        <v>654</v>
      </c>
      <c r="AX27" s="1" t="s">
        <v>82</v>
      </c>
      <c r="AY27" s="1" t="s">
        <v>655</v>
      </c>
      <c r="AZ27" s="1" t="s">
        <v>656</v>
      </c>
      <c r="BA27" s="1" t="s">
        <v>657</v>
      </c>
      <c r="BB27" s="1">
        <v>2022</v>
      </c>
      <c r="BC27" s="1">
        <v>8</v>
      </c>
      <c r="BD27" s="1">
        <v>4</v>
      </c>
      <c r="BE27" s="1" t="s">
        <v>82</v>
      </c>
      <c r="BF27" s="1" t="s">
        <v>82</v>
      </c>
      <c r="BG27" s="1" t="s">
        <v>82</v>
      </c>
      <c r="BH27" s="1" t="s">
        <v>82</v>
      </c>
      <c r="BI27" s="1">
        <v>389</v>
      </c>
      <c r="BJ27" s="1" t="s">
        <v>171</v>
      </c>
      <c r="BK27" s="1" t="s">
        <v>82</v>
      </c>
      <c r="BL27" s="1" t="s">
        <v>658</v>
      </c>
      <c r="BM27" s="1" t="str">
        <f>HYPERLINK("http://dx.doi.org/10.1038/s41477-022-01129-7","http://dx.doi.org/10.1038/s41477-022-01129-7")</f>
        <v>http://dx.doi.org/10.1038/s41477-022-01129-7</v>
      </c>
      <c r="BN27" s="1" t="s">
        <v>82</v>
      </c>
      <c r="BO27" s="1" t="s">
        <v>267</v>
      </c>
      <c r="BP27" s="1">
        <v>25</v>
      </c>
      <c r="BQ27" s="1" t="s">
        <v>378</v>
      </c>
      <c r="BR27" s="1" t="s">
        <v>104</v>
      </c>
      <c r="BS27" s="1" t="s">
        <v>378</v>
      </c>
      <c r="BT27" s="1" t="s">
        <v>659</v>
      </c>
      <c r="BU27" s="1">
        <v>35437001</v>
      </c>
      <c r="BV27" s="1" t="s">
        <v>227</v>
      </c>
      <c r="BW27" s="1" t="s">
        <v>82</v>
      </c>
      <c r="BX27" s="1" t="s">
        <v>82</v>
      </c>
      <c r="BY27" s="1" t="s">
        <v>108</v>
      </c>
      <c r="BZ27" s="1" t="s">
        <v>660</v>
      </c>
      <c r="CA27" s="1" t="str">
        <f>HYPERLINK("https%3A%2F%2Fwww.webofscience.com%2Fwos%2Fwoscc%2Ffull-record%2FWOS:000784028800003","View Full Record in Web of Science")</f>
        <v>View Full Record in Web of Science</v>
      </c>
    </row>
    <row r="28" s="1" customFormat="1" ht="14.4" spans="1:79">
      <c r="A28">
        <v>27</v>
      </c>
      <c r="B28" s="2" t="s">
        <v>79</v>
      </c>
      <c r="C28" s="1" t="s">
        <v>80</v>
      </c>
      <c r="D28" s="1" t="s">
        <v>661</v>
      </c>
      <c r="E28" s="1" t="s">
        <v>82</v>
      </c>
      <c r="F28" s="1" t="s">
        <v>82</v>
      </c>
      <c r="G28" s="1" t="s">
        <v>82</v>
      </c>
      <c r="H28" s="1" t="s">
        <v>662</v>
      </c>
      <c r="I28" s="1" t="s">
        <v>82</v>
      </c>
      <c r="J28" s="1" t="s">
        <v>82</v>
      </c>
      <c r="K28" s="1" t="s">
        <v>663</v>
      </c>
      <c r="L28" s="1" t="s">
        <v>640</v>
      </c>
      <c r="M28" s="1">
        <v>17.352</v>
      </c>
      <c r="N28" s="2" t="s">
        <v>86</v>
      </c>
      <c r="O28" s="1" t="s">
        <v>82</v>
      </c>
      <c r="P28" s="1" t="s">
        <v>82</v>
      </c>
      <c r="Q28" s="1" t="s">
        <v>87</v>
      </c>
      <c r="R28" s="1" t="s">
        <v>115</v>
      </c>
      <c r="S28" s="1" t="s">
        <v>82</v>
      </c>
      <c r="T28" s="1" t="s">
        <v>82</v>
      </c>
      <c r="U28" s="1" t="s">
        <v>82</v>
      </c>
      <c r="V28" s="1" t="s">
        <v>82</v>
      </c>
      <c r="W28" s="1" t="s">
        <v>82</v>
      </c>
      <c r="X28" s="1" t="s">
        <v>82</v>
      </c>
      <c r="Y28" s="1" t="s">
        <v>664</v>
      </c>
      <c r="Z28" s="1" t="s">
        <v>665</v>
      </c>
      <c r="AB28" s="1" t="s">
        <v>666</v>
      </c>
      <c r="AC28" s="1" t="s">
        <v>667</v>
      </c>
      <c r="AD28" s="1" t="s">
        <v>120</v>
      </c>
      <c r="AE28" s="1" t="s">
        <v>668</v>
      </c>
      <c r="AF28" s="1" t="s">
        <v>669</v>
      </c>
      <c r="AG28" s="1" t="s">
        <v>670</v>
      </c>
      <c r="AH28" s="1" t="s">
        <v>671</v>
      </c>
      <c r="AI28" s="1" t="s">
        <v>672</v>
      </c>
      <c r="AJ28" s="1" t="s">
        <v>673</v>
      </c>
      <c r="AK28" s="1" t="s">
        <v>674</v>
      </c>
      <c r="AL28" s="1" t="s">
        <v>675</v>
      </c>
      <c r="AM28" s="1" t="s">
        <v>82</v>
      </c>
      <c r="AN28" s="1">
        <v>113</v>
      </c>
      <c r="AO28" s="1">
        <v>11</v>
      </c>
      <c r="AP28" s="1">
        <v>13</v>
      </c>
      <c r="AQ28" s="1">
        <v>11</v>
      </c>
      <c r="AR28" s="1">
        <v>38</v>
      </c>
      <c r="AS28" s="1" t="s">
        <v>95</v>
      </c>
      <c r="AT28" s="1" t="s">
        <v>96</v>
      </c>
      <c r="AU28" s="1" t="s">
        <v>97</v>
      </c>
      <c r="AV28" s="1" t="s">
        <v>653</v>
      </c>
      <c r="AW28" s="1" t="s">
        <v>654</v>
      </c>
      <c r="AX28" s="1" t="s">
        <v>82</v>
      </c>
      <c r="AY28" s="1" t="s">
        <v>655</v>
      </c>
      <c r="AZ28" s="1" t="s">
        <v>656</v>
      </c>
      <c r="BA28" s="1" t="s">
        <v>397</v>
      </c>
      <c r="BB28" s="1">
        <v>2022</v>
      </c>
      <c r="BC28" s="1">
        <v>8</v>
      </c>
      <c r="BD28" s="1">
        <v>2</v>
      </c>
      <c r="BE28" s="1" t="s">
        <v>82</v>
      </c>
      <c r="BF28" s="1" t="s">
        <v>82</v>
      </c>
      <c r="BG28" s="1" t="s">
        <v>82</v>
      </c>
      <c r="BH28" s="1" t="s">
        <v>82</v>
      </c>
      <c r="BI28" s="1">
        <v>125</v>
      </c>
      <c r="BJ28" s="1">
        <v>135</v>
      </c>
      <c r="BK28" s="1" t="s">
        <v>82</v>
      </c>
      <c r="BL28" s="1" t="s">
        <v>676</v>
      </c>
      <c r="BM28" s="1" t="str">
        <f>HYPERLINK("http://dx.doi.org/10.1038/s41477-021-01091-w","http://dx.doi.org/10.1038/s41477-021-01091-w")</f>
        <v>http://dx.doi.org/10.1038/s41477-021-01091-w</v>
      </c>
      <c r="BN28" s="1" t="s">
        <v>82</v>
      </c>
      <c r="BO28" s="1" t="s">
        <v>315</v>
      </c>
      <c r="BP28" s="1">
        <v>11</v>
      </c>
      <c r="BQ28" s="1" t="s">
        <v>378</v>
      </c>
      <c r="BR28" s="1" t="s">
        <v>104</v>
      </c>
      <c r="BS28" s="1" t="s">
        <v>378</v>
      </c>
      <c r="BT28" s="1" t="s">
        <v>677</v>
      </c>
      <c r="BU28" s="1">
        <v>35102275</v>
      </c>
      <c r="BV28" s="1" t="s">
        <v>427</v>
      </c>
      <c r="BW28" s="1" t="s">
        <v>82</v>
      </c>
      <c r="BX28" s="1" t="s">
        <v>82</v>
      </c>
      <c r="BY28" s="1" t="s">
        <v>108</v>
      </c>
      <c r="BZ28" s="1" t="s">
        <v>678</v>
      </c>
      <c r="CA28" s="1" t="str">
        <f>HYPERLINK("https%3A%2F%2Fwww.webofscience.com%2Fwos%2Fwoscc%2Ffull-record%2FWOS:000750285700001","View Full Record in Web of Science")</f>
        <v>View Full Record in Web of Science</v>
      </c>
    </row>
    <row r="29" s="1" customFormat="1" ht="14.4" spans="1:79">
      <c r="A29">
        <v>28</v>
      </c>
      <c r="B29" s="2" t="s">
        <v>110</v>
      </c>
      <c r="C29" s="1" t="s">
        <v>80</v>
      </c>
      <c r="D29" s="1" t="s">
        <v>679</v>
      </c>
      <c r="E29" s="1" t="s">
        <v>82</v>
      </c>
      <c r="F29" s="1" t="s">
        <v>82</v>
      </c>
      <c r="G29" s="1" t="s">
        <v>82</v>
      </c>
      <c r="H29" s="1" t="s">
        <v>680</v>
      </c>
      <c r="I29" s="1" t="s">
        <v>82</v>
      </c>
      <c r="J29" s="1" t="s">
        <v>82</v>
      </c>
      <c r="K29" s="1" t="s">
        <v>681</v>
      </c>
      <c r="L29" s="1" t="s">
        <v>682</v>
      </c>
      <c r="M29" s="1">
        <v>16.823</v>
      </c>
      <c r="N29" s="2" t="s">
        <v>86</v>
      </c>
      <c r="O29" s="1" t="s">
        <v>82</v>
      </c>
      <c r="P29" s="1" t="s">
        <v>82</v>
      </c>
      <c r="Q29" s="1" t="s">
        <v>87</v>
      </c>
      <c r="R29" s="1" t="s">
        <v>115</v>
      </c>
      <c r="S29" s="1" t="s">
        <v>82</v>
      </c>
      <c r="T29" s="1" t="s">
        <v>82</v>
      </c>
      <c r="U29" s="1" t="s">
        <v>82</v>
      </c>
      <c r="V29" s="1" t="s">
        <v>82</v>
      </c>
      <c r="W29" s="1" t="s">
        <v>82</v>
      </c>
      <c r="X29" s="1" t="s">
        <v>683</v>
      </c>
      <c r="Y29" s="1" t="s">
        <v>684</v>
      </c>
      <c r="Z29" s="1" t="s">
        <v>685</v>
      </c>
      <c r="AB29" s="1" t="s">
        <v>686</v>
      </c>
      <c r="AC29" s="1" t="s">
        <v>687</v>
      </c>
      <c r="AD29" s="1" t="s">
        <v>120</v>
      </c>
      <c r="AE29" s="1" t="s">
        <v>688</v>
      </c>
      <c r="AF29" s="1" t="s">
        <v>689</v>
      </c>
      <c r="AG29" s="1" t="s">
        <v>690</v>
      </c>
      <c r="AH29" s="1" t="s">
        <v>82</v>
      </c>
      <c r="AI29" s="1" t="s">
        <v>691</v>
      </c>
      <c r="AJ29" s="1" t="s">
        <v>692</v>
      </c>
      <c r="AK29" s="1" t="s">
        <v>693</v>
      </c>
      <c r="AL29" s="1" t="s">
        <v>694</v>
      </c>
      <c r="AM29" s="1" t="s">
        <v>82</v>
      </c>
      <c r="AN29" s="1">
        <v>44</v>
      </c>
      <c r="AO29" s="1">
        <v>1</v>
      </c>
      <c r="AP29" s="1">
        <v>1</v>
      </c>
      <c r="AQ29" s="1">
        <v>28</v>
      </c>
      <c r="AR29" s="1">
        <v>28</v>
      </c>
      <c r="AS29" s="1" t="s">
        <v>695</v>
      </c>
      <c r="AT29" s="1" t="s">
        <v>696</v>
      </c>
      <c r="AU29" s="1" t="s">
        <v>697</v>
      </c>
      <c r="AV29" s="1" t="s">
        <v>698</v>
      </c>
      <c r="AW29" s="1" t="s">
        <v>699</v>
      </c>
      <c r="AX29" s="1" t="s">
        <v>82</v>
      </c>
      <c r="AY29" s="1" t="s">
        <v>700</v>
      </c>
      <c r="AZ29" s="1" t="s">
        <v>701</v>
      </c>
      <c r="BA29" s="1" t="s">
        <v>702</v>
      </c>
      <c r="BB29" s="1">
        <v>2022</v>
      </c>
      <c r="BC29" s="1">
        <v>61</v>
      </c>
      <c r="BD29" s="1">
        <v>37</v>
      </c>
      <c r="BE29" s="1" t="s">
        <v>82</v>
      </c>
      <c r="BF29" s="1" t="s">
        <v>82</v>
      </c>
      <c r="BG29" s="1" t="s">
        <v>82</v>
      </c>
      <c r="BH29" s="1" t="s">
        <v>82</v>
      </c>
      <c r="BI29" s="1" t="s">
        <v>82</v>
      </c>
      <c r="BJ29" s="1" t="s">
        <v>82</v>
      </c>
      <c r="BK29" s="1" t="s">
        <v>703</v>
      </c>
      <c r="BL29" s="1" t="s">
        <v>704</v>
      </c>
      <c r="BM29" s="1" t="str">
        <f>HYPERLINK("http://dx.doi.org/10.1002/anie.202208772","http://dx.doi.org/10.1002/anie.202208772")</f>
        <v>http://dx.doi.org/10.1002/anie.202208772</v>
      </c>
      <c r="BN29" s="1" t="s">
        <v>82</v>
      </c>
      <c r="BO29" s="1" t="s">
        <v>424</v>
      </c>
      <c r="BP29" s="1">
        <v>10</v>
      </c>
      <c r="BQ29" s="1" t="s">
        <v>705</v>
      </c>
      <c r="BR29" s="1" t="s">
        <v>104</v>
      </c>
      <c r="BS29" s="1" t="s">
        <v>706</v>
      </c>
      <c r="BT29" s="1" t="s">
        <v>707</v>
      </c>
      <c r="BU29" s="1">
        <v>35862137</v>
      </c>
      <c r="BV29" s="1" t="s">
        <v>82</v>
      </c>
      <c r="BW29" s="1" t="s">
        <v>82</v>
      </c>
      <c r="BX29" s="1" t="s">
        <v>82</v>
      </c>
      <c r="BY29" s="1" t="s">
        <v>108</v>
      </c>
      <c r="BZ29" s="1" t="s">
        <v>708</v>
      </c>
      <c r="CA29" s="1" t="str">
        <f>HYPERLINK("https%3A%2F%2Fwww.webofscience.com%2Fwos%2Fwoscc%2Ffull-record%2FWOS:000835799600001","View Full Record in Web of Science")</f>
        <v>View Full Record in Web of Science</v>
      </c>
    </row>
    <row r="30" s="1" customFormat="1" ht="14.4" spans="1:79">
      <c r="A30">
        <v>29</v>
      </c>
      <c r="B30" s="2" t="s">
        <v>110</v>
      </c>
      <c r="C30" s="1" t="s">
        <v>80</v>
      </c>
      <c r="D30" s="1" t="s">
        <v>709</v>
      </c>
      <c r="E30" s="1" t="s">
        <v>82</v>
      </c>
      <c r="F30" s="1" t="s">
        <v>82</v>
      </c>
      <c r="G30" s="1" t="s">
        <v>82</v>
      </c>
      <c r="H30" s="1" t="s">
        <v>710</v>
      </c>
      <c r="I30" s="1" t="s">
        <v>82</v>
      </c>
      <c r="J30" s="1" t="s">
        <v>82</v>
      </c>
      <c r="K30" s="1" t="s">
        <v>711</v>
      </c>
      <c r="L30" s="1" t="s">
        <v>682</v>
      </c>
      <c r="M30" s="1">
        <v>16.823</v>
      </c>
      <c r="N30" s="2" t="s">
        <v>86</v>
      </c>
      <c r="O30" s="1" t="s">
        <v>82</v>
      </c>
      <c r="P30" s="1" t="s">
        <v>82</v>
      </c>
      <c r="Q30" s="1" t="s">
        <v>87</v>
      </c>
      <c r="R30" s="1" t="s">
        <v>115</v>
      </c>
      <c r="S30" s="1" t="s">
        <v>82</v>
      </c>
      <c r="T30" s="1" t="s">
        <v>82</v>
      </c>
      <c r="U30" s="1" t="s">
        <v>82</v>
      </c>
      <c r="V30" s="1" t="s">
        <v>82</v>
      </c>
      <c r="W30" s="1" t="s">
        <v>82</v>
      </c>
      <c r="X30" s="1" t="s">
        <v>712</v>
      </c>
      <c r="Y30" s="1" t="s">
        <v>713</v>
      </c>
      <c r="Z30" s="1" t="s">
        <v>714</v>
      </c>
      <c r="AA30" s="1">
        <v>1</v>
      </c>
      <c r="AB30" s="1" t="s">
        <v>715</v>
      </c>
      <c r="AC30" s="1" t="s">
        <v>716</v>
      </c>
      <c r="AD30" s="1" t="s">
        <v>93</v>
      </c>
      <c r="AE30" s="1" t="s">
        <v>717</v>
      </c>
      <c r="AF30" s="1" t="s">
        <v>718</v>
      </c>
      <c r="AG30" s="1" t="s">
        <v>719</v>
      </c>
      <c r="AH30" s="1" t="s">
        <v>720</v>
      </c>
      <c r="AI30" s="1" t="s">
        <v>721</v>
      </c>
      <c r="AJ30" s="1" t="s">
        <v>722</v>
      </c>
      <c r="AK30" s="1" t="s">
        <v>723</v>
      </c>
      <c r="AL30" s="1" t="s">
        <v>724</v>
      </c>
      <c r="AM30" s="1" t="s">
        <v>82</v>
      </c>
      <c r="AN30" s="1">
        <v>58</v>
      </c>
      <c r="AO30" s="1">
        <v>3</v>
      </c>
      <c r="AP30" s="1">
        <v>3</v>
      </c>
      <c r="AQ30" s="1">
        <v>28</v>
      </c>
      <c r="AR30" s="1">
        <v>43</v>
      </c>
      <c r="AS30" s="1" t="s">
        <v>695</v>
      </c>
      <c r="AT30" s="1" t="s">
        <v>696</v>
      </c>
      <c r="AU30" s="1" t="s">
        <v>697</v>
      </c>
      <c r="AV30" s="1" t="s">
        <v>698</v>
      </c>
      <c r="AW30" s="1" t="s">
        <v>699</v>
      </c>
      <c r="AX30" s="1" t="s">
        <v>82</v>
      </c>
      <c r="AY30" s="1" t="s">
        <v>700</v>
      </c>
      <c r="AZ30" s="1" t="s">
        <v>701</v>
      </c>
      <c r="BA30" s="1" t="s">
        <v>725</v>
      </c>
      <c r="BB30" s="1">
        <v>2022</v>
      </c>
      <c r="BC30" s="1">
        <v>61</v>
      </c>
      <c r="BD30" s="1">
        <v>28</v>
      </c>
      <c r="BE30" s="1" t="s">
        <v>82</v>
      </c>
      <c r="BF30" s="1" t="s">
        <v>82</v>
      </c>
      <c r="BG30" s="1" t="s">
        <v>82</v>
      </c>
      <c r="BH30" s="1" t="s">
        <v>82</v>
      </c>
      <c r="BI30" s="1" t="s">
        <v>82</v>
      </c>
      <c r="BJ30" s="1" t="s">
        <v>82</v>
      </c>
      <c r="BK30" s="1" t="s">
        <v>726</v>
      </c>
      <c r="BL30" s="1" t="s">
        <v>727</v>
      </c>
      <c r="BM30" s="1" t="str">
        <f>HYPERLINK("http://dx.doi.org/10.1002/anie.202201684","http://dx.doi.org/10.1002/anie.202201684")</f>
        <v>http://dx.doi.org/10.1002/anie.202201684</v>
      </c>
      <c r="BN30" s="1" t="s">
        <v>82</v>
      </c>
      <c r="BO30" s="1" t="s">
        <v>247</v>
      </c>
      <c r="BP30" s="1">
        <v>9</v>
      </c>
      <c r="BQ30" s="1" t="s">
        <v>705</v>
      </c>
      <c r="BR30" s="1" t="s">
        <v>728</v>
      </c>
      <c r="BS30" s="1" t="s">
        <v>706</v>
      </c>
      <c r="BT30" s="1" t="s">
        <v>729</v>
      </c>
      <c r="BU30" s="1">
        <v>35484726</v>
      </c>
      <c r="BV30" s="1" t="s">
        <v>316</v>
      </c>
      <c r="BW30" s="1" t="s">
        <v>82</v>
      </c>
      <c r="BX30" s="1" t="s">
        <v>82</v>
      </c>
      <c r="BY30" s="1" t="s">
        <v>108</v>
      </c>
      <c r="BZ30" s="1" t="s">
        <v>730</v>
      </c>
      <c r="CA30" s="1" t="str">
        <f>HYPERLINK("https%3A%2F%2Fwww.webofscience.com%2Fwos%2Fwoscc%2Ffull-record%2FWOS:000794054100001","View Full Record in Web of Science")</f>
        <v>View Full Record in Web of Science</v>
      </c>
    </row>
    <row r="31" s="1" customFormat="1" ht="14.4" spans="1:79">
      <c r="A31">
        <v>30</v>
      </c>
      <c r="B31" s="2" t="s">
        <v>110</v>
      </c>
      <c r="C31" s="1" t="s">
        <v>80</v>
      </c>
      <c r="D31" s="1" t="s">
        <v>731</v>
      </c>
      <c r="E31" s="1" t="s">
        <v>82</v>
      </c>
      <c r="F31" s="1" t="s">
        <v>82</v>
      </c>
      <c r="G31" s="1" t="s">
        <v>82</v>
      </c>
      <c r="H31" s="1" t="s">
        <v>732</v>
      </c>
      <c r="I31" s="1" t="s">
        <v>82</v>
      </c>
      <c r="J31" s="1" t="s">
        <v>82</v>
      </c>
      <c r="K31" s="1" t="s">
        <v>733</v>
      </c>
      <c r="L31" s="1" t="s">
        <v>682</v>
      </c>
      <c r="M31" s="1">
        <v>16.823</v>
      </c>
      <c r="N31" s="2" t="s">
        <v>86</v>
      </c>
      <c r="O31" s="1" t="s">
        <v>82</v>
      </c>
      <c r="P31" s="1" t="s">
        <v>82</v>
      </c>
      <c r="Q31" s="1" t="s">
        <v>87</v>
      </c>
      <c r="R31" s="1" t="s">
        <v>115</v>
      </c>
      <c r="S31" s="1" t="s">
        <v>82</v>
      </c>
      <c r="T31" s="1" t="s">
        <v>82</v>
      </c>
      <c r="U31" s="1" t="s">
        <v>82</v>
      </c>
      <c r="V31" s="1" t="s">
        <v>82</v>
      </c>
      <c r="W31" s="1" t="s">
        <v>82</v>
      </c>
      <c r="X31" s="1" t="s">
        <v>734</v>
      </c>
      <c r="Y31" s="1" t="s">
        <v>735</v>
      </c>
      <c r="Z31" s="1" t="s">
        <v>736</v>
      </c>
      <c r="AA31" s="1">
        <v>1</v>
      </c>
      <c r="AB31" s="1" t="s">
        <v>737</v>
      </c>
      <c r="AC31" s="1" t="s">
        <v>738</v>
      </c>
      <c r="AD31" s="1" t="s">
        <v>93</v>
      </c>
      <c r="AE31" s="1" t="s">
        <v>739</v>
      </c>
      <c r="AF31" s="1" t="s">
        <v>603</v>
      </c>
      <c r="AG31" s="1" t="s">
        <v>604</v>
      </c>
      <c r="AH31" s="1" t="s">
        <v>605</v>
      </c>
      <c r="AI31" s="1" t="s">
        <v>606</v>
      </c>
      <c r="AJ31" s="1" t="s">
        <v>740</v>
      </c>
      <c r="AK31" s="1" t="s">
        <v>741</v>
      </c>
      <c r="AL31" s="1" t="s">
        <v>742</v>
      </c>
      <c r="AM31" s="1" t="s">
        <v>82</v>
      </c>
      <c r="AN31" s="1">
        <v>36</v>
      </c>
      <c r="AO31" s="1">
        <v>1</v>
      </c>
      <c r="AP31" s="1">
        <v>1</v>
      </c>
      <c r="AQ31" s="1">
        <v>17</v>
      </c>
      <c r="AR31" s="1">
        <v>58</v>
      </c>
      <c r="AS31" s="1" t="s">
        <v>695</v>
      </c>
      <c r="AT31" s="1" t="s">
        <v>696</v>
      </c>
      <c r="AU31" s="1" t="s">
        <v>697</v>
      </c>
      <c r="AV31" s="1" t="s">
        <v>698</v>
      </c>
      <c r="AW31" s="1" t="s">
        <v>699</v>
      </c>
      <c r="AX31" s="1" t="s">
        <v>82</v>
      </c>
      <c r="AY31" s="1" t="s">
        <v>700</v>
      </c>
      <c r="AZ31" s="1" t="s">
        <v>701</v>
      </c>
      <c r="BA31" s="1" t="s">
        <v>444</v>
      </c>
      <c r="BB31" s="1">
        <v>2022</v>
      </c>
      <c r="BC31" s="1">
        <v>61</v>
      </c>
      <c r="BD31" s="1">
        <v>19</v>
      </c>
      <c r="BE31" s="1" t="s">
        <v>82</v>
      </c>
      <c r="BF31" s="1" t="s">
        <v>82</v>
      </c>
      <c r="BG31" s="1" t="s">
        <v>82</v>
      </c>
      <c r="BH31" s="1" t="s">
        <v>82</v>
      </c>
      <c r="BI31" s="1" t="s">
        <v>82</v>
      </c>
      <c r="BJ31" s="1" t="s">
        <v>82</v>
      </c>
      <c r="BK31" s="1" t="s">
        <v>743</v>
      </c>
      <c r="BL31" s="1" t="s">
        <v>744</v>
      </c>
      <c r="BM31" s="1" t="str">
        <f>HYPERLINK("http://dx.doi.org/10.1002/anie.202200189","http://dx.doi.org/10.1002/anie.202200189")</f>
        <v>http://dx.doi.org/10.1002/anie.202200189</v>
      </c>
      <c r="BN31" s="1" t="s">
        <v>82</v>
      </c>
      <c r="BO31" s="1" t="s">
        <v>296</v>
      </c>
      <c r="BP31" s="1">
        <v>8</v>
      </c>
      <c r="BQ31" s="1" t="s">
        <v>705</v>
      </c>
      <c r="BR31" s="1" t="s">
        <v>745</v>
      </c>
      <c r="BS31" s="1" t="s">
        <v>706</v>
      </c>
      <c r="BT31" s="1" t="s">
        <v>746</v>
      </c>
      <c r="BU31" s="1">
        <v>35191152</v>
      </c>
      <c r="BV31" s="1" t="s">
        <v>82</v>
      </c>
      <c r="BW31" s="1" t="s">
        <v>82</v>
      </c>
      <c r="BX31" s="1" t="s">
        <v>82</v>
      </c>
      <c r="BY31" s="1" t="s">
        <v>108</v>
      </c>
      <c r="BZ31" s="1" t="s">
        <v>747</v>
      </c>
      <c r="CA31" s="1" t="str">
        <f>HYPERLINK("https%3A%2F%2Fwww.webofscience.com%2Fwos%2Fwoscc%2Ffull-record%2FWOS:000762125400001","View Full Record in Web of Science")</f>
        <v>View Full Record in Web of Science</v>
      </c>
    </row>
    <row r="32" s="1" customFormat="1" ht="14.4" spans="1:79">
      <c r="A32">
        <v>31</v>
      </c>
      <c r="B32" s="2" t="s">
        <v>79</v>
      </c>
      <c r="C32" s="1" t="s">
        <v>80</v>
      </c>
      <c r="D32" s="1" t="s">
        <v>748</v>
      </c>
      <c r="E32" s="1" t="s">
        <v>82</v>
      </c>
      <c r="F32" s="1" t="s">
        <v>82</v>
      </c>
      <c r="G32" s="1" t="s">
        <v>82</v>
      </c>
      <c r="H32" s="1" t="s">
        <v>749</v>
      </c>
      <c r="I32" s="1" t="s">
        <v>82</v>
      </c>
      <c r="J32" s="1" t="s">
        <v>82</v>
      </c>
      <c r="K32" s="1" t="s">
        <v>750</v>
      </c>
      <c r="L32" s="1" t="s">
        <v>751</v>
      </c>
      <c r="M32" s="1">
        <v>16.525</v>
      </c>
      <c r="N32" s="1" t="s">
        <v>86</v>
      </c>
      <c r="O32" s="1" t="s">
        <v>82</v>
      </c>
      <c r="Q32" s="1" t="s">
        <v>87</v>
      </c>
      <c r="R32" s="1" t="s">
        <v>115</v>
      </c>
      <c r="S32" s="1" t="s">
        <v>82</v>
      </c>
      <c r="U32" s="1" t="s">
        <v>82</v>
      </c>
      <c r="V32" s="1" t="s">
        <v>82</v>
      </c>
      <c r="W32" s="1" t="s">
        <v>82</v>
      </c>
      <c r="X32" s="1" t="s">
        <v>82</v>
      </c>
      <c r="Y32" s="1" t="s">
        <v>752</v>
      </c>
      <c r="Z32" s="1" t="s">
        <v>753</v>
      </c>
      <c r="AA32" s="1">
        <v>1</v>
      </c>
      <c r="AB32" s="3" t="s">
        <v>754</v>
      </c>
      <c r="AC32" s="3" t="s">
        <v>755</v>
      </c>
      <c r="AD32" s="1" t="s">
        <v>93</v>
      </c>
      <c r="AE32" s="1" t="s">
        <v>756</v>
      </c>
      <c r="AF32" s="1" t="s">
        <v>757</v>
      </c>
      <c r="AG32" s="1" t="s">
        <v>758</v>
      </c>
      <c r="AH32" s="1" t="s">
        <v>82</v>
      </c>
      <c r="AI32" s="1" t="s">
        <v>82</v>
      </c>
      <c r="AJ32" s="1" t="s">
        <v>759</v>
      </c>
      <c r="AK32" s="1" t="s">
        <v>760</v>
      </c>
      <c r="AL32" s="1" t="s">
        <v>761</v>
      </c>
      <c r="AM32" s="1" t="s">
        <v>82</v>
      </c>
      <c r="AN32" s="1">
        <v>199</v>
      </c>
      <c r="AO32" s="1">
        <v>0</v>
      </c>
      <c r="AP32" s="1">
        <v>0</v>
      </c>
      <c r="AQ32" s="1">
        <v>0</v>
      </c>
      <c r="AR32" s="1">
        <v>0</v>
      </c>
      <c r="AS32" s="1" t="s">
        <v>762</v>
      </c>
      <c r="AT32" s="1" t="s">
        <v>763</v>
      </c>
      <c r="AU32" s="1" t="s">
        <v>764</v>
      </c>
      <c r="AV32" s="1" t="s">
        <v>765</v>
      </c>
      <c r="AW32" s="1" t="s">
        <v>766</v>
      </c>
      <c r="AX32" s="1" t="s">
        <v>82</v>
      </c>
      <c r="AY32" s="1" t="s">
        <v>751</v>
      </c>
      <c r="AZ32" s="1" t="s">
        <v>767</v>
      </c>
      <c r="BA32" s="1" t="s">
        <v>82</v>
      </c>
      <c r="BB32" s="1">
        <v>2022</v>
      </c>
      <c r="BC32" s="1">
        <v>13</v>
      </c>
      <c r="BD32" s="1">
        <v>2</v>
      </c>
      <c r="BE32" s="1" t="s">
        <v>82</v>
      </c>
      <c r="BF32" s="1" t="s">
        <v>82</v>
      </c>
      <c r="BG32" s="1" t="s">
        <v>170</v>
      </c>
      <c r="BH32" s="1" t="s">
        <v>82</v>
      </c>
      <c r="BI32" s="1">
        <v>207</v>
      </c>
      <c r="BJ32" s="1">
        <v>280</v>
      </c>
      <c r="BK32" s="1" t="s">
        <v>82</v>
      </c>
      <c r="BL32" s="1" t="s">
        <v>768</v>
      </c>
      <c r="BM32" s="1" t="s">
        <v>769</v>
      </c>
      <c r="BN32" s="1" t="s">
        <v>82</v>
      </c>
      <c r="BO32" s="1" t="s">
        <v>82</v>
      </c>
      <c r="BP32" s="1">
        <v>74</v>
      </c>
      <c r="BQ32" s="1" t="s">
        <v>225</v>
      </c>
      <c r="BR32" s="1" t="s">
        <v>104</v>
      </c>
      <c r="BS32" s="1" t="s">
        <v>225</v>
      </c>
      <c r="BT32" s="1" t="s">
        <v>770</v>
      </c>
      <c r="BU32" s="1" t="s">
        <v>82</v>
      </c>
      <c r="BV32" s="1" t="s">
        <v>82</v>
      </c>
      <c r="BW32" s="1" t="s">
        <v>82</v>
      </c>
      <c r="BX32" s="1" t="s">
        <v>82</v>
      </c>
      <c r="BY32" s="1" t="s">
        <v>771</v>
      </c>
      <c r="BZ32" s="1" t="s">
        <v>772</v>
      </c>
      <c r="CA32" s="1" t="s">
        <v>342</v>
      </c>
    </row>
    <row r="33" s="1" customFormat="1" ht="14.4" spans="1:79">
      <c r="A33">
        <v>32</v>
      </c>
      <c r="B33" s="2" t="s">
        <v>79</v>
      </c>
      <c r="C33" s="1" t="s">
        <v>80</v>
      </c>
      <c r="D33" s="1" t="s">
        <v>773</v>
      </c>
      <c r="E33" s="1" t="s">
        <v>82</v>
      </c>
      <c r="F33" s="1" t="s">
        <v>82</v>
      </c>
      <c r="G33" s="1" t="s">
        <v>82</v>
      </c>
      <c r="H33" s="1" t="s">
        <v>774</v>
      </c>
      <c r="I33" s="1" t="s">
        <v>82</v>
      </c>
      <c r="J33" s="1" t="s">
        <v>82</v>
      </c>
      <c r="K33" s="1" t="s">
        <v>775</v>
      </c>
      <c r="L33" s="1" t="s">
        <v>751</v>
      </c>
      <c r="M33" s="1">
        <v>16.525</v>
      </c>
      <c r="N33" s="1" t="s">
        <v>86</v>
      </c>
      <c r="O33" s="1" t="s">
        <v>82</v>
      </c>
      <c r="Q33" s="1" t="s">
        <v>87</v>
      </c>
      <c r="R33" s="1" t="s">
        <v>115</v>
      </c>
      <c r="S33" s="1" t="s">
        <v>82</v>
      </c>
      <c r="T33" s="1" t="s">
        <v>82</v>
      </c>
      <c r="U33" s="1" t="s">
        <v>82</v>
      </c>
      <c r="V33" s="1" t="s">
        <v>82</v>
      </c>
      <c r="W33" s="1" t="s">
        <v>82</v>
      </c>
      <c r="X33" s="1" t="s">
        <v>776</v>
      </c>
      <c r="Y33" s="1" t="s">
        <v>777</v>
      </c>
      <c r="Z33" s="1" t="s">
        <v>778</v>
      </c>
      <c r="AA33" s="1">
        <v>1</v>
      </c>
      <c r="AB33" s="3" t="s">
        <v>779</v>
      </c>
      <c r="AC33" s="3" t="s">
        <v>780</v>
      </c>
      <c r="AD33" s="1" t="s">
        <v>93</v>
      </c>
      <c r="AE33" s="1" t="s">
        <v>781</v>
      </c>
      <c r="AF33" s="1" t="s">
        <v>782</v>
      </c>
      <c r="AG33" s="1" t="s">
        <v>239</v>
      </c>
      <c r="AH33" s="1" t="s">
        <v>82</v>
      </c>
      <c r="AI33" s="1" t="s">
        <v>82</v>
      </c>
      <c r="AJ33" s="1" t="s">
        <v>783</v>
      </c>
      <c r="AK33" s="1" t="s">
        <v>784</v>
      </c>
      <c r="AL33" s="1" t="s">
        <v>785</v>
      </c>
      <c r="AM33" s="1" t="s">
        <v>82</v>
      </c>
      <c r="AN33" s="1">
        <v>127</v>
      </c>
      <c r="AO33" s="1">
        <v>0</v>
      </c>
      <c r="AP33" s="1">
        <v>0</v>
      </c>
      <c r="AQ33" s="1">
        <v>0</v>
      </c>
      <c r="AR33" s="1">
        <v>0</v>
      </c>
      <c r="AS33" s="1" t="s">
        <v>762</v>
      </c>
      <c r="AT33" s="1" t="s">
        <v>763</v>
      </c>
      <c r="AU33" s="1" t="s">
        <v>764</v>
      </c>
      <c r="AV33" s="1" t="s">
        <v>765</v>
      </c>
      <c r="AW33" s="1" t="s">
        <v>766</v>
      </c>
      <c r="AX33" s="1" t="s">
        <v>82</v>
      </c>
      <c r="AY33" s="1" t="s">
        <v>751</v>
      </c>
      <c r="AZ33" s="1" t="s">
        <v>767</v>
      </c>
      <c r="BA33" s="1" t="s">
        <v>82</v>
      </c>
      <c r="BB33" s="1">
        <v>2022</v>
      </c>
      <c r="BC33" s="1">
        <v>13</v>
      </c>
      <c r="BD33" s="1">
        <v>2</v>
      </c>
      <c r="BE33" s="1" t="s">
        <v>82</v>
      </c>
      <c r="BF33" s="1" t="s">
        <v>82</v>
      </c>
      <c r="BG33" s="1" t="s">
        <v>82</v>
      </c>
      <c r="BH33" s="1" t="s">
        <v>82</v>
      </c>
      <c r="BI33" s="1">
        <v>281</v>
      </c>
      <c r="BJ33" s="1">
        <v>351</v>
      </c>
      <c r="BK33" s="1" t="s">
        <v>82</v>
      </c>
      <c r="BL33" s="1" t="s">
        <v>786</v>
      </c>
      <c r="BM33" s="1" t="s">
        <v>787</v>
      </c>
      <c r="BN33" s="1" t="s">
        <v>82</v>
      </c>
      <c r="BO33" s="1" t="s">
        <v>82</v>
      </c>
      <c r="BP33" s="1">
        <v>71</v>
      </c>
      <c r="BQ33" s="1" t="s">
        <v>225</v>
      </c>
      <c r="BR33" s="1" t="s">
        <v>104</v>
      </c>
      <c r="BS33" s="1" t="s">
        <v>225</v>
      </c>
      <c r="BT33" s="1" t="s">
        <v>788</v>
      </c>
      <c r="BU33" s="1" t="s">
        <v>82</v>
      </c>
      <c r="BV33" s="1" t="s">
        <v>82</v>
      </c>
      <c r="BW33" s="1" t="s">
        <v>82</v>
      </c>
      <c r="BX33" s="1" t="s">
        <v>82</v>
      </c>
      <c r="BY33" s="1" t="s">
        <v>771</v>
      </c>
      <c r="BZ33" s="1" t="s">
        <v>789</v>
      </c>
      <c r="CA33" s="1" t="s">
        <v>342</v>
      </c>
    </row>
    <row r="34" s="1" customFormat="1" ht="14.4" spans="1:79">
      <c r="A34">
        <v>33</v>
      </c>
      <c r="B34" s="2" t="s">
        <v>79</v>
      </c>
      <c r="C34" s="1" t="s">
        <v>80</v>
      </c>
      <c r="D34" s="1" t="s">
        <v>790</v>
      </c>
      <c r="E34" s="1" t="s">
        <v>82</v>
      </c>
      <c r="F34" s="1" t="s">
        <v>82</v>
      </c>
      <c r="G34" s="1" t="s">
        <v>82</v>
      </c>
      <c r="H34" s="1" t="s">
        <v>791</v>
      </c>
      <c r="I34" s="1" t="s">
        <v>82</v>
      </c>
      <c r="J34" s="1" t="s">
        <v>82</v>
      </c>
      <c r="K34" s="1" t="s">
        <v>792</v>
      </c>
      <c r="L34" s="1" t="s">
        <v>751</v>
      </c>
      <c r="M34" s="1">
        <v>16.525</v>
      </c>
      <c r="N34" s="2" t="s">
        <v>86</v>
      </c>
      <c r="O34" s="1" t="s">
        <v>82</v>
      </c>
      <c r="P34" s="1" t="s">
        <v>82</v>
      </c>
      <c r="Q34" s="1" t="s">
        <v>87</v>
      </c>
      <c r="R34" s="1" t="s">
        <v>115</v>
      </c>
      <c r="S34" s="1" t="s">
        <v>82</v>
      </c>
      <c r="T34" s="1" t="s">
        <v>82</v>
      </c>
      <c r="U34" s="1" t="s">
        <v>82</v>
      </c>
      <c r="V34" s="1" t="s">
        <v>82</v>
      </c>
      <c r="W34" s="1" t="s">
        <v>82</v>
      </c>
      <c r="X34" s="1" t="s">
        <v>793</v>
      </c>
      <c r="Y34" s="1" t="s">
        <v>794</v>
      </c>
      <c r="Z34" s="1" t="s">
        <v>795</v>
      </c>
      <c r="AB34" s="1" t="s">
        <v>796</v>
      </c>
      <c r="AC34" s="1" t="s">
        <v>797</v>
      </c>
      <c r="AD34" s="1" t="s">
        <v>120</v>
      </c>
      <c r="AE34" s="1" t="s">
        <v>798</v>
      </c>
      <c r="AF34" s="1" t="s">
        <v>799</v>
      </c>
      <c r="AG34" s="1" t="s">
        <v>800</v>
      </c>
      <c r="AH34" s="1" t="s">
        <v>801</v>
      </c>
      <c r="AI34" s="1" t="s">
        <v>802</v>
      </c>
      <c r="AJ34" s="1" t="s">
        <v>803</v>
      </c>
      <c r="AK34" s="1" t="s">
        <v>804</v>
      </c>
      <c r="AL34" s="1" t="s">
        <v>805</v>
      </c>
      <c r="AM34" s="1" t="s">
        <v>82</v>
      </c>
      <c r="AN34" s="1">
        <v>187</v>
      </c>
      <c r="AO34" s="1">
        <v>0</v>
      </c>
      <c r="AP34" s="1">
        <v>0</v>
      </c>
      <c r="AQ34" s="1">
        <v>7</v>
      </c>
      <c r="AR34" s="1">
        <v>7</v>
      </c>
      <c r="AS34" s="1" t="s">
        <v>762</v>
      </c>
      <c r="AT34" s="1" t="s">
        <v>763</v>
      </c>
      <c r="AU34" s="1" t="s">
        <v>764</v>
      </c>
      <c r="AV34" s="1" t="s">
        <v>765</v>
      </c>
      <c r="AW34" s="1" t="s">
        <v>766</v>
      </c>
      <c r="AX34" s="1" t="s">
        <v>82</v>
      </c>
      <c r="AY34" s="1" t="s">
        <v>751</v>
      </c>
      <c r="AZ34" s="1" t="s">
        <v>767</v>
      </c>
      <c r="BA34" s="1" t="s">
        <v>82</v>
      </c>
      <c r="BB34" s="1">
        <v>2022</v>
      </c>
      <c r="BC34" s="1">
        <v>13</v>
      </c>
      <c r="BD34" s="1">
        <v>1</v>
      </c>
      <c r="BE34" s="1" t="s">
        <v>82</v>
      </c>
      <c r="BF34" s="1" t="s">
        <v>82</v>
      </c>
      <c r="BG34" s="1" t="s">
        <v>82</v>
      </c>
      <c r="BH34" s="1" t="s">
        <v>82</v>
      </c>
      <c r="BI34" s="1">
        <v>724</v>
      </c>
      <c r="BJ34" s="1">
        <v>751</v>
      </c>
      <c r="BK34" s="1" t="s">
        <v>82</v>
      </c>
      <c r="BL34" s="1" t="s">
        <v>806</v>
      </c>
      <c r="BM34" s="1" t="str">
        <f>HYPERLINK("http://dx.doi.org/10.5943/mycosphere/13/1/8","http://dx.doi.org/10.5943/mycosphere/13/1/8")</f>
        <v>http://dx.doi.org/10.5943/mycosphere/13/1/8</v>
      </c>
      <c r="BN34" s="1" t="s">
        <v>82</v>
      </c>
      <c r="BO34" s="1" t="s">
        <v>82</v>
      </c>
      <c r="BP34" s="1">
        <v>28</v>
      </c>
      <c r="BQ34" s="1" t="s">
        <v>225</v>
      </c>
      <c r="BR34" s="1" t="s">
        <v>104</v>
      </c>
      <c r="BS34" s="1" t="s">
        <v>225</v>
      </c>
      <c r="BT34" s="1" t="s">
        <v>807</v>
      </c>
      <c r="BU34" s="1" t="s">
        <v>82</v>
      </c>
      <c r="BV34" s="1" t="s">
        <v>808</v>
      </c>
      <c r="BW34" s="1" t="s">
        <v>82</v>
      </c>
      <c r="BX34" s="1" t="s">
        <v>82</v>
      </c>
      <c r="BY34" s="1" t="s">
        <v>108</v>
      </c>
      <c r="BZ34" s="1" t="s">
        <v>809</v>
      </c>
      <c r="CA34" s="1" t="str">
        <f>HYPERLINK("https%3A%2F%2Fwww.webofscience.com%2Fwos%2Fwoscc%2Ffull-record%2FWOS:000875026800001","View Full Record in Web of Science")</f>
        <v>View Full Record in Web of Science</v>
      </c>
    </row>
    <row r="35" s="1" customFormat="1" ht="14.4" spans="1:79">
      <c r="A35">
        <v>34</v>
      </c>
      <c r="B35" s="2" t="s">
        <v>79</v>
      </c>
      <c r="C35" s="1" t="s">
        <v>80</v>
      </c>
      <c r="D35" s="1" t="s">
        <v>810</v>
      </c>
      <c r="E35" s="1" t="s">
        <v>82</v>
      </c>
      <c r="F35" s="1" t="s">
        <v>82</v>
      </c>
      <c r="G35" s="1" t="s">
        <v>82</v>
      </c>
      <c r="H35" s="1" t="s">
        <v>811</v>
      </c>
      <c r="I35" s="1" t="s">
        <v>82</v>
      </c>
      <c r="J35" s="1" t="s">
        <v>82</v>
      </c>
      <c r="K35" s="1" t="s">
        <v>812</v>
      </c>
      <c r="L35" s="1" t="s">
        <v>751</v>
      </c>
      <c r="M35" s="1">
        <v>16.525</v>
      </c>
      <c r="N35" s="2" t="s">
        <v>86</v>
      </c>
      <c r="O35" s="1" t="s">
        <v>82</v>
      </c>
      <c r="P35" s="1" t="s">
        <v>82</v>
      </c>
      <c r="Q35" s="1" t="s">
        <v>87</v>
      </c>
      <c r="R35" s="1" t="s">
        <v>115</v>
      </c>
      <c r="S35" s="1" t="s">
        <v>82</v>
      </c>
      <c r="T35" s="1" t="s">
        <v>82</v>
      </c>
      <c r="U35" s="1" t="s">
        <v>82</v>
      </c>
      <c r="V35" s="1" t="s">
        <v>82</v>
      </c>
      <c r="W35" s="1" t="s">
        <v>82</v>
      </c>
      <c r="X35" s="1" t="s">
        <v>813</v>
      </c>
      <c r="Y35" s="1" t="s">
        <v>814</v>
      </c>
      <c r="Z35" s="1" t="s">
        <v>815</v>
      </c>
      <c r="AB35" s="1" t="s">
        <v>816</v>
      </c>
      <c r="AC35" s="1" t="s">
        <v>817</v>
      </c>
      <c r="AD35" s="1" t="s">
        <v>120</v>
      </c>
      <c r="AE35" s="1" t="s">
        <v>818</v>
      </c>
      <c r="AF35" s="1" t="s">
        <v>819</v>
      </c>
      <c r="AG35" s="1" t="s">
        <v>820</v>
      </c>
      <c r="AH35" s="1" t="s">
        <v>821</v>
      </c>
      <c r="AI35" s="1" t="s">
        <v>822</v>
      </c>
      <c r="AJ35" s="1" t="s">
        <v>823</v>
      </c>
      <c r="AK35" s="1" t="s">
        <v>824</v>
      </c>
      <c r="AL35" s="1" t="s">
        <v>825</v>
      </c>
      <c r="AM35" s="1" t="s">
        <v>82</v>
      </c>
      <c r="AN35" s="1">
        <v>493</v>
      </c>
      <c r="AO35" s="1">
        <v>52</v>
      </c>
      <c r="AP35" s="1">
        <v>57</v>
      </c>
      <c r="AQ35" s="1">
        <v>84</v>
      </c>
      <c r="AR35" s="1">
        <v>90</v>
      </c>
      <c r="AS35" s="1" t="s">
        <v>762</v>
      </c>
      <c r="AT35" s="1" t="s">
        <v>763</v>
      </c>
      <c r="AU35" s="1" t="s">
        <v>764</v>
      </c>
      <c r="AV35" s="1" t="s">
        <v>765</v>
      </c>
      <c r="AW35" s="1" t="s">
        <v>766</v>
      </c>
      <c r="AX35" s="1" t="s">
        <v>82</v>
      </c>
      <c r="AY35" s="1" t="s">
        <v>751</v>
      </c>
      <c r="AZ35" s="1" t="s">
        <v>767</v>
      </c>
      <c r="BA35" s="1" t="s">
        <v>82</v>
      </c>
      <c r="BB35" s="1">
        <v>2022</v>
      </c>
      <c r="BC35" s="1">
        <v>13</v>
      </c>
      <c r="BD35" s="1">
        <v>1</v>
      </c>
      <c r="BE35" s="1" t="s">
        <v>82</v>
      </c>
      <c r="BF35" s="1" t="s">
        <v>82</v>
      </c>
      <c r="BG35" s="1" t="s">
        <v>82</v>
      </c>
      <c r="BH35" s="1" t="s">
        <v>82</v>
      </c>
      <c r="BI35" s="1">
        <v>53</v>
      </c>
      <c r="BJ35" s="1">
        <v>453</v>
      </c>
      <c r="BK35" s="1" t="s">
        <v>82</v>
      </c>
      <c r="BL35" s="1" t="s">
        <v>826</v>
      </c>
      <c r="BM35" s="1" t="str">
        <f>HYPERLINK("http://dx.doi.org/10.5943/mycosphere/13/1/2","http://dx.doi.org/10.5943/mycosphere/13/1/2")</f>
        <v>http://dx.doi.org/10.5943/mycosphere/13/1/2</v>
      </c>
      <c r="BN35" s="1" t="s">
        <v>82</v>
      </c>
      <c r="BO35" s="1" t="s">
        <v>82</v>
      </c>
      <c r="BP35" s="1">
        <v>401</v>
      </c>
      <c r="BQ35" s="1" t="s">
        <v>225</v>
      </c>
      <c r="BR35" s="1" t="s">
        <v>104</v>
      </c>
      <c r="BS35" s="1" t="s">
        <v>225</v>
      </c>
      <c r="BT35" s="1" t="s">
        <v>827</v>
      </c>
      <c r="BU35" s="1" t="s">
        <v>82</v>
      </c>
      <c r="BV35" s="1" t="s">
        <v>828</v>
      </c>
      <c r="BW35" s="1" t="s">
        <v>82</v>
      </c>
      <c r="BX35" s="1" t="s">
        <v>82</v>
      </c>
      <c r="BY35" s="1" t="s">
        <v>108</v>
      </c>
      <c r="BZ35" s="1" t="s">
        <v>829</v>
      </c>
      <c r="CA35" s="1" t="str">
        <f>HYPERLINK("https%3A%2F%2Fwww.webofscience.com%2Fwos%2Fwoscc%2Ffull-record%2FWOS:000818782100001","View Full Record in Web of Science")</f>
        <v>View Full Record in Web of Science</v>
      </c>
    </row>
    <row r="36" s="1" customFormat="1" ht="14.4" spans="1:79">
      <c r="A36">
        <v>35</v>
      </c>
      <c r="B36" s="2" t="s">
        <v>79</v>
      </c>
      <c r="C36" s="1" t="s">
        <v>80</v>
      </c>
      <c r="D36" s="1" t="s">
        <v>830</v>
      </c>
      <c r="E36" s="1" t="s">
        <v>82</v>
      </c>
      <c r="F36" s="1" t="s">
        <v>82</v>
      </c>
      <c r="G36" s="1" t="s">
        <v>82</v>
      </c>
      <c r="H36" s="1" t="s">
        <v>831</v>
      </c>
      <c r="I36" s="1" t="s">
        <v>82</v>
      </c>
      <c r="J36" s="1" t="s">
        <v>82</v>
      </c>
      <c r="K36" s="1" t="s">
        <v>832</v>
      </c>
      <c r="L36" s="1" t="s">
        <v>751</v>
      </c>
      <c r="M36" s="1">
        <v>16.525</v>
      </c>
      <c r="N36" s="2" t="s">
        <v>86</v>
      </c>
      <c r="O36" s="1" t="s">
        <v>82</v>
      </c>
      <c r="P36" s="1" t="s">
        <v>82</v>
      </c>
      <c r="Q36" s="1" t="s">
        <v>87</v>
      </c>
      <c r="R36" s="1" t="s">
        <v>115</v>
      </c>
      <c r="S36" s="1" t="s">
        <v>82</v>
      </c>
      <c r="T36" s="1" t="s">
        <v>82</v>
      </c>
      <c r="U36" s="1" t="s">
        <v>82</v>
      </c>
      <c r="V36" s="1" t="s">
        <v>82</v>
      </c>
      <c r="W36" s="1" t="s">
        <v>82</v>
      </c>
      <c r="X36" s="1" t="s">
        <v>833</v>
      </c>
      <c r="Y36" s="1" t="s">
        <v>834</v>
      </c>
      <c r="Z36" s="1" t="s">
        <v>835</v>
      </c>
      <c r="AB36" s="1" t="s">
        <v>836</v>
      </c>
      <c r="AC36" s="1" t="s">
        <v>837</v>
      </c>
      <c r="AD36" s="1" t="s">
        <v>120</v>
      </c>
      <c r="AE36" s="1" t="s">
        <v>838</v>
      </c>
      <c r="AF36" s="1" t="s">
        <v>839</v>
      </c>
      <c r="AG36" s="1" t="s">
        <v>239</v>
      </c>
      <c r="AH36" s="1" t="s">
        <v>840</v>
      </c>
      <c r="AI36" s="1" t="s">
        <v>841</v>
      </c>
      <c r="AJ36" s="1" t="s">
        <v>842</v>
      </c>
      <c r="AK36" s="1" t="s">
        <v>843</v>
      </c>
      <c r="AL36" s="1" t="s">
        <v>844</v>
      </c>
      <c r="AM36" s="1" t="s">
        <v>82</v>
      </c>
      <c r="AN36" s="1">
        <v>236</v>
      </c>
      <c r="AO36" s="1">
        <v>0</v>
      </c>
      <c r="AP36" s="1">
        <v>0</v>
      </c>
      <c r="AQ36" s="1">
        <v>8</v>
      </c>
      <c r="AR36" s="1">
        <v>10</v>
      </c>
      <c r="AS36" s="1" t="s">
        <v>762</v>
      </c>
      <c r="AT36" s="1" t="s">
        <v>763</v>
      </c>
      <c r="AU36" s="1" t="s">
        <v>764</v>
      </c>
      <c r="AV36" s="1" t="s">
        <v>765</v>
      </c>
      <c r="AW36" s="1" t="s">
        <v>766</v>
      </c>
      <c r="AX36" s="1" t="s">
        <v>82</v>
      </c>
      <c r="AY36" s="1" t="s">
        <v>751</v>
      </c>
      <c r="AZ36" s="1" t="s">
        <v>767</v>
      </c>
      <c r="BA36" s="1" t="s">
        <v>82</v>
      </c>
      <c r="BB36" s="1">
        <v>2022</v>
      </c>
      <c r="BC36" s="1">
        <v>13</v>
      </c>
      <c r="BD36" s="1">
        <v>1</v>
      </c>
      <c r="BE36" s="1" t="s">
        <v>82</v>
      </c>
      <c r="BF36" s="1" t="s">
        <v>82</v>
      </c>
      <c r="BG36" s="1" t="s">
        <v>82</v>
      </c>
      <c r="BH36" s="1" t="s">
        <v>82</v>
      </c>
      <c r="BI36" s="1">
        <v>454</v>
      </c>
      <c r="BJ36" s="1">
        <v>557</v>
      </c>
      <c r="BK36" s="1" t="s">
        <v>82</v>
      </c>
      <c r="BL36" s="1" t="s">
        <v>845</v>
      </c>
      <c r="BM36" s="1" t="str">
        <f>HYPERLINK("http://dx.doi.org/10.5943/mycosphere/13/1/3","http://dx.doi.org/10.5943/mycosphere/13/1/3")</f>
        <v>http://dx.doi.org/10.5943/mycosphere/13/1/3</v>
      </c>
      <c r="BN36" s="1" t="s">
        <v>82</v>
      </c>
      <c r="BO36" s="1" t="s">
        <v>82</v>
      </c>
      <c r="BP36" s="1">
        <v>104</v>
      </c>
      <c r="BQ36" s="1" t="s">
        <v>225</v>
      </c>
      <c r="BR36" s="1" t="s">
        <v>104</v>
      </c>
      <c r="BS36" s="1" t="s">
        <v>225</v>
      </c>
      <c r="BT36" s="1" t="s">
        <v>846</v>
      </c>
      <c r="BU36" s="1" t="s">
        <v>82</v>
      </c>
      <c r="BV36" s="1" t="s">
        <v>808</v>
      </c>
      <c r="BW36" s="1" t="s">
        <v>82</v>
      </c>
      <c r="BX36" s="1" t="s">
        <v>82</v>
      </c>
      <c r="BY36" s="1" t="s">
        <v>108</v>
      </c>
      <c r="BZ36" s="1" t="s">
        <v>847</v>
      </c>
      <c r="CA36" s="1" t="str">
        <f>HYPERLINK("https%3A%2F%2Fwww.webofscience.com%2Fwos%2Fwoscc%2Ffull-record%2FWOS:000795087900001","View Full Record in Web of Science")</f>
        <v>View Full Record in Web of Science</v>
      </c>
    </row>
    <row r="37" s="1" customFormat="1" ht="14.4" spans="1:79">
      <c r="A37">
        <v>36</v>
      </c>
      <c r="B37" s="2" t="s">
        <v>79</v>
      </c>
      <c r="C37" s="1" t="s">
        <v>80</v>
      </c>
      <c r="D37" s="1" t="s">
        <v>848</v>
      </c>
      <c r="E37" s="1" t="s">
        <v>82</v>
      </c>
      <c r="F37" s="1" t="s">
        <v>82</v>
      </c>
      <c r="G37" s="1" t="s">
        <v>82</v>
      </c>
      <c r="H37" s="1" t="s">
        <v>849</v>
      </c>
      <c r="I37" s="1" t="s">
        <v>82</v>
      </c>
      <c r="J37" s="1" t="s">
        <v>82</v>
      </c>
      <c r="K37" s="1" t="s">
        <v>850</v>
      </c>
      <c r="L37" s="1" t="s">
        <v>851</v>
      </c>
      <c r="M37" s="1">
        <v>16.383</v>
      </c>
      <c r="N37" s="2" t="s">
        <v>86</v>
      </c>
      <c r="O37" s="1" t="s">
        <v>82</v>
      </c>
      <c r="P37" s="1" t="s">
        <v>82</v>
      </c>
      <c r="Q37" s="1" t="s">
        <v>87</v>
      </c>
      <c r="R37" s="1" t="s">
        <v>115</v>
      </c>
      <c r="S37" s="1" t="s">
        <v>82</v>
      </c>
      <c r="T37" s="1" t="s">
        <v>82</v>
      </c>
      <c r="U37" s="1" t="s">
        <v>82</v>
      </c>
      <c r="V37" s="1" t="s">
        <v>82</v>
      </c>
      <c r="W37" s="1" t="s">
        <v>82</v>
      </c>
      <c r="X37" s="1" t="s">
        <v>82</v>
      </c>
      <c r="Y37" s="1" t="s">
        <v>852</v>
      </c>
      <c r="Z37" s="1" t="s">
        <v>853</v>
      </c>
      <c r="AA37" s="1">
        <v>1</v>
      </c>
      <c r="AB37" s="1" t="s">
        <v>854</v>
      </c>
      <c r="AC37" s="1" t="s">
        <v>855</v>
      </c>
      <c r="AD37" s="1" t="s">
        <v>93</v>
      </c>
      <c r="AE37" s="1" t="s">
        <v>856</v>
      </c>
      <c r="AF37" s="1" t="s">
        <v>857</v>
      </c>
      <c r="AG37" s="1" t="s">
        <v>604</v>
      </c>
      <c r="AH37" s="1" t="s">
        <v>82</v>
      </c>
      <c r="AI37" s="1" t="s">
        <v>858</v>
      </c>
      <c r="AJ37" s="1" t="s">
        <v>859</v>
      </c>
      <c r="AK37" s="1" t="s">
        <v>860</v>
      </c>
      <c r="AL37" s="1" t="s">
        <v>861</v>
      </c>
      <c r="AM37" s="1" t="s">
        <v>82</v>
      </c>
      <c r="AN37" s="1">
        <v>29</v>
      </c>
      <c r="AO37" s="1">
        <v>0</v>
      </c>
      <c r="AP37" s="1">
        <v>0</v>
      </c>
      <c r="AQ37" s="1">
        <v>21</v>
      </c>
      <c r="AR37" s="1">
        <v>21</v>
      </c>
      <c r="AS37" s="1" t="s">
        <v>862</v>
      </c>
      <c r="AT37" s="1" t="s">
        <v>129</v>
      </c>
      <c r="AU37" s="1" t="s">
        <v>863</v>
      </c>
      <c r="AV37" s="1" t="s">
        <v>864</v>
      </c>
      <c r="AW37" s="1" t="s">
        <v>865</v>
      </c>
      <c r="AX37" s="1" t="s">
        <v>82</v>
      </c>
      <c r="AY37" s="1" t="s">
        <v>866</v>
      </c>
      <c r="AZ37" s="1" t="s">
        <v>867</v>
      </c>
      <c r="BA37" s="1" t="s">
        <v>868</v>
      </c>
      <c r="BB37" s="1">
        <v>2022</v>
      </c>
      <c r="BC37" s="1">
        <v>144</v>
      </c>
      <c r="BD37" s="1">
        <v>48</v>
      </c>
      <c r="BE37" s="1" t="s">
        <v>82</v>
      </c>
      <c r="BF37" s="1" t="s">
        <v>82</v>
      </c>
      <c r="BG37" s="1" t="s">
        <v>82</v>
      </c>
      <c r="BH37" s="1" t="s">
        <v>82</v>
      </c>
      <c r="BI37" s="1">
        <v>22000</v>
      </c>
      <c r="BJ37" s="1">
        <v>22007</v>
      </c>
      <c r="BK37" s="1" t="s">
        <v>82</v>
      </c>
      <c r="BL37" s="1" t="s">
        <v>869</v>
      </c>
      <c r="BM37" s="1" t="str">
        <f>HYPERLINK("http://dx.doi.org/10.1021/jacs.2c09091","http://dx.doi.org/10.1021/jacs.2c09091")</f>
        <v>http://dx.doi.org/10.1021/jacs.2c09091</v>
      </c>
      <c r="BN37" s="1" t="s">
        <v>82</v>
      </c>
      <c r="BO37" s="1" t="s">
        <v>870</v>
      </c>
      <c r="BP37" s="1">
        <v>8</v>
      </c>
      <c r="BQ37" s="1" t="s">
        <v>705</v>
      </c>
      <c r="BR37" s="1" t="s">
        <v>104</v>
      </c>
      <c r="BS37" s="1" t="s">
        <v>706</v>
      </c>
      <c r="BT37" s="1" t="s">
        <v>871</v>
      </c>
      <c r="BU37" s="1">
        <v>36376019</v>
      </c>
      <c r="BV37" s="1" t="s">
        <v>82</v>
      </c>
      <c r="BW37" s="1" t="s">
        <v>82</v>
      </c>
      <c r="BX37" s="1" t="s">
        <v>82</v>
      </c>
      <c r="BY37" s="1" t="s">
        <v>108</v>
      </c>
      <c r="BZ37" s="1" t="s">
        <v>872</v>
      </c>
      <c r="CA37" s="1" t="str">
        <f>HYPERLINK("https%3A%2F%2Fwww.webofscience.com%2Fwos%2Fwoscc%2Ffull-record%2FWOS:000885931600001","View Full Record in Web of Science")</f>
        <v>View Full Record in Web of Science</v>
      </c>
    </row>
    <row r="38" s="1" customFormat="1" ht="14.4" spans="1:79">
      <c r="A38">
        <v>37</v>
      </c>
      <c r="B38" s="2" t="s">
        <v>110</v>
      </c>
      <c r="C38" s="1" t="s">
        <v>80</v>
      </c>
      <c r="D38" s="1" t="s">
        <v>873</v>
      </c>
      <c r="E38" s="1" t="s">
        <v>82</v>
      </c>
      <c r="F38" s="1" t="s">
        <v>82</v>
      </c>
      <c r="G38" s="1" t="s">
        <v>82</v>
      </c>
      <c r="H38" s="1" t="s">
        <v>874</v>
      </c>
      <c r="I38" s="1" t="s">
        <v>82</v>
      </c>
      <c r="J38" s="1" t="s">
        <v>82</v>
      </c>
      <c r="K38" s="1" t="s">
        <v>875</v>
      </c>
      <c r="L38" s="1" t="s">
        <v>851</v>
      </c>
      <c r="M38" s="1">
        <v>16.383</v>
      </c>
      <c r="N38" s="2" t="s">
        <v>86</v>
      </c>
      <c r="O38" s="1" t="s">
        <v>82</v>
      </c>
      <c r="P38" s="1" t="s">
        <v>82</v>
      </c>
      <c r="Q38" s="1" t="s">
        <v>87</v>
      </c>
      <c r="R38" s="1" t="s">
        <v>115</v>
      </c>
      <c r="S38" s="1" t="s">
        <v>82</v>
      </c>
      <c r="T38" s="1" t="s">
        <v>82</v>
      </c>
      <c r="U38" s="1" t="s">
        <v>82</v>
      </c>
      <c r="V38" s="1" t="s">
        <v>82</v>
      </c>
      <c r="W38" s="1" t="s">
        <v>82</v>
      </c>
      <c r="X38" s="1" t="s">
        <v>82</v>
      </c>
      <c r="Y38" s="1" t="s">
        <v>876</v>
      </c>
      <c r="Z38" s="1" t="s">
        <v>877</v>
      </c>
      <c r="AB38" s="1" t="s">
        <v>878</v>
      </c>
      <c r="AC38" s="1" t="s">
        <v>879</v>
      </c>
      <c r="AD38" s="1" t="s">
        <v>206</v>
      </c>
      <c r="AE38" s="1" t="s">
        <v>880</v>
      </c>
      <c r="AF38" s="1" t="s">
        <v>881</v>
      </c>
      <c r="AG38" s="1" t="s">
        <v>882</v>
      </c>
      <c r="AH38" s="1" t="s">
        <v>82</v>
      </c>
      <c r="AI38" s="1" t="s">
        <v>883</v>
      </c>
      <c r="AJ38" s="1" t="s">
        <v>884</v>
      </c>
      <c r="AK38" s="1" t="s">
        <v>885</v>
      </c>
      <c r="AL38" s="1" t="s">
        <v>886</v>
      </c>
      <c r="AM38" s="1" t="s">
        <v>82</v>
      </c>
      <c r="AN38" s="1">
        <v>73</v>
      </c>
      <c r="AO38" s="1">
        <v>1</v>
      </c>
      <c r="AP38" s="1">
        <v>1</v>
      </c>
      <c r="AQ38" s="1">
        <v>16</v>
      </c>
      <c r="AR38" s="1">
        <v>34</v>
      </c>
      <c r="AS38" s="1" t="s">
        <v>862</v>
      </c>
      <c r="AT38" s="1" t="s">
        <v>129</v>
      </c>
      <c r="AU38" s="1" t="s">
        <v>863</v>
      </c>
      <c r="AV38" s="1" t="s">
        <v>864</v>
      </c>
      <c r="AW38" s="1" t="s">
        <v>865</v>
      </c>
      <c r="AX38" s="1" t="s">
        <v>82</v>
      </c>
      <c r="AY38" s="1" t="s">
        <v>866</v>
      </c>
      <c r="AZ38" s="1" t="s">
        <v>867</v>
      </c>
      <c r="BA38" s="1" t="s">
        <v>887</v>
      </c>
      <c r="BB38" s="1">
        <v>2022</v>
      </c>
      <c r="BC38" s="1">
        <v>144</v>
      </c>
      <c r="BD38" s="1">
        <v>15</v>
      </c>
      <c r="BE38" s="1" t="s">
        <v>82</v>
      </c>
      <c r="BF38" s="1" t="s">
        <v>82</v>
      </c>
      <c r="BG38" s="1" t="s">
        <v>82</v>
      </c>
      <c r="BH38" s="1" t="s">
        <v>82</v>
      </c>
      <c r="BI38" s="1">
        <v>6871</v>
      </c>
      <c r="BJ38" s="1">
        <v>6881</v>
      </c>
      <c r="BK38" s="1" t="s">
        <v>82</v>
      </c>
      <c r="BL38" s="1" t="s">
        <v>888</v>
      </c>
      <c r="BM38" s="1" t="str">
        <f>HYPERLINK("http://dx.doi.org/10.1021/jacs.2c01133","http://dx.doi.org/10.1021/jacs.2c01133")</f>
        <v>http://dx.doi.org/10.1021/jacs.2c01133</v>
      </c>
      <c r="BN38" s="1" t="s">
        <v>82</v>
      </c>
      <c r="BO38" s="1" t="s">
        <v>82</v>
      </c>
      <c r="BP38" s="1">
        <v>11</v>
      </c>
      <c r="BQ38" s="1" t="s">
        <v>705</v>
      </c>
      <c r="BR38" s="1" t="s">
        <v>728</v>
      </c>
      <c r="BS38" s="1" t="s">
        <v>706</v>
      </c>
      <c r="BT38" s="1" t="s">
        <v>889</v>
      </c>
      <c r="BU38" s="1">
        <v>35410472</v>
      </c>
      <c r="BV38" s="1" t="s">
        <v>82</v>
      </c>
      <c r="BW38" s="1" t="s">
        <v>82</v>
      </c>
      <c r="BX38" s="1" t="s">
        <v>82</v>
      </c>
      <c r="BY38" s="1" t="s">
        <v>108</v>
      </c>
      <c r="BZ38" s="1" t="s">
        <v>890</v>
      </c>
      <c r="CA38" s="1" t="str">
        <f>HYPERLINK("https%3A%2F%2Fwww.webofscience.com%2Fwos%2Fwoscc%2Ffull-record%2FWOS:000797953600029","View Full Record in Web of Science")</f>
        <v>View Full Record in Web of Science</v>
      </c>
    </row>
    <row r="39" s="1" customFormat="1" ht="14.4" spans="1:79">
      <c r="A39">
        <v>38</v>
      </c>
      <c r="B39" s="2" t="s">
        <v>110</v>
      </c>
      <c r="C39" s="1" t="s">
        <v>80</v>
      </c>
      <c r="D39" s="1" t="s">
        <v>891</v>
      </c>
      <c r="E39" s="1" t="s">
        <v>82</v>
      </c>
      <c r="F39" s="1" t="s">
        <v>82</v>
      </c>
      <c r="G39" s="1" t="s">
        <v>82</v>
      </c>
      <c r="H39" s="1" t="s">
        <v>892</v>
      </c>
      <c r="I39" s="1" t="s">
        <v>82</v>
      </c>
      <c r="J39" s="1" t="s">
        <v>82</v>
      </c>
      <c r="K39" s="1" t="s">
        <v>893</v>
      </c>
      <c r="L39" s="1" t="s">
        <v>894</v>
      </c>
      <c r="M39" s="1">
        <v>15.328</v>
      </c>
      <c r="N39" s="2" t="s">
        <v>86</v>
      </c>
      <c r="O39" s="1" t="s">
        <v>82</v>
      </c>
      <c r="P39" s="1" t="s">
        <v>82</v>
      </c>
      <c r="Q39" s="1" t="s">
        <v>87</v>
      </c>
      <c r="R39" s="1" t="s">
        <v>895</v>
      </c>
      <c r="S39" s="1" t="s">
        <v>82</v>
      </c>
      <c r="T39" s="1" t="s">
        <v>82</v>
      </c>
      <c r="U39" s="1" t="s">
        <v>82</v>
      </c>
      <c r="V39" s="1" t="s">
        <v>82</v>
      </c>
      <c r="W39" s="1" t="s">
        <v>82</v>
      </c>
      <c r="X39" s="1" t="s">
        <v>82</v>
      </c>
      <c r="Y39" s="1" t="s">
        <v>82</v>
      </c>
      <c r="Z39" s="1" t="s">
        <v>82</v>
      </c>
      <c r="AA39" s="1">
        <v>1</v>
      </c>
      <c r="AB39" s="1" t="s">
        <v>892</v>
      </c>
      <c r="AC39" s="1" t="s">
        <v>896</v>
      </c>
      <c r="AD39" s="1" t="s">
        <v>93</v>
      </c>
      <c r="AE39" s="1" t="s">
        <v>94</v>
      </c>
      <c r="AF39" s="1" t="s">
        <v>897</v>
      </c>
      <c r="AG39" s="1" t="s">
        <v>898</v>
      </c>
      <c r="AH39" s="1" t="s">
        <v>82</v>
      </c>
      <c r="AI39" s="1" t="s">
        <v>82</v>
      </c>
      <c r="AJ39" s="1" t="s">
        <v>82</v>
      </c>
      <c r="AK39" s="1" t="s">
        <v>82</v>
      </c>
      <c r="AL39" s="1" t="s">
        <v>82</v>
      </c>
      <c r="AM39" s="1" t="s">
        <v>82</v>
      </c>
      <c r="AN39" s="1">
        <v>0</v>
      </c>
      <c r="AO39" s="1">
        <v>0</v>
      </c>
      <c r="AP39" s="1">
        <v>0</v>
      </c>
      <c r="AQ39" s="1">
        <v>2</v>
      </c>
      <c r="AR39" s="1">
        <v>3</v>
      </c>
      <c r="AS39" s="1" t="s">
        <v>215</v>
      </c>
      <c r="AT39" s="1" t="s">
        <v>216</v>
      </c>
      <c r="AU39" s="1" t="s">
        <v>217</v>
      </c>
      <c r="AV39" s="1" t="s">
        <v>899</v>
      </c>
      <c r="AW39" s="1" t="s">
        <v>900</v>
      </c>
      <c r="AX39" s="1" t="s">
        <v>82</v>
      </c>
      <c r="AY39" s="1" t="s">
        <v>901</v>
      </c>
      <c r="AZ39" s="1" t="s">
        <v>902</v>
      </c>
      <c r="BA39" s="1" t="s">
        <v>222</v>
      </c>
      <c r="BB39" s="1">
        <v>2022</v>
      </c>
      <c r="BC39" s="1">
        <v>13</v>
      </c>
      <c r="BD39" s="1">
        <v>9</v>
      </c>
      <c r="BE39" s="1" t="s">
        <v>82</v>
      </c>
      <c r="BF39" s="1" t="s">
        <v>82</v>
      </c>
      <c r="BG39" s="1" t="s">
        <v>82</v>
      </c>
      <c r="BH39" s="1" t="s">
        <v>82</v>
      </c>
      <c r="BI39" s="1">
        <v>627</v>
      </c>
      <c r="BJ39" s="1">
        <v>630</v>
      </c>
      <c r="BK39" s="1" t="s">
        <v>82</v>
      </c>
      <c r="BL39" s="1" t="s">
        <v>903</v>
      </c>
      <c r="BM39" s="1" t="str">
        <f>HYPERLINK("http://dx.doi.org/10.1007/s13238-021-00891-2","http://dx.doi.org/10.1007/s13238-021-00891-2")</f>
        <v>http://dx.doi.org/10.1007/s13238-021-00891-2</v>
      </c>
      <c r="BN39" s="1" t="s">
        <v>82</v>
      </c>
      <c r="BO39" s="1" t="s">
        <v>904</v>
      </c>
      <c r="BP39" s="1">
        <v>4</v>
      </c>
      <c r="BQ39" s="1" t="s">
        <v>905</v>
      </c>
      <c r="BR39" s="1" t="s">
        <v>104</v>
      </c>
      <c r="BS39" s="1" t="s">
        <v>905</v>
      </c>
      <c r="BT39" s="1" t="s">
        <v>906</v>
      </c>
      <c r="BU39" s="1">
        <v>34826063</v>
      </c>
      <c r="BV39" s="1" t="s">
        <v>592</v>
      </c>
      <c r="BW39" s="1" t="s">
        <v>82</v>
      </c>
      <c r="BX39" s="1" t="s">
        <v>82</v>
      </c>
      <c r="BY39" s="1" t="s">
        <v>108</v>
      </c>
      <c r="BZ39" s="1" t="s">
        <v>907</v>
      </c>
      <c r="CA39" s="1" t="str">
        <f>HYPERLINK("https%3A%2F%2Fwww.webofscience.com%2Fwos%2Fwoscc%2Ffull-record%2FWOS:000722786300002","View Full Record in Web of Science")</f>
        <v>View Full Record in Web of Science</v>
      </c>
    </row>
    <row r="40" s="1" customFormat="1" ht="14.4" spans="1:79">
      <c r="A40">
        <v>39</v>
      </c>
      <c r="B40" t="s">
        <v>79</v>
      </c>
      <c r="C40" t="s">
        <v>80</v>
      </c>
      <c r="D40" t="s">
        <v>908</v>
      </c>
      <c r="E40" t="s">
        <v>82</v>
      </c>
      <c r="F40" t="s">
        <v>82</v>
      </c>
      <c r="G40" t="s">
        <v>82</v>
      </c>
      <c r="H40" t="s">
        <v>909</v>
      </c>
      <c r="I40" t="s">
        <v>82</v>
      </c>
      <c r="J40" t="s">
        <v>82</v>
      </c>
      <c r="K40" t="s">
        <v>910</v>
      </c>
      <c r="L40" t="s">
        <v>911</v>
      </c>
      <c r="M40">
        <v>14.98</v>
      </c>
      <c r="N40" t="s">
        <v>86</v>
      </c>
      <c r="O40" t="s">
        <v>82</v>
      </c>
      <c r="P40" t="s">
        <v>82</v>
      </c>
      <c r="Q40" t="s">
        <v>87</v>
      </c>
      <c r="R40" t="s">
        <v>115</v>
      </c>
      <c r="S40" t="s">
        <v>82</v>
      </c>
      <c r="T40" t="s">
        <v>82</v>
      </c>
      <c r="U40" t="s">
        <v>82</v>
      </c>
      <c r="V40" t="s">
        <v>82</v>
      </c>
      <c r="W40" t="s">
        <v>82</v>
      </c>
      <c r="X40" t="s">
        <v>82</v>
      </c>
      <c r="Y40" t="s">
        <v>912</v>
      </c>
      <c r="Z40" t="s">
        <v>913</v>
      </c>
      <c r="AA40"/>
      <c r="AB40" t="s">
        <v>914</v>
      </c>
      <c r="AC40" t="s">
        <v>915</v>
      </c>
      <c r="AD40" s="1" t="s">
        <v>120</v>
      </c>
      <c r="AE40" t="s">
        <v>916</v>
      </c>
      <c r="AF40" t="s">
        <v>917</v>
      </c>
      <c r="AG40" t="s">
        <v>918</v>
      </c>
      <c r="AH40" t="s">
        <v>919</v>
      </c>
      <c r="AI40" t="s">
        <v>920</v>
      </c>
      <c r="AJ40" t="s">
        <v>921</v>
      </c>
      <c r="AK40" t="s">
        <v>922</v>
      </c>
      <c r="AL40" t="s">
        <v>923</v>
      </c>
      <c r="AM40" t="s">
        <v>82</v>
      </c>
      <c r="AN40">
        <v>60</v>
      </c>
      <c r="AO40">
        <v>0</v>
      </c>
      <c r="AP40">
        <v>0</v>
      </c>
      <c r="AQ40">
        <v>13</v>
      </c>
      <c r="AR40">
        <v>13</v>
      </c>
      <c r="AS40" t="s">
        <v>128</v>
      </c>
      <c r="AT40" t="s">
        <v>129</v>
      </c>
      <c r="AU40" t="s">
        <v>130</v>
      </c>
      <c r="AV40" t="s">
        <v>924</v>
      </c>
      <c r="AW40" t="s">
        <v>82</v>
      </c>
      <c r="AX40" t="s">
        <v>82</v>
      </c>
      <c r="AY40" t="s">
        <v>925</v>
      </c>
      <c r="AZ40" t="s">
        <v>926</v>
      </c>
      <c r="BA40" t="s">
        <v>927</v>
      </c>
      <c r="BB40">
        <v>2022</v>
      </c>
      <c r="BC40">
        <v>8</v>
      </c>
      <c r="BD40">
        <v>44</v>
      </c>
      <c r="BE40" t="s">
        <v>82</v>
      </c>
      <c r="BF40" t="s">
        <v>82</v>
      </c>
      <c r="BG40" t="s">
        <v>82</v>
      </c>
      <c r="BH40" t="s">
        <v>82</v>
      </c>
      <c r="BI40" t="s">
        <v>82</v>
      </c>
      <c r="BJ40" t="s">
        <v>82</v>
      </c>
      <c r="BK40" t="s">
        <v>928</v>
      </c>
      <c r="BL40" t="s">
        <v>929</v>
      </c>
      <c r="BM40" t="s">
        <v>930</v>
      </c>
      <c r="BN40" t="s">
        <v>82</v>
      </c>
      <c r="BO40" t="s">
        <v>82</v>
      </c>
      <c r="BP40">
        <v>7</v>
      </c>
      <c r="BQ40" t="s">
        <v>103</v>
      </c>
      <c r="BR40" t="s">
        <v>104</v>
      </c>
      <c r="BS40" t="s">
        <v>105</v>
      </c>
      <c r="BT40" t="s">
        <v>931</v>
      </c>
      <c r="BU40">
        <v>36332015</v>
      </c>
      <c r="BV40" t="s">
        <v>82</v>
      </c>
      <c r="BW40" t="s">
        <v>82</v>
      </c>
      <c r="BX40" t="s">
        <v>82</v>
      </c>
      <c r="BY40" t="s">
        <v>340</v>
      </c>
      <c r="BZ40" t="s">
        <v>932</v>
      </c>
      <c r="CA40" t="s">
        <v>342</v>
      </c>
    </row>
    <row r="41" s="1" customFormat="1" ht="14.4" spans="1:79">
      <c r="A41">
        <v>40</v>
      </c>
      <c r="B41" s="2" t="s">
        <v>79</v>
      </c>
      <c r="C41" s="1" t="s">
        <v>80</v>
      </c>
      <c r="D41" s="1" t="s">
        <v>933</v>
      </c>
      <c r="E41" s="1" t="s">
        <v>82</v>
      </c>
      <c r="F41" s="1" t="s">
        <v>82</v>
      </c>
      <c r="G41" s="1" t="s">
        <v>82</v>
      </c>
      <c r="H41" s="1" t="s">
        <v>934</v>
      </c>
      <c r="I41" s="1" t="s">
        <v>82</v>
      </c>
      <c r="J41" s="1" t="s">
        <v>82</v>
      </c>
      <c r="K41" s="1" t="s">
        <v>935</v>
      </c>
      <c r="L41" s="1" t="s">
        <v>936</v>
      </c>
      <c r="M41" s="1">
        <v>14.944</v>
      </c>
      <c r="N41" s="2" t="s">
        <v>86</v>
      </c>
      <c r="O41" s="1" t="s">
        <v>82</v>
      </c>
      <c r="P41" s="1" t="s">
        <v>82</v>
      </c>
      <c r="Q41" s="1" t="s">
        <v>87</v>
      </c>
      <c r="R41" s="1" t="s">
        <v>88</v>
      </c>
      <c r="S41" s="1" t="s">
        <v>82</v>
      </c>
      <c r="T41" s="1" t="s">
        <v>82</v>
      </c>
      <c r="U41" s="1" t="s">
        <v>82</v>
      </c>
      <c r="V41" s="1" t="s">
        <v>82</v>
      </c>
      <c r="W41" s="1" t="s">
        <v>82</v>
      </c>
      <c r="X41" s="1" t="s">
        <v>82</v>
      </c>
      <c r="Y41" s="1" t="s">
        <v>82</v>
      </c>
      <c r="Z41" s="1" t="s">
        <v>937</v>
      </c>
      <c r="AB41" s="1" t="s">
        <v>938</v>
      </c>
      <c r="AC41" s="1" t="s">
        <v>939</v>
      </c>
      <c r="AD41" s="1" t="s">
        <v>120</v>
      </c>
      <c r="AE41" s="1" t="s">
        <v>940</v>
      </c>
      <c r="AF41" s="1" t="s">
        <v>941</v>
      </c>
      <c r="AG41" s="1" t="s">
        <v>942</v>
      </c>
      <c r="AH41" s="1" t="s">
        <v>943</v>
      </c>
      <c r="AI41" s="1" t="s">
        <v>944</v>
      </c>
      <c r="AJ41" s="1" t="s">
        <v>945</v>
      </c>
      <c r="AK41" s="1" t="s">
        <v>946</v>
      </c>
      <c r="AL41" s="1" t="s">
        <v>947</v>
      </c>
      <c r="AM41" s="1" t="s">
        <v>82</v>
      </c>
      <c r="AN41" s="1">
        <v>18</v>
      </c>
      <c r="AO41" s="1">
        <v>3</v>
      </c>
      <c r="AP41" s="1">
        <v>3</v>
      </c>
      <c r="AQ41" s="1">
        <v>19</v>
      </c>
      <c r="AR41" s="1">
        <v>19</v>
      </c>
      <c r="AS41" s="1" t="s">
        <v>479</v>
      </c>
      <c r="AT41" s="1" t="s">
        <v>480</v>
      </c>
      <c r="AU41" s="1" t="s">
        <v>481</v>
      </c>
      <c r="AV41" s="1" t="s">
        <v>948</v>
      </c>
      <c r="AW41" s="1" t="s">
        <v>949</v>
      </c>
      <c r="AX41" s="1" t="s">
        <v>82</v>
      </c>
      <c r="AY41" s="1" t="s">
        <v>936</v>
      </c>
      <c r="AZ41" s="1" t="s">
        <v>950</v>
      </c>
      <c r="BA41" s="1" t="s">
        <v>951</v>
      </c>
      <c r="BB41" s="1">
        <v>2022</v>
      </c>
      <c r="BC41" s="1">
        <v>5</v>
      </c>
      <c r="BD41" s="1">
        <v>6</v>
      </c>
      <c r="BE41" s="1" t="s">
        <v>82</v>
      </c>
      <c r="BF41" s="1" t="s">
        <v>82</v>
      </c>
      <c r="BG41" s="1" t="s">
        <v>82</v>
      </c>
      <c r="BH41" s="1" t="s">
        <v>82</v>
      </c>
      <c r="BI41" s="1">
        <v>597</v>
      </c>
      <c r="BJ41" s="1">
        <v>603</v>
      </c>
      <c r="BK41" s="1" t="s">
        <v>82</v>
      </c>
      <c r="BL41" s="1" t="s">
        <v>952</v>
      </c>
      <c r="BM41" s="1" t="str">
        <f>HYPERLINK("http://dx.doi.org/10.1016/j.oneear.2022.05.009","http://dx.doi.org/10.1016/j.oneear.2022.05.009")</f>
        <v>http://dx.doi.org/10.1016/j.oneear.2022.05.009</v>
      </c>
      <c r="BN41" s="1" t="s">
        <v>82</v>
      </c>
      <c r="BO41" s="1" t="s">
        <v>82</v>
      </c>
      <c r="BP41" s="1">
        <v>7</v>
      </c>
      <c r="BQ41" s="1" t="s">
        <v>953</v>
      </c>
      <c r="BR41" s="1" t="s">
        <v>544</v>
      </c>
      <c r="BS41" s="1" t="s">
        <v>954</v>
      </c>
      <c r="BT41" s="1" t="s">
        <v>955</v>
      </c>
      <c r="BU41" s="1" t="s">
        <v>82</v>
      </c>
      <c r="BV41" s="1" t="s">
        <v>427</v>
      </c>
      <c r="BW41" s="1" t="s">
        <v>82</v>
      </c>
      <c r="BX41" s="1" t="s">
        <v>82</v>
      </c>
      <c r="BY41" s="1" t="s">
        <v>108</v>
      </c>
      <c r="BZ41" s="1" t="s">
        <v>956</v>
      </c>
      <c r="CA41" s="1" t="str">
        <f>HYPERLINK("https%3A%2F%2Fwww.webofscience.com%2Fwos%2Fwoscc%2Ffull-record%2FWOS:000836485600007","View Full Record in Web of Science")</f>
        <v>View Full Record in Web of Science</v>
      </c>
    </row>
    <row r="42" s="1" customFormat="1" ht="14.4" spans="1:79">
      <c r="A42">
        <v>41</v>
      </c>
      <c r="B42" s="2" t="s">
        <v>110</v>
      </c>
      <c r="C42" s="1" t="s">
        <v>80</v>
      </c>
      <c r="D42" s="1" t="s">
        <v>957</v>
      </c>
      <c r="E42" s="1" t="s">
        <v>82</v>
      </c>
      <c r="F42" s="1" t="s">
        <v>82</v>
      </c>
      <c r="G42" s="1" t="s">
        <v>82</v>
      </c>
      <c r="H42" s="1" t="s">
        <v>958</v>
      </c>
      <c r="I42" s="1" t="s">
        <v>82</v>
      </c>
      <c r="J42" s="1" t="s">
        <v>82</v>
      </c>
      <c r="K42" s="1" t="s">
        <v>959</v>
      </c>
      <c r="L42" s="1" t="s">
        <v>960</v>
      </c>
      <c r="M42" s="1">
        <v>14.907</v>
      </c>
      <c r="N42" s="2" t="s">
        <v>86</v>
      </c>
      <c r="O42" s="1" t="s">
        <v>82</v>
      </c>
      <c r="P42" s="1" t="s">
        <v>82</v>
      </c>
      <c r="Q42" s="1" t="s">
        <v>87</v>
      </c>
      <c r="R42" s="1" t="s">
        <v>115</v>
      </c>
      <c r="S42" s="1" t="s">
        <v>82</v>
      </c>
      <c r="T42" s="1" t="s">
        <v>82</v>
      </c>
      <c r="U42" s="1" t="s">
        <v>82</v>
      </c>
      <c r="V42" s="1" t="s">
        <v>82</v>
      </c>
      <c r="W42" s="1" t="s">
        <v>82</v>
      </c>
      <c r="X42" s="1" t="s">
        <v>961</v>
      </c>
      <c r="Y42" s="1" t="s">
        <v>962</v>
      </c>
      <c r="Z42" s="1" t="s">
        <v>963</v>
      </c>
      <c r="AB42" s="1" t="s">
        <v>964</v>
      </c>
      <c r="AC42" s="1" t="s">
        <v>965</v>
      </c>
      <c r="AD42" s="1" t="s">
        <v>120</v>
      </c>
      <c r="AE42" s="1" t="s">
        <v>966</v>
      </c>
      <c r="AF42" s="1" t="s">
        <v>967</v>
      </c>
      <c r="AG42" s="1" t="s">
        <v>968</v>
      </c>
      <c r="AH42" s="1" t="s">
        <v>969</v>
      </c>
      <c r="AI42" s="1" t="s">
        <v>970</v>
      </c>
      <c r="AJ42" s="1" t="s">
        <v>971</v>
      </c>
      <c r="AK42" s="1" t="s">
        <v>972</v>
      </c>
      <c r="AL42" s="1" t="s">
        <v>973</v>
      </c>
      <c r="AM42" s="1" t="s">
        <v>82</v>
      </c>
      <c r="AN42" s="1">
        <v>30</v>
      </c>
      <c r="AO42" s="1">
        <v>3</v>
      </c>
      <c r="AP42" s="1">
        <v>3</v>
      </c>
      <c r="AQ42" s="1">
        <v>11</v>
      </c>
      <c r="AR42" s="1">
        <v>14</v>
      </c>
      <c r="AS42" s="1" t="s">
        <v>974</v>
      </c>
      <c r="AT42" s="1" t="s">
        <v>975</v>
      </c>
      <c r="AU42" s="1" t="s">
        <v>976</v>
      </c>
      <c r="AV42" s="1" t="s">
        <v>977</v>
      </c>
      <c r="AW42" s="1" t="s">
        <v>978</v>
      </c>
      <c r="AX42" s="1" t="s">
        <v>82</v>
      </c>
      <c r="AY42" s="1" t="s">
        <v>979</v>
      </c>
      <c r="AZ42" s="1" t="s">
        <v>980</v>
      </c>
      <c r="BA42" s="1" t="s">
        <v>245</v>
      </c>
      <c r="BB42" s="1">
        <v>2022</v>
      </c>
      <c r="BC42" s="1">
        <v>12</v>
      </c>
      <c r="BD42" s="1">
        <v>5</v>
      </c>
      <c r="BE42" s="1" t="s">
        <v>82</v>
      </c>
      <c r="BF42" s="1" t="s">
        <v>82</v>
      </c>
      <c r="BG42" s="1" t="s">
        <v>82</v>
      </c>
      <c r="BH42" s="1" t="s">
        <v>82</v>
      </c>
      <c r="BI42" s="1">
        <v>2268</v>
      </c>
      <c r="BJ42" s="1">
        <v>2279</v>
      </c>
      <c r="BK42" s="1" t="s">
        <v>82</v>
      </c>
      <c r="BL42" s="1" t="s">
        <v>981</v>
      </c>
      <c r="BM42" s="1" t="str">
        <f>HYPERLINK("http://dx.doi.org/10.1016/j.apsb.2021.12.024","http://dx.doi.org/10.1016/j.apsb.2021.12.024")</f>
        <v>http://dx.doi.org/10.1016/j.apsb.2021.12.024</v>
      </c>
      <c r="BN42" s="1" t="s">
        <v>82</v>
      </c>
      <c r="BO42" s="1" t="s">
        <v>247</v>
      </c>
      <c r="BP42" s="1">
        <v>12</v>
      </c>
      <c r="BQ42" s="1" t="s">
        <v>982</v>
      </c>
      <c r="BR42" s="1" t="s">
        <v>104</v>
      </c>
      <c r="BS42" s="1" t="s">
        <v>982</v>
      </c>
      <c r="BT42" s="1" t="s">
        <v>983</v>
      </c>
      <c r="BU42" s="1">
        <v>35646538</v>
      </c>
      <c r="BV42" s="1" t="s">
        <v>592</v>
      </c>
      <c r="BW42" s="1" t="s">
        <v>82</v>
      </c>
      <c r="BX42" s="1" t="s">
        <v>82</v>
      </c>
      <c r="BY42" s="1" t="s">
        <v>108</v>
      </c>
      <c r="BZ42" s="1" t="s">
        <v>984</v>
      </c>
      <c r="CA42" s="1" t="str">
        <f>HYPERLINK("https%3A%2F%2Fwww.webofscience.com%2Fwos%2Fwoscc%2Ffull-record%2FWOS:000810889400009","View Full Record in Web of Science")</f>
        <v>View Full Record in Web of Science</v>
      </c>
    </row>
    <row r="43" s="1" customFormat="1" ht="14.4" spans="1:79">
      <c r="A43">
        <v>42</v>
      </c>
      <c r="B43" s="2" t="s">
        <v>79</v>
      </c>
      <c r="C43" s="1" t="s">
        <v>80</v>
      </c>
      <c r="D43" s="1" t="s">
        <v>985</v>
      </c>
      <c r="E43" s="1" t="s">
        <v>82</v>
      </c>
      <c r="F43" s="1" t="s">
        <v>82</v>
      </c>
      <c r="G43" s="1" t="s">
        <v>82</v>
      </c>
      <c r="H43" s="1" t="s">
        <v>986</v>
      </c>
      <c r="I43" s="1" t="s">
        <v>82</v>
      </c>
      <c r="J43" s="1" t="s">
        <v>82</v>
      </c>
      <c r="K43" s="1" t="s">
        <v>987</v>
      </c>
      <c r="L43" s="1" t="s">
        <v>988</v>
      </c>
      <c r="M43" s="1">
        <v>13.212</v>
      </c>
      <c r="N43" s="2" t="s">
        <v>86</v>
      </c>
      <c r="O43" s="1" t="s">
        <v>82</v>
      </c>
      <c r="P43" s="1" t="s">
        <v>82</v>
      </c>
      <c r="Q43" s="1" t="s">
        <v>87</v>
      </c>
      <c r="R43" s="1" t="s">
        <v>115</v>
      </c>
      <c r="S43" s="1" t="s">
        <v>82</v>
      </c>
      <c r="T43" s="1" t="s">
        <v>82</v>
      </c>
      <c r="U43" s="1" t="s">
        <v>82</v>
      </c>
      <c r="V43" s="1" t="s">
        <v>82</v>
      </c>
      <c r="W43" s="1" t="s">
        <v>82</v>
      </c>
      <c r="X43" s="1" t="s">
        <v>989</v>
      </c>
      <c r="Y43" s="1" t="s">
        <v>990</v>
      </c>
      <c r="Z43" s="1" t="s">
        <v>991</v>
      </c>
      <c r="AB43" s="1" t="s">
        <v>992</v>
      </c>
      <c r="AC43" s="1" t="s">
        <v>993</v>
      </c>
      <c r="AD43" s="1" t="s">
        <v>120</v>
      </c>
      <c r="AE43" s="1" t="s">
        <v>994</v>
      </c>
      <c r="AF43" s="1" t="s">
        <v>995</v>
      </c>
      <c r="AG43" s="1" t="s">
        <v>996</v>
      </c>
      <c r="AH43" s="1" t="s">
        <v>997</v>
      </c>
      <c r="AI43" s="1" t="s">
        <v>998</v>
      </c>
      <c r="AJ43" s="1" t="s">
        <v>999</v>
      </c>
      <c r="AK43" s="1" t="s">
        <v>1000</v>
      </c>
      <c r="AL43" s="1" t="s">
        <v>1001</v>
      </c>
      <c r="AM43" s="1" t="s">
        <v>82</v>
      </c>
      <c r="AN43" s="1">
        <v>90</v>
      </c>
      <c r="AO43" s="1">
        <v>4</v>
      </c>
      <c r="AP43" s="1">
        <v>4</v>
      </c>
      <c r="AQ43" s="1">
        <v>68</v>
      </c>
      <c r="AR43" s="1">
        <v>68</v>
      </c>
      <c r="AS43" s="1" t="s">
        <v>1002</v>
      </c>
      <c r="AT43" s="1" t="s">
        <v>1003</v>
      </c>
      <c r="AU43" s="1" t="s">
        <v>1004</v>
      </c>
      <c r="AV43" s="1" t="s">
        <v>1005</v>
      </c>
      <c r="AW43" s="1" t="s">
        <v>1006</v>
      </c>
      <c r="AX43" s="1" t="s">
        <v>82</v>
      </c>
      <c r="AY43" s="1" t="s">
        <v>1007</v>
      </c>
      <c r="AZ43" s="1" t="s">
        <v>1008</v>
      </c>
      <c r="BA43" s="1" t="s">
        <v>486</v>
      </c>
      <c r="BB43" s="1">
        <v>2022</v>
      </c>
      <c r="BC43" s="1">
        <v>28</v>
      </c>
      <c r="BD43" s="1">
        <v>22</v>
      </c>
      <c r="BE43" s="1" t="s">
        <v>82</v>
      </c>
      <c r="BF43" s="1" t="s">
        <v>82</v>
      </c>
      <c r="BG43" s="1" t="s">
        <v>82</v>
      </c>
      <c r="BH43" s="1" t="s">
        <v>82</v>
      </c>
      <c r="BI43" s="1">
        <v>6696</v>
      </c>
      <c r="BJ43" s="1">
        <v>6710</v>
      </c>
      <c r="BK43" s="1" t="s">
        <v>82</v>
      </c>
      <c r="BL43" s="1" t="s">
        <v>1009</v>
      </c>
      <c r="BM43" s="1" t="str">
        <f>HYPERLINK("http://dx.doi.org/10.1111/gcb.16398","http://dx.doi.org/10.1111/gcb.16398")</f>
        <v>http://dx.doi.org/10.1111/gcb.16398</v>
      </c>
      <c r="BN43" s="1" t="s">
        <v>82</v>
      </c>
      <c r="BO43" s="1" t="s">
        <v>224</v>
      </c>
      <c r="BP43" s="1">
        <v>15</v>
      </c>
      <c r="BQ43" s="1" t="s">
        <v>1010</v>
      </c>
      <c r="BR43" s="1" t="s">
        <v>104</v>
      </c>
      <c r="BS43" s="1" t="s">
        <v>1011</v>
      </c>
      <c r="BT43" s="1" t="s">
        <v>1012</v>
      </c>
      <c r="BU43" s="1">
        <v>36056462</v>
      </c>
      <c r="BV43" s="1" t="s">
        <v>82</v>
      </c>
      <c r="BW43" s="1" t="s">
        <v>82</v>
      </c>
      <c r="BX43" s="1" t="s">
        <v>82</v>
      </c>
      <c r="BY43" s="1" t="s">
        <v>108</v>
      </c>
      <c r="BZ43" s="1" t="s">
        <v>1013</v>
      </c>
      <c r="CA43" s="1" t="str">
        <f>HYPERLINK("https%3A%2F%2Fwww.webofscience.com%2Fwos%2Fwoscc%2Ffull-record%2FWOS:000849544200001","View Full Record in Web of Science")</f>
        <v>View Full Record in Web of Science</v>
      </c>
    </row>
    <row r="44" s="1" customFormat="1" ht="14.4" spans="1:79">
      <c r="A44">
        <v>43</v>
      </c>
      <c r="B44" s="2" t="s">
        <v>79</v>
      </c>
      <c r="C44" s="1" t="s">
        <v>80</v>
      </c>
      <c r="D44" s="1" t="s">
        <v>1014</v>
      </c>
      <c r="E44" s="1" t="s">
        <v>82</v>
      </c>
      <c r="F44" s="1" t="s">
        <v>82</v>
      </c>
      <c r="G44" s="1" t="s">
        <v>82</v>
      </c>
      <c r="H44" s="1" t="s">
        <v>1015</v>
      </c>
      <c r="I44" s="1" t="s">
        <v>82</v>
      </c>
      <c r="J44" s="1" t="s">
        <v>82</v>
      </c>
      <c r="K44" s="1" t="s">
        <v>1016</v>
      </c>
      <c r="L44" s="1" t="s">
        <v>1017</v>
      </c>
      <c r="M44" s="1">
        <v>12.779</v>
      </c>
      <c r="N44" s="1" t="s">
        <v>86</v>
      </c>
      <c r="O44" s="1" t="s">
        <v>82</v>
      </c>
      <c r="Q44" s="1" t="s">
        <v>87</v>
      </c>
      <c r="R44" s="1" t="s">
        <v>115</v>
      </c>
      <c r="S44" s="1" t="s">
        <v>82</v>
      </c>
      <c r="T44" s="1" t="s">
        <v>82</v>
      </c>
      <c r="U44" s="1" t="s">
        <v>82</v>
      </c>
      <c r="V44" s="1" t="s">
        <v>82</v>
      </c>
      <c r="W44" s="1" t="s">
        <v>82</v>
      </c>
      <c r="X44" s="1" t="s">
        <v>1018</v>
      </c>
      <c r="Y44" s="1" t="s">
        <v>1019</v>
      </c>
      <c r="Z44" s="1" t="s">
        <v>1020</v>
      </c>
      <c r="AB44" s="3" t="s">
        <v>1021</v>
      </c>
      <c r="AC44" s="3" t="s">
        <v>1022</v>
      </c>
      <c r="AD44" s="1" t="s">
        <v>120</v>
      </c>
      <c r="AE44" s="1" t="s">
        <v>1023</v>
      </c>
      <c r="AF44" s="1" t="s">
        <v>1024</v>
      </c>
      <c r="AG44" s="1" t="s">
        <v>1025</v>
      </c>
      <c r="AH44" s="1" t="s">
        <v>82</v>
      </c>
      <c r="AI44" s="1" t="s">
        <v>1026</v>
      </c>
      <c r="AJ44" s="1" t="s">
        <v>1027</v>
      </c>
      <c r="AK44" s="1" t="s">
        <v>1028</v>
      </c>
      <c r="AL44" s="1" t="s">
        <v>1029</v>
      </c>
      <c r="AM44" s="1" t="s">
        <v>82</v>
      </c>
      <c r="AN44" s="1">
        <v>77</v>
      </c>
      <c r="AO44" s="1">
        <v>0</v>
      </c>
      <c r="AP44" s="1">
        <v>0</v>
      </c>
      <c r="AQ44" s="1">
        <v>12</v>
      </c>
      <c r="AR44" s="1">
        <v>12</v>
      </c>
      <c r="AS44" s="1" t="s">
        <v>1030</v>
      </c>
      <c r="AT44" s="1" t="s">
        <v>129</v>
      </c>
      <c r="AU44" s="1" t="s">
        <v>1031</v>
      </c>
      <c r="AV44" s="1" t="s">
        <v>1032</v>
      </c>
      <c r="AW44" s="1" t="s">
        <v>1033</v>
      </c>
      <c r="AX44" s="1" t="s">
        <v>82</v>
      </c>
      <c r="AY44" s="1" t="s">
        <v>1034</v>
      </c>
      <c r="AZ44" s="1" t="s">
        <v>1035</v>
      </c>
      <c r="BA44" s="1" t="s">
        <v>1036</v>
      </c>
      <c r="BB44" s="1">
        <v>2022</v>
      </c>
      <c r="BC44" s="1">
        <v>119</v>
      </c>
      <c r="BD44" s="1">
        <v>43</v>
      </c>
      <c r="BE44" s="1" t="s">
        <v>82</v>
      </c>
      <c r="BF44" s="1" t="s">
        <v>82</v>
      </c>
      <c r="BG44" s="1" t="s">
        <v>82</v>
      </c>
      <c r="BH44" s="1" t="s">
        <v>82</v>
      </c>
      <c r="BI44" s="1" t="s">
        <v>82</v>
      </c>
      <c r="BJ44" s="1" t="s">
        <v>82</v>
      </c>
      <c r="BK44" s="1" t="s">
        <v>1037</v>
      </c>
      <c r="BL44" s="1" t="s">
        <v>1038</v>
      </c>
      <c r="BM44" s="1" t="s">
        <v>1039</v>
      </c>
      <c r="BN44" s="1" t="s">
        <v>82</v>
      </c>
      <c r="BO44" s="1" t="s">
        <v>82</v>
      </c>
      <c r="BP44" s="1">
        <v>12</v>
      </c>
      <c r="BQ44" s="1" t="s">
        <v>103</v>
      </c>
      <c r="BR44" s="1" t="s">
        <v>104</v>
      </c>
      <c r="BS44" s="1" t="s">
        <v>105</v>
      </c>
      <c r="BT44" s="1" t="s">
        <v>1040</v>
      </c>
      <c r="BU44" s="1">
        <v>36260744</v>
      </c>
      <c r="BV44" s="1" t="s">
        <v>82</v>
      </c>
      <c r="BW44" s="1" t="s">
        <v>82</v>
      </c>
      <c r="BX44" s="1" t="s">
        <v>82</v>
      </c>
      <c r="BY44" s="1" t="s">
        <v>771</v>
      </c>
      <c r="BZ44" s="1" t="s">
        <v>1041</v>
      </c>
      <c r="CA44" s="1" t="s">
        <v>342</v>
      </c>
    </row>
    <row r="45" s="1" customFormat="1" ht="14.4" spans="1:79">
      <c r="A45">
        <v>44</v>
      </c>
      <c r="B45" s="2" t="s">
        <v>79</v>
      </c>
      <c r="C45" s="1" t="s">
        <v>80</v>
      </c>
      <c r="D45" s="1" t="s">
        <v>1042</v>
      </c>
      <c r="E45" s="1" t="s">
        <v>82</v>
      </c>
      <c r="F45" s="1" t="s">
        <v>82</v>
      </c>
      <c r="G45" s="1" t="s">
        <v>82</v>
      </c>
      <c r="H45" s="1" t="s">
        <v>1043</v>
      </c>
      <c r="I45" s="1" t="s">
        <v>82</v>
      </c>
      <c r="J45" s="1" t="s">
        <v>82</v>
      </c>
      <c r="K45" s="1" t="s">
        <v>1044</v>
      </c>
      <c r="L45" s="1" t="s">
        <v>1017</v>
      </c>
      <c r="M45" s="1">
        <v>12.779</v>
      </c>
      <c r="N45" s="2" t="s">
        <v>86</v>
      </c>
      <c r="O45" s="1" t="s">
        <v>82</v>
      </c>
      <c r="P45" s="1" t="s">
        <v>82</v>
      </c>
      <c r="Q45" s="1" t="s">
        <v>87</v>
      </c>
      <c r="R45" s="1" t="s">
        <v>115</v>
      </c>
      <c r="S45" s="1" t="s">
        <v>82</v>
      </c>
      <c r="T45" s="1" t="s">
        <v>82</v>
      </c>
      <c r="U45" s="1" t="s">
        <v>82</v>
      </c>
      <c r="V45" s="1" t="s">
        <v>82</v>
      </c>
      <c r="W45" s="1" t="s">
        <v>82</v>
      </c>
      <c r="X45" s="1" t="s">
        <v>1045</v>
      </c>
      <c r="Y45" s="1" t="s">
        <v>1046</v>
      </c>
      <c r="Z45" s="1" t="s">
        <v>1047</v>
      </c>
      <c r="AA45" s="1">
        <v>1</v>
      </c>
      <c r="AB45" s="1" t="s">
        <v>1048</v>
      </c>
      <c r="AC45" s="1" t="s">
        <v>1049</v>
      </c>
      <c r="AD45" s="1" t="s">
        <v>93</v>
      </c>
      <c r="AE45" s="1" t="s">
        <v>1050</v>
      </c>
      <c r="AF45" s="1" t="s">
        <v>1051</v>
      </c>
      <c r="AG45" s="1" t="s">
        <v>1052</v>
      </c>
      <c r="AH45" s="1" t="s">
        <v>82</v>
      </c>
      <c r="AI45" s="1" t="s">
        <v>1053</v>
      </c>
      <c r="AJ45" s="1" t="s">
        <v>1054</v>
      </c>
      <c r="AK45" s="1" t="s">
        <v>1055</v>
      </c>
      <c r="AL45" s="1" t="s">
        <v>1056</v>
      </c>
      <c r="AM45" s="1" t="s">
        <v>82</v>
      </c>
      <c r="AN45" s="1">
        <v>69</v>
      </c>
      <c r="AO45" s="1">
        <v>2</v>
      </c>
      <c r="AP45" s="1">
        <v>2</v>
      </c>
      <c r="AQ45" s="1">
        <v>15</v>
      </c>
      <c r="AR45" s="1">
        <v>22</v>
      </c>
      <c r="AS45" s="1" t="s">
        <v>1030</v>
      </c>
      <c r="AT45" s="1" t="s">
        <v>129</v>
      </c>
      <c r="AU45" s="1" t="s">
        <v>1031</v>
      </c>
      <c r="AV45" s="1" t="s">
        <v>1032</v>
      </c>
      <c r="AW45" s="1" t="s">
        <v>1033</v>
      </c>
      <c r="AX45" s="1" t="s">
        <v>82</v>
      </c>
      <c r="AY45" s="1" t="s">
        <v>1034</v>
      </c>
      <c r="AZ45" s="1" t="s">
        <v>1035</v>
      </c>
      <c r="BA45" s="1" t="s">
        <v>1057</v>
      </c>
      <c r="BB45" s="1">
        <v>2022</v>
      </c>
      <c r="BC45" s="1">
        <v>119</v>
      </c>
      <c r="BD45" s="1">
        <v>20</v>
      </c>
      <c r="BE45" s="1" t="s">
        <v>82</v>
      </c>
      <c r="BF45" s="1" t="s">
        <v>82</v>
      </c>
      <c r="BG45" s="1" t="s">
        <v>82</v>
      </c>
      <c r="BH45" s="1" t="s">
        <v>82</v>
      </c>
      <c r="BI45" s="1" t="s">
        <v>82</v>
      </c>
      <c r="BJ45" s="1" t="s">
        <v>82</v>
      </c>
      <c r="BK45" s="1" t="s">
        <v>1058</v>
      </c>
      <c r="BL45" s="1" t="s">
        <v>1059</v>
      </c>
      <c r="BM45" s="1" t="str">
        <f>HYPERLINK("http://dx.doi.org/10.1073/pnas.2201113119","http://dx.doi.org/10.1073/pnas.2201113119")</f>
        <v>http://dx.doi.org/10.1073/pnas.2201113119</v>
      </c>
      <c r="BN45" s="1" t="s">
        <v>82</v>
      </c>
      <c r="BO45" s="1" t="s">
        <v>82</v>
      </c>
      <c r="BP45" s="1">
        <v>11</v>
      </c>
      <c r="BQ45" s="1" t="s">
        <v>103</v>
      </c>
      <c r="BR45" s="1" t="s">
        <v>104</v>
      </c>
      <c r="BS45" s="1" t="s">
        <v>105</v>
      </c>
      <c r="BT45" s="1" t="s">
        <v>1060</v>
      </c>
      <c r="BU45" s="1">
        <v>35533275</v>
      </c>
      <c r="BV45" s="1" t="s">
        <v>227</v>
      </c>
      <c r="BW45" s="1" t="s">
        <v>82</v>
      </c>
      <c r="BX45" s="1" t="s">
        <v>82</v>
      </c>
      <c r="BY45" s="1" t="s">
        <v>108</v>
      </c>
      <c r="BZ45" s="1" t="s">
        <v>1061</v>
      </c>
      <c r="CA45" s="1" t="str">
        <f>HYPERLINK("https%3A%2F%2Fwww.webofscience.com%2Fwos%2Fwoscc%2Ffull-record%2FWOS:000873140100013","View Full Record in Web of Science")</f>
        <v>View Full Record in Web of Science</v>
      </c>
    </row>
    <row r="46" s="1" customFormat="1" ht="14.4" spans="1:79">
      <c r="A46">
        <v>45</v>
      </c>
      <c r="B46" s="2" t="s">
        <v>79</v>
      </c>
      <c r="C46" s="1" t="s">
        <v>80</v>
      </c>
      <c r="D46" s="1" t="s">
        <v>468</v>
      </c>
      <c r="E46" s="1" t="s">
        <v>82</v>
      </c>
      <c r="F46" s="1" t="s">
        <v>82</v>
      </c>
      <c r="G46" s="1" t="s">
        <v>82</v>
      </c>
      <c r="H46" s="1" t="s">
        <v>469</v>
      </c>
      <c r="I46" s="1" t="s">
        <v>82</v>
      </c>
      <c r="J46" s="1" t="s">
        <v>82</v>
      </c>
      <c r="K46" s="1" t="s">
        <v>1062</v>
      </c>
      <c r="L46" s="1" t="s">
        <v>1063</v>
      </c>
      <c r="M46" s="1">
        <v>12.085</v>
      </c>
      <c r="N46" s="2" t="s">
        <v>86</v>
      </c>
      <c r="O46" s="1" t="s">
        <v>82</v>
      </c>
      <c r="P46" s="1" t="s">
        <v>82</v>
      </c>
      <c r="Q46" s="1" t="s">
        <v>87</v>
      </c>
      <c r="R46" s="1" t="s">
        <v>88</v>
      </c>
      <c r="S46" s="1" t="s">
        <v>82</v>
      </c>
      <c r="T46" s="1" t="s">
        <v>82</v>
      </c>
      <c r="U46" s="1" t="s">
        <v>82</v>
      </c>
      <c r="V46" s="1" t="s">
        <v>82</v>
      </c>
      <c r="W46" s="1" t="s">
        <v>82</v>
      </c>
      <c r="X46" s="1" t="s">
        <v>82</v>
      </c>
      <c r="Y46" s="1" t="s">
        <v>1064</v>
      </c>
      <c r="Z46" s="1" t="s">
        <v>82</v>
      </c>
      <c r="AA46" s="1">
        <v>1</v>
      </c>
      <c r="AB46" s="1" t="s">
        <v>469</v>
      </c>
      <c r="AC46" s="1" t="s">
        <v>473</v>
      </c>
      <c r="AD46" s="1" t="s">
        <v>93</v>
      </c>
      <c r="AE46" s="1" t="s">
        <v>94</v>
      </c>
      <c r="AF46" s="1" t="s">
        <v>474</v>
      </c>
      <c r="AG46" s="1" t="s">
        <v>1065</v>
      </c>
      <c r="AH46" s="1" t="s">
        <v>82</v>
      </c>
      <c r="AI46" s="1" t="s">
        <v>476</v>
      </c>
      <c r="AJ46" s="1" t="s">
        <v>1066</v>
      </c>
      <c r="AK46" s="1" t="s">
        <v>1066</v>
      </c>
      <c r="AL46" s="1" t="s">
        <v>1067</v>
      </c>
      <c r="AM46" s="1" t="s">
        <v>82</v>
      </c>
      <c r="AN46" s="1">
        <v>6</v>
      </c>
      <c r="AO46" s="1">
        <v>0</v>
      </c>
      <c r="AP46" s="1">
        <v>0</v>
      </c>
      <c r="AQ46" s="1">
        <v>6</v>
      </c>
      <c r="AR46" s="1">
        <v>6</v>
      </c>
      <c r="AS46" s="1" t="s">
        <v>1068</v>
      </c>
      <c r="AT46" s="1" t="s">
        <v>1069</v>
      </c>
      <c r="AU46" s="1" t="s">
        <v>1070</v>
      </c>
      <c r="AV46" s="1" t="s">
        <v>1071</v>
      </c>
      <c r="AW46" s="1" t="s">
        <v>1072</v>
      </c>
      <c r="AX46" s="1" t="s">
        <v>82</v>
      </c>
      <c r="AY46" s="1" t="s">
        <v>1063</v>
      </c>
      <c r="AZ46" s="1" t="s">
        <v>1073</v>
      </c>
      <c r="BA46" s="1" t="s">
        <v>1074</v>
      </c>
      <c r="BB46" s="1">
        <v>2022</v>
      </c>
      <c r="BC46" s="1">
        <v>34</v>
      </c>
      <c r="BD46" s="1">
        <v>11</v>
      </c>
      <c r="BE46" s="1" t="s">
        <v>82</v>
      </c>
      <c r="BF46" s="1" t="s">
        <v>82</v>
      </c>
      <c r="BG46" s="1" t="s">
        <v>82</v>
      </c>
      <c r="BH46" s="1" t="s">
        <v>82</v>
      </c>
      <c r="BI46" s="1">
        <v>4122</v>
      </c>
      <c r="BJ46" s="1">
        <v>4123</v>
      </c>
      <c r="BK46" s="1" t="s">
        <v>82</v>
      </c>
      <c r="BL46" s="1" t="s">
        <v>1075</v>
      </c>
      <c r="BM46" s="1" t="str">
        <f>HYPERLINK("http://dx.doi.org/10.1093/plcell/koac259","http://dx.doi.org/10.1093/plcell/koac259")</f>
        <v>http://dx.doi.org/10.1093/plcell/koac259</v>
      </c>
      <c r="BN46" s="1" t="s">
        <v>82</v>
      </c>
      <c r="BO46" s="1" t="s">
        <v>424</v>
      </c>
      <c r="BP46" s="1">
        <v>2</v>
      </c>
      <c r="BQ46" s="1" t="s">
        <v>1076</v>
      </c>
      <c r="BR46" s="1" t="s">
        <v>104</v>
      </c>
      <c r="BS46" s="1" t="s">
        <v>1076</v>
      </c>
      <c r="BT46" s="1" t="s">
        <v>1077</v>
      </c>
      <c r="BU46" s="1">
        <v>35977392</v>
      </c>
      <c r="BV46" s="1" t="s">
        <v>107</v>
      </c>
      <c r="BW46" s="1" t="s">
        <v>82</v>
      </c>
      <c r="BX46" s="1" t="s">
        <v>82</v>
      </c>
      <c r="BY46" s="1" t="s">
        <v>108</v>
      </c>
      <c r="BZ46" s="1" t="s">
        <v>1078</v>
      </c>
      <c r="CA46" s="1" t="str">
        <f>HYPERLINK("https%3A%2F%2Fwww.webofscience.com%2Fwos%2Fwoscc%2Ffull-record%2FWOS:000843183000001","View Full Record in Web of Science")</f>
        <v>View Full Record in Web of Science</v>
      </c>
    </row>
    <row r="47" s="1" customFormat="1" ht="14.4" spans="1:79">
      <c r="A47">
        <v>46</v>
      </c>
      <c r="B47" s="2" t="s">
        <v>79</v>
      </c>
      <c r="C47" s="1" t="s">
        <v>80</v>
      </c>
      <c r="D47" s="1" t="s">
        <v>1079</v>
      </c>
      <c r="E47" s="1" t="s">
        <v>82</v>
      </c>
      <c r="F47" s="1" t="s">
        <v>82</v>
      </c>
      <c r="G47" s="1" t="s">
        <v>82</v>
      </c>
      <c r="H47" s="1" t="s">
        <v>1080</v>
      </c>
      <c r="I47" s="1" t="s">
        <v>82</v>
      </c>
      <c r="J47" s="1" t="s">
        <v>82</v>
      </c>
      <c r="K47" s="1" t="s">
        <v>1081</v>
      </c>
      <c r="L47" s="1" t="s">
        <v>1063</v>
      </c>
      <c r="M47" s="1">
        <v>12.085</v>
      </c>
      <c r="N47" s="2" t="s">
        <v>86</v>
      </c>
      <c r="O47" s="1" t="s">
        <v>82</v>
      </c>
      <c r="P47" s="1" t="s">
        <v>82</v>
      </c>
      <c r="Q47" s="1" t="s">
        <v>87</v>
      </c>
      <c r="R47" s="1" t="s">
        <v>115</v>
      </c>
      <c r="S47" s="1" t="s">
        <v>82</v>
      </c>
      <c r="T47" s="1" t="s">
        <v>82</v>
      </c>
      <c r="U47" s="1" t="s">
        <v>82</v>
      </c>
      <c r="V47" s="1" t="s">
        <v>82</v>
      </c>
      <c r="W47" s="1" t="s">
        <v>82</v>
      </c>
      <c r="X47" s="1" t="s">
        <v>82</v>
      </c>
      <c r="Y47" s="1" t="s">
        <v>1082</v>
      </c>
      <c r="Z47" s="1" t="s">
        <v>1083</v>
      </c>
      <c r="AB47" s="1" t="s">
        <v>1084</v>
      </c>
      <c r="AC47" s="1" t="s">
        <v>1085</v>
      </c>
      <c r="AD47" s="1" t="s">
        <v>120</v>
      </c>
      <c r="AE47" s="1" t="s">
        <v>1086</v>
      </c>
      <c r="AF47" s="1" t="s">
        <v>1087</v>
      </c>
      <c r="AG47" s="1" t="s">
        <v>1088</v>
      </c>
      <c r="AH47" s="1" t="s">
        <v>1089</v>
      </c>
      <c r="AI47" s="1" t="s">
        <v>1090</v>
      </c>
      <c r="AJ47" s="1" t="s">
        <v>1091</v>
      </c>
      <c r="AK47" s="1" t="s">
        <v>1092</v>
      </c>
      <c r="AL47" s="1" t="s">
        <v>1093</v>
      </c>
      <c r="AM47" s="1" t="s">
        <v>82</v>
      </c>
      <c r="AN47" s="1">
        <v>60</v>
      </c>
      <c r="AO47" s="1">
        <v>5</v>
      </c>
      <c r="AP47" s="1">
        <v>5</v>
      </c>
      <c r="AQ47" s="1">
        <v>11</v>
      </c>
      <c r="AR47" s="1">
        <v>21</v>
      </c>
      <c r="AS47" s="1" t="s">
        <v>1068</v>
      </c>
      <c r="AT47" s="1" t="s">
        <v>1069</v>
      </c>
      <c r="AU47" s="1" t="s">
        <v>1070</v>
      </c>
      <c r="AV47" s="1" t="s">
        <v>1071</v>
      </c>
      <c r="AW47" s="1" t="s">
        <v>1072</v>
      </c>
      <c r="AX47" s="1" t="s">
        <v>82</v>
      </c>
      <c r="AY47" s="1" t="s">
        <v>1063</v>
      </c>
      <c r="AZ47" s="1" t="s">
        <v>1073</v>
      </c>
      <c r="BA47" s="1" t="s">
        <v>1094</v>
      </c>
      <c r="BB47" s="1">
        <v>2022</v>
      </c>
      <c r="BC47" s="1">
        <v>34</v>
      </c>
      <c r="BD47" s="1">
        <v>2</v>
      </c>
      <c r="BE47" s="1" t="s">
        <v>82</v>
      </c>
      <c r="BF47" s="1" t="s">
        <v>82</v>
      </c>
      <c r="BG47" s="1" t="s">
        <v>82</v>
      </c>
      <c r="BH47" s="1" t="s">
        <v>82</v>
      </c>
      <c r="BI47" s="1">
        <v>802</v>
      </c>
      <c r="BJ47" s="1">
        <v>817</v>
      </c>
      <c r="BK47" s="1" t="s">
        <v>82</v>
      </c>
      <c r="BL47" s="1" t="s">
        <v>1095</v>
      </c>
      <c r="BM47" s="1" t="str">
        <f>HYPERLINK("http://dx.doi.org/10.1093/plcell/koab291","http://dx.doi.org/10.1093/plcell/koab291")</f>
        <v>http://dx.doi.org/10.1093/plcell/koab291</v>
      </c>
      <c r="BN47" s="1" t="s">
        <v>82</v>
      </c>
      <c r="BO47" s="1" t="s">
        <v>82</v>
      </c>
      <c r="BP47" s="1">
        <v>16</v>
      </c>
      <c r="BQ47" s="1" t="s">
        <v>1076</v>
      </c>
      <c r="BR47" s="1" t="s">
        <v>104</v>
      </c>
      <c r="BS47" s="1" t="s">
        <v>1076</v>
      </c>
      <c r="BT47" s="1" t="s">
        <v>1096</v>
      </c>
      <c r="BU47" s="1">
        <v>34875081</v>
      </c>
      <c r="BV47" s="1" t="s">
        <v>1097</v>
      </c>
      <c r="BW47" s="1" t="s">
        <v>82</v>
      </c>
      <c r="BX47" s="1" t="s">
        <v>82</v>
      </c>
      <c r="BY47" s="1" t="s">
        <v>108</v>
      </c>
      <c r="BZ47" s="1" t="s">
        <v>1098</v>
      </c>
      <c r="CA47" s="1" t="str">
        <f>HYPERLINK("https%3A%2F%2Fwww.webofscience.com%2Fwos%2Fwoscc%2Ffull-record%2FWOS:000761460300012","View Full Record in Web of Science")</f>
        <v>View Full Record in Web of Science</v>
      </c>
    </row>
    <row r="48" s="1" customFormat="1" ht="14.4" spans="1:79">
      <c r="A48">
        <v>47</v>
      </c>
      <c r="B48" s="2" t="s">
        <v>79</v>
      </c>
      <c r="C48" s="1" t="s">
        <v>80</v>
      </c>
      <c r="D48" s="1" t="s">
        <v>1099</v>
      </c>
      <c r="E48" s="1" t="s">
        <v>82</v>
      </c>
      <c r="F48" s="1" t="s">
        <v>82</v>
      </c>
      <c r="G48" s="1" t="s">
        <v>82</v>
      </c>
      <c r="H48" s="1" t="s">
        <v>1100</v>
      </c>
      <c r="I48" s="1" t="s">
        <v>82</v>
      </c>
      <c r="J48" s="1" t="s">
        <v>82</v>
      </c>
      <c r="K48" s="1" t="s">
        <v>1101</v>
      </c>
      <c r="L48" s="1" t="s">
        <v>1102</v>
      </c>
      <c r="M48" s="1">
        <v>12.038</v>
      </c>
      <c r="N48" s="2" t="s">
        <v>86</v>
      </c>
      <c r="O48" s="1" t="s">
        <v>82</v>
      </c>
      <c r="P48" s="1" t="s">
        <v>82</v>
      </c>
      <c r="Q48" s="1" t="s">
        <v>87</v>
      </c>
      <c r="R48" s="1" t="s">
        <v>115</v>
      </c>
      <c r="S48" s="1" t="s">
        <v>82</v>
      </c>
      <c r="T48" s="1" t="s">
        <v>82</v>
      </c>
      <c r="U48" s="1" t="s">
        <v>82</v>
      </c>
      <c r="V48" s="1" t="s">
        <v>82</v>
      </c>
      <c r="W48" s="1" t="s">
        <v>82</v>
      </c>
      <c r="X48" s="1" t="s">
        <v>1103</v>
      </c>
      <c r="Y48" s="1" t="s">
        <v>1104</v>
      </c>
      <c r="Z48" s="1" t="s">
        <v>1105</v>
      </c>
      <c r="AB48" s="1" t="s">
        <v>1106</v>
      </c>
      <c r="AC48" s="1" t="s">
        <v>1107</v>
      </c>
      <c r="AD48" s="1" t="s">
        <v>120</v>
      </c>
      <c r="AE48" s="1" t="s">
        <v>1108</v>
      </c>
      <c r="AF48" s="1" t="s">
        <v>1109</v>
      </c>
      <c r="AG48" s="1" t="s">
        <v>1110</v>
      </c>
      <c r="AH48" s="1" t="s">
        <v>1111</v>
      </c>
      <c r="AI48" s="1" t="s">
        <v>1112</v>
      </c>
      <c r="AJ48" s="1" t="s">
        <v>1113</v>
      </c>
      <c r="AK48" s="1" t="s">
        <v>1114</v>
      </c>
      <c r="AL48" s="1" t="s">
        <v>1115</v>
      </c>
      <c r="AM48" s="1" t="s">
        <v>82</v>
      </c>
      <c r="AN48" s="1">
        <v>218</v>
      </c>
      <c r="AO48" s="1">
        <v>1</v>
      </c>
      <c r="AP48" s="1">
        <v>1</v>
      </c>
      <c r="AQ48" s="1">
        <v>24</v>
      </c>
      <c r="AR48" s="1">
        <v>24</v>
      </c>
      <c r="AS48" s="1" t="s">
        <v>479</v>
      </c>
      <c r="AT48" s="1" t="s">
        <v>480</v>
      </c>
      <c r="AU48" s="1" t="s">
        <v>481</v>
      </c>
      <c r="AV48" s="1" t="s">
        <v>1116</v>
      </c>
      <c r="AW48" s="1" t="s">
        <v>1117</v>
      </c>
      <c r="AX48" s="1" t="s">
        <v>82</v>
      </c>
      <c r="AY48" s="1" t="s">
        <v>1118</v>
      </c>
      <c r="AZ48" s="1" t="s">
        <v>1119</v>
      </c>
      <c r="BA48" s="1" t="s">
        <v>486</v>
      </c>
      <c r="BB48" s="1">
        <v>2022</v>
      </c>
      <c r="BC48" s="1">
        <v>234</v>
      </c>
      <c r="BD48" s="1" t="s">
        <v>82</v>
      </c>
      <c r="BE48" s="1" t="s">
        <v>82</v>
      </c>
      <c r="BF48" s="1" t="s">
        <v>82</v>
      </c>
      <c r="BG48" s="1" t="s">
        <v>82</v>
      </c>
      <c r="BH48" s="1" t="s">
        <v>82</v>
      </c>
      <c r="BI48" s="1" t="s">
        <v>82</v>
      </c>
      <c r="BJ48" s="1" t="s">
        <v>82</v>
      </c>
      <c r="BK48" s="1">
        <v>104197</v>
      </c>
      <c r="BL48" s="1" t="s">
        <v>1120</v>
      </c>
      <c r="BM48" s="1" t="str">
        <f>HYPERLINK("http://dx.doi.org/10.1016/j.earscirev.2022.104197","http://dx.doi.org/10.1016/j.earscirev.2022.104197")</f>
        <v>http://dx.doi.org/10.1016/j.earscirev.2022.104197</v>
      </c>
      <c r="BN48" s="1" t="s">
        <v>82</v>
      </c>
      <c r="BO48" s="1" t="s">
        <v>82</v>
      </c>
      <c r="BP48" s="1">
        <v>20</v>
      </c>
      <c r="BQ48" s="1" t="s">
        <v>1121</v>
      </c>
      <c r="BR48" s="1" t="s">
        <v>104</v>
      </c>
      <c r="BS48" s="1" t="s">
        <v>1122</v>
      </c>
      <c r="BT48" s="1" t="s">
        <v>1123</v>
      </c>
      <c r="BU48" s="1" t="s">
        <v>82</v>
      </c>
      <c r="BV48" s="1" t="s">
        <v>1124</v>
      </c>
      <c r="BW48" s="1" t="s">
        <v>82</v>
      </c>
      <c r="BX48" s="1" t="s">
        <v>82</v>
      </c>
      <c r="BY48" s="1" t="s">
        <v>108</v>
      </c>
      <c r="BZ48" s="1" t="s">
        <v>1125</v>
      </c>
      <c r="CA48" s="1" t="str">
        <f>HYPERLINK("https%3A%2F%2Fwww.webofscience.com%2Fwos%2Fwoscc%2Ffull-record%2FWOS:000879068000001","View Full Record in Web of Science")</f>
        <v>View Full Record in Web of Science</v>
      </c>
    </row>
    <row r="49" s="1" customFormat="1" ht="14.4" spans="1:79">
      <c r="A49">
        <v>48</v>
      </c>
      <c r="B49" s="2" t="s">
        <v>79</v>
      </c>
      <c r="C49" s="1" t="s">
        <v>80</v>
      </c>
      <c r="D49" s="1" t="s">
        <v>1126</v>
      </c>
      <c r="E49" s="1" t="s">
        <v>82</v>
      </c>
      <c r="F49" s="1" t="s">
        <v>82</v>
      </c>
      <c r="G49" s="1" t="s">
        <v>82</v>
      </c>
      <c r="H49" s="1" t="s">
        <v>1127</v>
      </c>
      <c r="I49" s="1" t="s">
        <v>82</v>
      </c>
      <c r="J49" s="1" t="s">
        <v>82</v>
      </c>
      <c r="K49" s="1" t="s">
        <v>1128</v>
      </c>
      <c r="L49" s="1" t="s">
        <v>1129</v>
      </c>
      <c r="M49" s="1">
        <v>11.658</v>
      </c>
      <c r="N49" s="2" t="s">
        <v>86</v>
      </c>
      <c r="O49" s="1" t="s">
        <v>82</v>
      </c>
      <c r="P49" s="1" t="s">
        <v>82</v>
      </c>
      <c r="Q49" s="1" t="s">
        <v>87</v>
      </c>
      <c r="R49" s="1" t="s">
        <v>115</v>
      </c>
      <c r="S49" s="1" t="s">
        <v>82</v>
      </c>
      <c r="T49" s="1" t="s">
        <v>82</v>
      </c>
      <c r="U49" s="1" t="s">
        <v>82</v>
      </c>
      <c r="V49" s="1" t="s">
        <v>82</v>
      </c>
      <c r="W49" s="1" t="s">
        <v>82</v>
      </c>
      <c r="X49" s="1" t="s">
        <v>1130</v>
      </c>
      <c r="Y49" s="1" t="s">
        <v>1131</v>
      </c>
      <c r="Z49" s="1" t="s">
        <v>1132</v>
      </c>
      <c r="AB49" s="1" t="s">
        <v>1133</v>
      </c>
      <c r="AC49" s="1" t="s">
        <v>1134</v>
      </c>
      <c r="AD49" s="1" t="s">
        <v>120</v>
      </c>
      <c r="AE49" s="1" t="s">
        <v>1135</v>
      </c>
      <c r="AF49" s="1" t="s">
        <v>1136</v>
      </c>
      <c r="AG49" s="1" t="s">
        <v>1137</v>
      </c>
      <c r="AH49" s="1" t="s">
        <v>82</v>
      </c>
      <c r="AI49" s="1" t="s">
        <v>82</v>
      </c>
      <c r="AJ49" s="1" t="s">
        <v>1138</v>
      </c>
      <c r="AK49" s="1" t="s">
        <v>1139</v>
      </c>
      <c r="AL49" s="1" t="s">
        <v>1140</v>
      </c>
      <c r="AM49" s="1" t="s">
        <v>82</v>
      </c>
      <c r="AN49" s="1">
        <v>71</v>
      </c>
      <c r="AO49" s="1">
        <v>1</v>
      </c>
      <c r="AP49" s="1">
        <v>1</v>
      </c>
      <c r="AQ49" s="1">
        <v>5</v>
      </c>
      <c r="AR49" s="1">
        <v>5</v>
      </c>
      <c r="AS49" s="1" t="s">
        <v>1141</v>
      </c>
      <c r="AT49" s="1" t="s">
        <v>1142</v>
      </c>
      <c r="AU49" s="1" t="s">
        <v>1143</v>
      </c>
      <c r="AV49" s="1" t="s">
        <v>1144</v>
      </c>
      <c r="AW49" s="1" t="s">
        <v>82</v>
      </c>
      <c r="AX49" s="1" t="s">
        <v>82</v>
      </c>
      <c r="AY49" s="1" t="s">
        <v>1129</v>
      </c>
      <c r="AZ49" s="1" t="s">
        <v>1145</v>
      </c>
      <c r="BA49" s="1" t="s">
        <v>1146</v>
      </c>
      <c r="BB49" s="1">
        <v>2022</v>
      </c>
      <c r="BC49" s="1">
        <v>48</v>
      </c>
      <c r="BD49" s="1" t="s">
        <v>82</v>
      </c>
      <c r="BE49" s="1" t="s">
        <v>82</v>
      </c>
      <c r="BF49" s="1" t="s">
        <v>82</v>
      </c>
      <c r="BG49" s="1" t="s">
        <v>82</v>
      </c>
      <c r="BH49" s="1" t="s">
        <v>82</v>
      </c>
      <c r="BI49" s="1">
        <v>150</v>
      </c>
      <c r="BJ49" s="1">
        <v>174</v>
      </c>
      <c r="BK49" s="1" t="s">
        <v>82</v>
      </c>
      <c r="BL49" s="1" t="s">
        <v>1147</v>
      </c>
      <c r="BM49" s="1" t="str">
        <f>HYPERLINK("http://dx.doi.org/10.3767/persoonia.2022.48.04","http://dx.doi.org/10.3767/persoonia.2022.48.04")</f>
        <v>http://dx.doi.org/10.3767/persoonia.2022.48.04</v>
      </c>
      <c r="BN49" s="1" t="s">
        <v>82</v>
      </c>
      <c r="BO49" s="1" t="s">
        <v>82</v>
      </c>
      <c r="BP49" s="1">
        <v>25</v>
      </c>
      <c r="BQ49" s="1" t="s">
        <v>225</v>
      </c>
      <c r="BR49" s="1" t="s">
        <v>104</v>
      </c>
      <c r="BS49" s="1" t="s">
        <v>225</v>
      </c>
      <c r="BT49" s="1" t="s">
        <v>1148</v>
      </c>
      <c r="BU49" s="1" t="s">
        <v>82</v>
      </c>
      <c r="BV49" s="1" t="s">
        <v>1149</v>
      </c>
      <c r="BW49" s="1" t="s">
        <v>82</v>
      </c>
      <c r="BX49" s="1" t="s">
        <v>82</v>
      </c>
      <c r="BY49" s="1" t="s">
        <v>108</v>
      </c>
      <c r="BZ49" s="1" t="s">
        <v>1150</v>
      </c>
      <c r="CA49" s="1" t="str">
        <f>HYPERLINK("https%3A%2F%2Fwww.webofscience.com%2Fwos%2Fwoscc%2Ffull-record%2FWOS:000840337400001","View Full Record in Web of Science")</f>
        <v>View Full Record in Web of Science</v>
      </c>
    </row>
    <row r="50" s="1" customFormat="1" ht="14.4" spans="1:79">
      <c r="A50">
        <v>49</v>
      </c>
      <c r="B50" s="2" t="s">
        <v>79</v>
      </c>
      <c r="C50" s="1" t="s">
        <v>80</v>
      </c>
      <c r="D50" s="1" t="s">
        <v>1151</v>
      </c>
      <c r="E50" s="1" t="s">
        <v>82</v>
      </c>
      <c r="F50" s="1" t="s">
        <v>82</v>
      </c>
      <c r="G50" s="1" t="s">
        <v>82</v>
      </c>
      <c r="H50" s="1" t="s">
        <v>1152</v>
      </c>
      <c r="I50" s="1" t="s">
        <v>82</v>
      </c>
      <c r="J50" s="1" t="s">
        <v>82</v>
      </c>
      <c r="K50" s="1" t="s">
        <v>1153</v>
      </c>
      <c r="L50" s="1" t="s">
        <v>1154</v>
      </c>
      <c r="M50" s="1">
        <v>10.754</v>
      </c>
      <c r="N50" s="2" t="s">
        <v>86</v>
      </c>
      <c r="O50" s="1" t="s">
        <v>82</v>
      </c>
      <c r="P50" s="1" t="s">
        <v>82</v>
      </c>
      <c r="Q50" s="1" t="s">
        <v>87</v>
      </c>
      <c r="R50" s="1" t="s">
        <v>115</v>
      </c>
      <c r="S50" s="1" t="s">
        <v>82</v>
      </c>
      <c r="T50" s="1" t="s">
        <v>82</v>
      </c>
      <c r="U50" s="1" t="s">
        <v>82</v>
      </c>
      <c r="V50" s="1" t="s">
        <v>82</v>
      </c>
      <c r="W50" s="1" t="s">
        <v>82</v>
      </c>
      <c r="X50" s="1" t="s">
        <v>1155</v>
      </c>
      <c r="Y50" s="1" t="s">
        <v>1156</v>
      </c>
      <c r="Z50" s="1" t="s">
        <v>1157</v>
      </c>
      <c r="AB50" s="1" t="s">
        <v>1158</v>
      </c>
      <c r="AC50" s="1" t="s">
        <v>1159</v>
      </c>
      <c r="AD50" s="1" t="s">
        <v>120</v>
      </c>
      <c r="AE50" s="1" t="s">
        <v>1160</v>
      </c>
      <c r="AF50" s="1" t="s">
        <v>1161</v>
      </c>
      <c r="AG50" s="1" t="s">
        <v>1162</v>
      </c>
      <c r="AH50" s="1" t="s">
        <v>1163</v>
      </c>
      <c r="AI50" s="1" t="s">
        <v>1164</v>
      </c>
      <c r="AJ50" s="1" t="s">
        <v>1165</v>
      </c>
      <c r="AK50" s="1" t="s">
        <v>1166</v>
      </c>
      <c r="AL50" s="1" t="s">
        <v>1167</v>
      </c>
      <c r="AM50" s="1" t="s">
        <v>82</v>
      </c>
      <c r="AN50" s="1">
        <v>62</v>
      </c>
      <c r="AO50" s="1">
        <v>0</v>
      </c>
      <c r="AP50" s="1">
        <v>0</v>
      </c>
      <c r="AQ50" s="1">
        <v>34</v>
      </c>
      <c r="AR50" s="1">
        <v>34</v>
      </c>
      <c r="AS50" s="1" t="s">
        <v>479</v>
      </c>
      <c r="AT50" s="1" t="s">
        <v>480</v>
      </c>
      <c r="AU50" s="1" t="s">
        <v>481</v>
      </c>
      <c r="AV50" s="1" t="s">
        <v>1168</v>
      </c>
      <c r="AW50" s="1" t="s">
        <v>1169</v>
      </c>
      <c r="AX50" s="1" t="s">
        <v>82</v>
      </c>
      <c r="AY50" s="1" t="s">
        <v>1170</v>
      </c>
      <c r="AZ50" s="1" t="s">
        <v>1171</v>
      </c>
      <c r="BA50" s="1" t="s">
        <v>1172</v>
      </c>
      <c r="BB50" s="1">
        <v>2022</v>
      </c>
      <c r="BC50" s="1">
        <v>849</v>
      </c>
      <c r="BD50" s="1" t="s">
        <v>82</v>
      </c>
      <c r="BE50" s="1" t="s">
        <v>82</v>
      </c>
      <c r="BF50" s="1" t="s">
        <v>82</v>
      </c>
      <c r="BG50" s="1" t="s">
        <v>82</v>
      </c>
      <c r="BH50" s="1" t="s">
        <v>82</v>
      </c>
      <c r="BI50" s="1" t="s">
        <v>82</v>
      </c>
      <c r="BJ50" s="1" t="s">
        <v>82</v>
      </c>
      <c r="BK50" s="1">
        <v>157891</v>
      </c>
      <c r="BL50" s="1" t="s">
        <v>1173</v>
      </c>
      <c r="BM50" s="1" t="str">
        <f>HYPERLINK("http://dx.doi.org/10.1016/j.scitotenv.2022.157891","http://dx.doi.org/10.1016/j.scitotenv.2022.157891")</f>
        <v>http://dx.doi.org/10.1016/j.scitotenv.2022.157891</v>
      </c>
      <c r="BN50" s="1" t="s">
        <v>82</v>
      </c>
      <c r="BO50" s="1" t="s">
        <v>424</v>
      </c>
      <c r="BP50" s="1">
        <v>8</v>
      </c>
      <c r="BQ50" s="1" t="s">
        <v>1174</v>
      </c>
      <c r="BR50" s="1" t="s">
        <v>104</v>
      </c>
      <c r="BS50" s="1" t="s">
        <v>545</v>
      </c>
      <c r="BT50" s="1" t="s">
        <v>1175</v>
      </c>
      <c r="BU50" s="1">
        <v>35952876</v>
      </c>
      <c r="BV50" s="1" t="s">
        <v>82</v>
      </c>
      <c r="BW50" s="1" t="s">
        <v>82</v>
      </c>
      <c r="BX50" s="1" t="s">
        <v>82</v>
      </c>
      <c r="BY50" s="1" t="s">
        <v>108</v>
      </c>
      <c r="BZ50" s="1" t="s">
        <v>1176</v>
      </c>
      <c r="CA50" s="1" t="str">
        <f>HYPERLINK("https%3A%2F%2Fwww.webofscience.com%2Fwos%2Fwoscc%2Ffull-record%2FWOS:000880210200009","View Full Record in Web of Science")</f>
        <v>View Full Record in Web of Science</v>
      </c>
    </row>
    <row r="51" s="1" customFormat="1" ht="14.4" spans="1:79">
      <c r="A51">
        <v>50</v>
      </c>
      <c r="B51" s="2" t="s">
        <v>79</v>
      </c>
      <c r="C51" s="1" t="s">
        <v>80</v>
      </c>
      <c r="D51" s="1" t="s">
        <v>1177</v>
      </c>
      <c r="E51" s="1" t="s">
        <v>82</v>
      </c>
      <c r="F51" s="1" t="s">
        <v>82</v>
      </c>
      <c r="G51" s="1" t="s">
        <v>82</v>
      </c>
      <c r="H51" s="1" t="s">
        <v>1178</v>
      </c>
      <c r="I51" s="1" t="s">
        <v>82</v>
      </c>
      <c r="J51" s="1" t="s">
        <v>82</v>
      </c>
      <c r="K51" s="1" t="s">
        <v>1179</v>
      </c>
      <c r="L51" s="1" t="s">
        <v>1154</v>
      </c>
      <c r="M51" s="1">
        <v>10.754</v>
      </c>
      <c r="N51" s="2" t="s">
        <v>86</v>
      </c>
      <c r="O51" s="1" t="s">
        <v>82</v>
      </c>
      <c r="P51" s="1" t="s">
        <v>82</v>
      </c>
      <c r="Q51" s="1" t="s">
        <v>87</v>
      </c>
      <c r="R51" s="1" t="s">
        <v>115</v>
      </c>
      <c r="S51" s="1" t="s">
        <v>82</v>
      </c>
      <c r="T51" s="1" t="s">
        <v>82</v>
      </c>
      <c r="U51" s="1" t="s">
        <v>82</v>
      </c>
      <c r="V51" s="1" t="s">
        <v>82</v>
      </c>
      <c r="W51" s="1" t="s">
        <v>82</v>
      </c>
      <c r="X51" s="1" t="s">
        <v>1180</v>
      </c>
      <c r="Y51" s="1" t="s">
        <v>1181</v>
      </c>
      <c r="Z51" s="1" t="s">
        <v>1182</v>
      </c>
      <c r="AA51" s="1">
        <v>1</v>
      </c>
      <c r="AB51" s="1" t="s">
        <v>1183</v>
      </c>
      <c r="AC51" s="1" t="s">
        <v>1184</v>
      </c>
      <c r="AD51" s="1" t="s">
        <v>93</v>
      </c>
      <c r="AE51" s="1" t="s">
        <v>1185</v>
      </c>
      <c r="AF51" s="1" t="s">
        <v>1186</v>
      </c>
      <c r="AG51" s="1" t="s">
        <v>1187</v>
      </c>
      <c r="AH51" s="1" t="s">
        <v>1188</v>
      </c>
      <c r="AI51" s="1" t="s">
        <v>1189</v>
      </c>
      <c r="AJ51" s="1" t="s">
        <v>1190</v>
      </c>
      <c r="AK51" s="1" t="s">
        <v>1191</v>
      </c>
      <c r="AL51" s="1" t="s">
        <v>1192</v>
      </c>
      <c r="AM51" s="1" t="s">
        <v>82</v>
      </c>
      <c r="AN51" s="1">
        <v>69</v>
      </c>
      <c r="AO51" s="1">
        <v>1</v>
      </c>
      <c r="AP51" s="1">
        <v>1</v>
      </c>
      <c r="AQ51" s="1">
        <v>36</v>
      </c>
      <c r="AR51" s="1">
        <v>36</v>
      </c>
      <c r="AS51" s="1" t="s">
        <v>479</v>
      </c>
      <c r="AT51" s="1" t="s">
        <v>480</v>
      </c>
      <c r="AU51" s="1" t="s">
        <v>481</v>
      </c>
      <c r="AV51" s="1" t="s">
        <v>1168</v>
      </c>
      <c r="AW51" s="1" t="s">
        <v>1169</v>
      </c>
      <c r="AX51" s="1" t="s">
        <v>82</v>
      </c>
      <c r="AY51" s="1" t="s">
        <v>1170</v>
      </c>
      <c r="AZ51" s="1" t="s">
        <v>1171</v>
      </c>
      <c r="BA51" s="1" t="s">
        <v>1193</v>
      </c>
      <c r="BB51" s="1">
        <v>2022</v>
      </c>
      <c r="BC51" s="1">
        <v>852</v>
      </c>
      <c r="BD51" s="1" t="s">
        <v>82</v>
      </c>
      <c r="BE51" s="1" t="s">
        <v>82</v>
      </c>
      <c r="BF51" s="1" t="s">
        <v>82</v>
      </c>
      <c r="BG51" s="1" t="s">
        <v>82</v>
      </c>
      <c r="BH51" s="1" t="s">
        <v>82</v>
      </c>
      <c r="BI51" s="1" t="s">
        <v>82</v>
      </c>
      <c r="BJ51" s="1" t="s">
        <v>82</v>
      </c>
      <c r="BK51" s="1">
        <v>158397</v>
      </c>
      <c r="BL51" s="1" t="s">
        <v>1194</v>
      </c>
      <c r="BM51" s="1" t="str">
        <f>HYPERLINK("http://dx.doi.org/10.1016/j.scitotenv.2022.158397","http://dx.doi.org/10.1016/j.scitotenv.2022.158397")</f>
        <v>http://dx.doi.org/10.1016/j.scitotenv.2022.158397</v>
      </c>
      <c r="BN51" s="1" t="s">
        <v>82</v>
      </c>
      <c r="BO51" s="1" t="s">
        <v>224</v>
      </c>
      <c r="BP51" s="1">
        <v>10</v>
      </c>
      <c r="BQ51" s="1" t="s">
        <v>1174</v>
      </c>
      <c r="BR51" s="1" t="s">
        <v>104</v>
      </c>
      <c r="BS51" s="1" t="s">
        <v>545</v>
      </c>
      <c r="BT51" s="1" t="s">
        <v>1195</v>
      </c>
      <c r="BU51" s="1">
        <v>36055510</v>
      </c>
      <c r="BV51" s="1" t="s">
        <v>82</v>
      </c>
      <c r="BW51" s="1" t="s">
        <v>82</v>
      </c>
      <c r="BX51" s="1" t="s">
        <v>82</v>
      </c>
      <c r="BY51" s="1" t="s">
        <v>108</v>
      </c>
      <c r="BZ51" s="1" t="s">
        <v>1196</v>
      </c>
      <c r="CA51" s="1" t="str">
        <f>HYPERLINK("https%3A%2F%2Fwww.webofscience.com%2Fwos%2Fwoscc%2Ffull-record%2FWOS:000864081000002","View Full Record in Web of Science")</f>
        <v>View Full Record in Web of Science</v>
      </c>
    </row>
    <row r="52" s="1" customFormat="1" ht="14.4" spans="1:79">
      <c r="A52">
        <v>51</v>
      </c>
      <c r="B52" s="2" t="s">
        <v>79</v>
      </c>
      <c r="C52" s="1" t="s">
        <v>80</v>
      </c>
      <c r="D52" s="1" t="s">
        <v>1197</v>
      </c>
      <c r="E52" s="1" t="s">
        <v>82</v>
      </c>
      <c r="F52" s="1" t="s">
        <v>82</v>
      </c>
      <c r="G52" s="1" t="s">
        <v>82</v>
      </c>
      <c r="H52" s="1" t="s">
        <v>1198</v>
      </c>
      <c r="I52" s="1" t="s">
        <v>82</v>
      </c>
      <c r="J52" s="1" t="s">
        <v>82</v>
      </c>
      <c r="K52" s="1" t="s">
        <v>1199</v>
      </c>
      <c r="L52" s="1" t="s">
        <v>1154</v>
      </c>
      <c r="M52" s="1">
        <v>10.754</v>
      </c>
      <c r="N52" s="2" t="s">
        <v>86</v>
      </c>
      <c r="O52" s="1" t="s">
        <v>82</v>
      </c>
      <c r="P52" s="1" t="s">
        <v>82</v>
      </c>
      <c r="Q52" s="1" t="s">
        <v>87</v>
      </c>
      <c r="R52" s="1" t="s">
        <v>115</v>
      </c>
      <c r="S52" s="1" t="s">
        <v>82</v>
      </c>
      <c r="T52" s="1" t="s">
        <v>82</v>
      </c>
      <c r="U52" s="1" t="s">
        <v>82</v>
      </c>
      <c r="V52" s="1" t="s">
        <v>82</v>
      </c>
      <c r="W52" s="1" t="s">
        <v>82</v>
      </c>
      <c r="X52" s="1" t="s">
        <v>1200</v>
      </c>
      <c r="Y52" s="1" t="s">
        <v>1201</v>
      </c>
      <c r="Z52" s="1" t="s">
        <v>1202</v>
      </c>
      <c r="AB52" s="1" t="s">
        <v>1203</v>
      </c>
      <c r="AC52" s="1" t="s">
        <v>1204</v>
      </c>
      <c r="AD52" s="1" t="s">
        <v>120</v>
      </c>
      <c r="AE52" s="1" t="s">
        <v>1205</v>
      </c>
      <c r="AF52" s="1" t="s">
        <v>1206</v>
      </c>
      <c r="AG52" s="1" t="s">
        <v>1207</v>
      </c>
      <c r="AH52" s="1" t="s">
        <v>82</v>
      </c>
      <c r="AI52" s="1" t="s">
        <v>82</v>
      </c>
      <c r="AJ52" s="1" t="s">
        <v>1208</v>
      </c>
      <c r="AK52" s="1" t="s">
        <v>1209</v>
      </c>
      <c r="AL52" s="1" t="s">
        <v>1210</v>
      </c>
      <c r="AM52" s="1" t="s">
        <v>82</v>
      </c>
      <c r="AN52" s="1">
        <v>108</v>
      </c>
      <c r="AO52" s="1">
        <v>0</v>
      </c>
      <c r="AP52" s="1">
        <v>0</v>
      </c>
      <c r="AQ52" s="1">
        <v>58</v>
      </c>
      <c r="AR52" s="1">
        <v>90</v>
      </c>
      <c r="AS52" s="1" t="s">
        <v>479</v>
      </c>
      <c r="AT52" s="1" t="s">
        <v>480</v>
      </c>
      <c r="AU52" s="1" t="s">
        <v>481</v>
      </c>
      <c r="AV52" s="1" t="s">
        <v>1168</v>
      </c>
      <c r="AW52" s="1" t="s">
        <v>1169</v>
      </c>
      <c r="AX52" s="1" t="s">
        <v>82</v>
      </c>
      <c r="AY52" s="1" t="s">
        <v>1170</v>
      </c>
      <c r="AZ52" s="1" t="s">
        <v>1171</v>
      </c>
      <c r="BA52" s="1" t="s">
        <v>1211</v>
      </c>
      <c r="BB52" s="1">
        <v>2022</v>
      </c>
      <c r="BC52" s="1">
        <v>837</v>
      </c>
      <c r="BD52" s="1" t="s">
        <v>82</v>
      </c>
      <c r="BE52" s="1" t="s">
        <v>82</v>
      </c>
      <c r="BF52" s="1" t="s">
        <v>82</v>
      </c>
      <c r="BG52" s="1" t="s">
        <v>82</v>
      </c>
      <c r="BH52" s="1" t="s">
        <v>82</v>
      </c>
      <c r="BI52" s="1" t="s">
        <v>82</v>
      </c>
      <c r="BJ52" s="1" t="s">
        <v>82</v>
      </c>
      <c r="BK52" s="1">
        <v>155469</v>
      </c>
      <c r="BL52" s="1" t="s">
        <v>1212</v>
      </c>
      <c r="BM52" s="1" t="str">
        <f>HYPERLINK("http://dx.doi.org/10.1016/j.scitotenv.2022.155469","http://dx.doi.org/10.1016/j.scitotenv.2022.155469")</f>
        <v>http://dx.doi.org/10.1016/j.scitotenv.2022.155469</v>
      </c>
      <c r="BN52" s="1" t="s">
        <v>82</v>
      </c>
      <c r="BO52" s="1" t="s">
        <v>247</v>
      </c>
      <c r="BP52" s="1">
        <v>13</v>
      </c>
      <c r="BQ52" s="1" t="s">
        <v>1174</v>
      </c>
      <c r="BR52" s="1" t="s">
        <v>104</v>
      </c>
      <c r="BS52" s="1" t="s">
        <v>545</v>
      </c>
      <c r="BT52" s="1" t="s">
        <v>1213</v>
      </c>
      <c r="BU52" s="1">
        <v>35523345</v>
      </c>
      <c r="BV52" s="1" t="s">
        <v>82</v>
      </c>
      <c r="BW52" s="1" t="s">
        <v>82</v>
      </c>
      <c r="BX52" s="1" t="s">
        <v>82</v>
      </c>
      <c r="BY52" s="1" t="s">
        <v>108</v>
      </c>
      <c r="BZ52" s="1" t="s">
        <v>1214</v>
      </c>
      <c r="CA52" s="1" t="str">
        <f>HYPERLINK("https%3A%2F%2Fwww.webofscience.com%2Fwos%2Fwoscc%2Ffull-record%2FWOS:000806302700002","View Full Record in Web of Science")</f>
        <v>View Full Record in Web of Science</v>
      </c>
    </row>
    <row r="53" s="1" customFormat="1" ht="14.4" spans="1:79">
      <c r="A53">
        <v>52</v>
      </c>
      <c r="B53" s="2" t="s">
        <v>79</v>
      </c>
      <c r="C53" s="1" t="s">
        <v>80</v>
      </c>
      <c r="D53" s="1" t="s">
        <v>1215</v>
      </c>
      <c r="E53" s="1" t="s">
        <v>82</v>
      </c>
      <c r="F53" s="1" t="s">
        <v>82</v>
      </c>
      <c r="G53" s="1" t="s">
        <v>82</v>
      </c>
      <c r="H53" s="1" t="s">
        <v>1216</v>
      </c>
      <c r="I53" s="1" t="s">
        <v>82</v>
      </c>
      <c r="J53" s="1" t="s">
        <v>82</v>
      </c>
      <c r="K53" s="1" t="s">
        <v>1217</v>
      </c>
      <c r="L53" s="1" t="s">
        <v>1154</v>
      </c>
      <c r="M53" s="1">
        <v>10.754</v>
      </c>
      <c r="N53" s="2" t="s">
        <v>86</v>
      </c>
      <c r="O53" s="1" t="s">
        <v>82</v>
      </c>
      <c r="P53" s="1" t="s">
        <v>82</v>
      </c>
      <c r="Q53" s="1" t="s">
        <v>87</v>
      </c>
      <c r="R53" s="1" t="s">
        <v>115</v>
      </c>
      <c r="S53" s="1" t="s">
        <v>82</v>
      </c>
      <c r="T53" s="1" t="s">
        <v>82</v>
      </c>
      <c r="U53" s="1" t="s">
        <v>82</v>
      </c>
      <c r="V53" s="1" t="s">
        <v>82</v>
      </c>
      <c r="W53" s="1" t="s">
        <v>82</v>
      </c>
      <c r="X53" s="1" t="s">
        <v>1218</v>
      </c>
      <c r="Y53" s="1" t="s">
        <v>1219</v>
      </c>
      <c r="Z53" s="1" t="s">
        <v>1220</v>
      </c>
      <c r="AB53" s="1" t="s">
        <v>1221</v>
      </c>
      <c r="AC53" s="1" t="s">
        <v>1222</v>
      </c>
      <c r="AD53" s="1" t="s">
        <v>120</v>
      </c>
      <c r="AE53" s="1" t="s">
        <v>1223</v>
      </c>
      <c r="AF53" s="1" t="s">
        <v>1224</v>
      </c>
      <c r="AG53" s="1" t="s">
        <v>1225</v>
      </c>
      <c r="AH53" s="1" t="s">
        <v>1226</v>
      </c>
      <c r="AI53" s="1" t="s">
        <v>1227</v>
      </c>
      <c r="AJ53" s="1" t="s">
        <v>1228</v>
      </c>
      <c r="AK53" s="1" t="s">
        <v>1229</v>
      </c>
      <c r="AL53" s="1" t="s">
        <v>1230</v>
      </c>
      <c r="AM53" s="1" t="s">
        <v>82</v>
      </c>
      <c r="AN53" s="1">
        <v>62</v>
      </c>
      <c r="AO53" s="1">
        <v>2</v>
      </c>
      <c r="AP53" s="1">
        <v>2</v>
      </c>
      <c r="AQ53" s="1">
        <v>6</v>
      </c>
      <c r="AR53" s="1">
        <v>39</v>
      </c>
      <c r="AS53" s="1" t="s">
        <v>479</v>
      </c>
      <c r="AT53" s="1" t="s">
        <v>480</v>
      </c>
      <c r="AU53" s="1" t="s">
        <v>481</v>
      </c>
      <c r="AV53" s="1" t="s">
        <v>1168</v>
      </c>
      <c r="AW53" s="1" t="s">
        <v>1169</v>
      </c>
      <c r="AX53" s="1" t="s">
        <v>82</v>
      </c>
      <c r="AY53" s="1" t="s">
        <v>1170</v>
      </c>
      <c r="AZ53" s="1" t="s">
        <v>1171</v>
      </c>
      <c r="BA53" s="1" t="s">
        <v>1231</v>
      </c>
      <c r="BB53" s="1">
        <v>2022</v>
      </c>
      <c r="BC53" s="1">
        <v>806</v>
      </c>
      <c r="BD53" s="1" t="s">
        <v>82</v>
      </c>
      <c r="BE53" s="1">
        <v>2</v>
      </c>
      <c r="BF53" s="1" t="s">
        <v>82</v>
      </c>
      <c r="BG53" s="1" t="s">
        <v>82</v>
      </c>
      <c r="BH53" s="1" t="s">
        <v>82</v>
      </c>
      <c r="BI53" s="1" t="s">
        <v>82</v>
      </c>
      <c r="BJ53" s="1" t="s">
        <v>82</v>
      </c>
      <c r="BK53" s="1">
        <v>150416</v>
      </c>
      <c r="BL53" s="1" t="s">
        <v>1232</v>
      </c>
      <c r="BM53" s="1" t="str">
        <f>HYPERLINK("http://dx.doi.org/10.1016/j.scitotenv.2021.150416","http://dx.doi.org/10.1016/j.scitotenv.2021.150416")</f>
        <v>http://dx.doi.org/10.1016/j.scitotenv.2021.150416</v>
      </c>
      <c r="BN53" s="1" t="s">
        <v>82</v>
      </c>
      <c r="BO53" s="1" t="s">
        <v>1233</v>
      </c>
      <c r="BP53" s="1">
        <v>8</v>
      </c>
      <c r="BQ53" s="1" t="s">
        <v>1174</v>
      </c>
      <c r="BR53" s="1" t="s">
        <v>104</v>
      </c>
      <c r="BS53" s="1" t="s">
        <v>545</v>
      </c>
      <c r="BT53" s="1" t="s">
        <v>1234</v>
      </c>
      <c r="BU53" s="1">
        <v>34852425</v>
      </c>
      <c r="BV53" s="1" t="s">
        <v>82</v>
      </c>
      <c r="BW53" s="1" t="s">
        <v>82</v>
      </c>
      <c r="BX53" s="1" t="s">
        <v>82</v>
      </c>
      <c r="BY53" s="1" t="s">
        <v>108</v>
      </c>
      <c r="BZ53" s="1" t="s">
        <v>1235</v>
      </c>
      <c r="CA53" s="1" t="str">
        <f>HYPERLINK("https%3A%2F%2Fwww.webofscience.com%2Fwos%2Fwoscc%2Ffull-record%2FWOS:000707640400017","View Full Record in Web of Science")</f>
        <v>View Full Record in Web of Science</v>
      </c>
    </row>
    <row r="54" s="1" customFormat="1" ht="14.4" spans="1:79">
      <c r="A54">
        <v>53</v>
      </c>
      <c r="B54" s="2" t="s">
        <v>110</v>
      </c>
      <c r="C54" s="1" t="s">
        <v>80</v>
      </c>
      <c r="D54" s="1" t="s">
        <v>1236</v>
      </c>
      <c r="E54" s="1" t="s">
        <v>82</v>
      </c>
      <c r="F54" s="1" t="s">
        <v>82</v>
      </c>
      <c r="G54" s="1" t="s">
        <v>82</v>
      </c>
      <c r="H54" s="1" t="s">
        <v>1237</v>
      </c>
      <c r="I54" s="1" t="s">
        <v>82</v>
      </c>
      <c r="J54" s="1" t="s">
        <v>82</v>
      </c>
      <c r="K54" s="1" t="s">
        <v>1238</v>
      </c>
      <c r="L54" s="1" t="s">
        <v>1239</v>
      </c>
      <c r="M54" s="1">
        <v>10.723</v>
      </c>
      <c r="N54" s="2" t="s">
        <v>86</v>
      </c>
      <c r="O54" s="1" t="s">
        <v>82</v>
      </c>
      <c r="P54" s="1" t="s">
        <v>82</v>
      </c>
      <c r="Q54" s="1" t="s">
        <v>87</v>
      </c>
      <c r="R54" s="1" t="s">
        <v>115</v>
      </c>
      <c r="S54" s="1" t="s">
        <v>82</v>
      </c>
      <c r="T54" s="1" t="s">
        <v>82</v>
      </c>
      <c r="U54" s="1" t="s">
        <v>82</v>
      </c>
      <c r="V54" s="1" t="s">
        <v>82</v>
      </c>
      <c r="W54" s="1" t="s">
        <v>82</v>
      </c>
      <c r="X54" s="1" t="s">
        <v>1240</v>
      </c>
      <c r="Y54" s="1" t="s">
        <v>1241</v>
      </c>
      <c r="Z54" s="1" t="s">
        <v>1242</v>
      </c>
      <c r="AB54" s="1" t="s">
        <v>1243</v>
      </c>
      <c r="AC54" s="1" t="s">
        <v>1244</v>
      </c>
      <c r="AD54" s="1" t="s">
        <v>120</v>
      </c>
      <c r="AE54" s="1" t="s">
        <v>1245</v>
      </c>
      <c r="AF54" s="1" t="s">
        <v>1246</v>
      </c>
      <c r="AG54" s="1" t="s">
        <v>1247</v>
      </c>
      <c r="AH54" s="1" t="s">
        <v>82</v>
      </c>
      <c r="AI54" s="1" t="s">
        <v>82</v>
      </c>
      <c r="AJ54" s="1" t="s">
        <v>1248</v>
      </c>
      <c r="AK54" s="1" t="s">
        <v>1249</v>
      </c>
      <c r="AL54" s="1" t="s">
        <v>1250</v>
      </c>
      <c r="AM54" s="1" t="s">
        <v>82</v>
      </c>
      <c r="AN54" s="1">
        <v>44</v>
      </c>
      <c r="AO54" s="1">
        <v>2</v>
      </c>
      <c r="AP54" s="1">
        <v>2</v>
      </c>
      <c r="AQ54" s="1">
        <v>16</v>
      </c>
      <c r="AR54" s="1">
        <v>16</v>
      </c>
      <c r="AS54" s="1" t="s">
        <v>508</v>
      </c>
      <c r="AT54" s="1" t="s">
        <v>329</v>
      </c>
      <c r="AU54" s="1" t="s">
        <v>509</v>
      </c>
      <c r="AV54" s="1" t="s">
        <v>1251</v>
      </c>
      <c r="AW54" s="1" t="s">
        <v>1252</v>
      </c>
      <c r="AX54" s="1" t="s">
        <v>82</v>
      </c>
      <c r="AY54" s="1" t="s">
        <v>1253</v>
      </c>
      <c r="AZ54" s="1" t="s">
        <v>1254</v>
      </c>
      <c r="BA54" s="1" t="s">
        <v>1255</v>
      </c>
      <c r="BB54" s="1">
        <v>2022</v>
      </c>
      <c r="BC54" s="1">
        <v>294</v>
      </c>
      <c r="BD54" s="1" t="s">
        <v>82</v>
      </c>
      <c r="BE54" s="1" t="s">
        <v>82</v>
      </c>
      <c r="BF54" s="1" t="s">
        <v>82</v>
      </c>
      <c r="BG54" s="1" t="s">
        <v>82</v>
      </c>
      <c r="BH54" s="1" t="s">
        <v>82</v>
      </c>
      <c r="BI54" s="1" t="s">
        <v>82</v>
      </c>
      <c r="BJ54" s="1" t="s">
        <v>82</v>
      </c>
      <c r="BK54" s="1">
        <v>119826</v>
      </c>
      <c r="BL54" s="1" t="s">
        <v>1256</v>
      </c>
      <c r="BM54" s="1" t="str">
        <f>HYPERLINK("http://dx.doi.org/10.1016/j.carbpol.2022.119826","http://dx.doi.org/10.1016/j.carbpol.2022.119826")</f>
        <v>http://dx.doi.org/10.1016/j.carbpol.2022.119826</v>
      </c>
      <c r="BN54" s="1" t="s">
        <v>82</v>
      </c>
      <c r="BO54" s="1" t="s">
        <v>1257</v>
      </c>
      <c r="BP54" s="1">
        <v>12</v>
      </c>
      <c r="BQ54" s="1" t="s">
        <v>1258</v>
      </c>
      <c r="BR54" s="1" t="s">
        <v>104</v>
      </c>
      <c r="BS54" s="1" t="s">
        <v>1259</v>
      </c>
      <c r="BT54" s="1" t="s">
        <v>1260</v>
      </c>
      <c r="BU54" s="1">
        <v>35868774</v>
      </c>
      <c r="BV54" s="1" t="s">
        <v>82</v>
      </c>
      <c r="BW54" s="1" t="s">
        <v>82</v>
      </c>
      <c r="BX54" s="1" t="s">
        <v>82</v>
      </c>
      <c r="BY54" s="1" t="s">
        <v>108</v>
      </c>
      <c r="BZ54" s="1" t="s">
        <v>1261</v>
      </c>
      <c r="CA54" s="1" t="str">
        <f>HYPERLINK("https%3A%2F%2Fwww.webofscience.com%2Fwos%2Fwoscc%2Ffull-record%2FWOS:000831545800005","View Full Record in Web of Science")</f>
        <v>View Full Record in Web of Science</v>
      </c>
    </row>
    <row r="55" s="1" customFormat="1" ht="14.4" spans="1:79">
      <c r="A55">
        <v>54</v>
      </c>
      <c r="B55" s="2" t="s">
        <v>110</v>
      </c>
      <c r="C55" s="1" t="s">
        <v>80</v>
      </c>
      <c r="D55" s="1" t="s">
        <v>1262</v>
      </c>
      <c r="E55" s="1" t="s">
        <v>82</v>
      </c>
      <c r="F55" s="1" t="s">
        <v>82</v>
      </c>
      <c r="G55" s="1" t="s">
        <v>82</v>
      </c>
      <c r="H55" s="1" t="s">
        <v>1263</v>
      </c>
      <c r="I55" s="1" t="s">
        <v>82</v>
      </c>
      <c r="J55" s="1" t="s">
        <v>82</v>
      </c>
      <c r="K55" s="1" t="s">
        <v>1264</v>
      </c>
      <c r="L55" s="1" t="s">
        <v>1239</v>
      </c>
      <c r="M55" s="1">
        <v>10.723</v>
      </c>
      <c r="N55" s="2" t="s">
        <v>86</v>
      </c>
      <c r="O55" s="1" t="s">
        <v>82</v>
      </c>
      <c r="P55" s="1" t="s">
        <v>82</v>
      </c>
      <c r="Q55" s="1" t="s">
        <v>87</v>
      </c>
      <c r="R55" s="1" t="s">
        <v>115</v>
      </c>
      <c r="S55" s="1" t="s">
        <v>82</v>
      </c>
      <c r="T55" s="1" t="s">
        <v>82</v>
      </c>
      <c r="U55" s="1" t="s">
        <v>82</v>
      </c>
      <c r="V55" s="1" t="s">
        <v>82</v>
      </c>
      <c r="W55" s="1" t="s">
        <v>82</v>
      </c>
      <c r="X55" s="1" t="s">
        <v>1265</v>
      </c>
      <c r="Y55" s="1" t="s">
        <v>1266</v>
      </c>
      <c r="Z55" s="1" t="s">
        <v>1267</v>
      </c>
      <c r="AB55" s="1" t="s">
        <v>1268</v>
      </c>
      <c r="AC55" s="1" t="s">
        <v>1269</v>
      </c>
      <c r="AD55" s="1" t="s">
        <v>206</v>
      </c>
      <c r="AE55" s="1" t="s">
        <v>1270</v>
      </c>
      <c r="AF55" s="1" t="s">
        <v>1271</v>
      </c>
      <c r="AG55" s="1" t="s">
        <v>1272</v>
      </c>
      <c r="AH55" s="1" t="s">
        <v>82</v>
      </c>
      <c r="AI55" s="1" t="s">
        <v>82</v>
      </c>
      <c r="AJ55" s="1" t="s">
        <v>1273</v>
      </c>
      <c r="AK55" s="1" t="s">
        <v>1274</v>
      </c>
      <c r="AL55" s="1" t="s">
        <v>1275</v>
      </c>
      <c r="AM55" s="1" t="s">
        <v>82</v>
      </c>
      <c r="AN55" s="1">
        <v>32</v>
      </c>
      <c r="AO55" s="1">
        <v>2</v>
      </c>
      <c r="AP55" s="1">
        <v>2</v>
      </c>
      <c r="AQ55" s="1">
        <v>25</v>
      </c>
      <c r="AR55" s="1">
        <v>25</v>
      </c>
      <c r="AS55" s="1" t="s">
        <v>508</v>
      </c>
      <c r="AT55" s="1" t="s">
        <v>329</v>
      </c>
      <c r="AU55" s="1" t="s">
        <v>509</v>
      </c>
      <c r="AV55" s="1" t="s">
        <v>1251</v>
      </c>
      <c r="AW55" s="1" t="s">
        <v>1252</v>
      </c>
      <c r="AX55" s="1" t="s">
        <v>82</v>
      </c>
      <c r="AY55" s="1" t="s">
        <v>1253</v>
      </c>
      <c r="AZ55" s="1" t="s">
        <v>1254</v>
      </c>
      <c r="BA55" s="1" t="s">
        <v>1276</v>
      </c>
      <c r="BB55" s="1">
        <v>2022</v>
      </c>
      <c r="BC55" s="1">
        <v>295</v>
      </c>
      <c r="BD55" s="1" t="s">
        <v>82</v>
      </c>
      <c r="BE55" s="1" t="s">
        <v>82</v>
      </c>
      <c r="BF55" s="1" t="s">
        <v>82</v>
      </c>
      <c r="BG55" s="1" t="s">
        <v>82</v>
      </c>
      <c r="BH55" s="1" t="s">
        <v>82</v>
      </c>
      <c r="BI55" s="1" t="s">
        <v>82</v>
      </c>
      <c r="BJ55" s="1" t="s">
        <v>82</v>
      </c>
      <c r="BK55" s="1">
        <v>119855</v>
      </c>
      <c r="BL55" s="1" t="s">
        <v>1277</v>
      </c>
      <c r="BM55" s="1" t="str">
        <f>HYPERLINK("http://dx.doi.org/10.1016/j.carbpol.2022.119855","http://dx.doi.org/10.1016/j.carbpol.2022.119855")</f>
        <v>http://dx.doi.org/10.1016/j.carbpol.2022.119855</v>
      </c>
      <c r="BN55" s="1" t="s">
        <v>82</v>
      </c>
      <c r="BO55" s="1" t="s">
        <v>1257</v>
      </c>
      <c r="BP55" s="1">
        <v>11</v>
      </c>
      <c r="BQ55" s="1" t="s">
        <v>1258</v>
      </c>
      <c r="BR55" s="1" t="s">
        <v>104</v>
      </c>
      <c r="BS55" s="1" t="s">
        <v>1259</v>
      </c>
      <c r="BT55" s="1" t="s">
        <v>1278</v>
      </c>
      <c r="BU55" s="1">
        <v>35989002</v>
      </c>
      <c r="BV55" s="1" t="s">
        <v>82</v>
      </c>
      <c r="BW55" s="1" t="s">
        <v>82</v>
      </c>
      <c r="BX55" s="1" t="s">
        <v>82</v>
      </c>
      <c r="BY55" s="1" t="s">
        <v>108</v>
      </c>
      <c r="BZ55" s="1" t="s">
        <v>1279</v>
      </c>
      <c r="CA55" s="1" t="str">
        <f>HYPERLINK("https%3A%2F%2Fwww.webofscience.com%2Fwos%2Fwoscc%2Ffull-record%2FWOS:000831649500007","View Full Record in Web of Science")</f>
        <v>View Full Record in Web of Science</v>
      </c>
    </row>
    <row r="56" s="1" customFormat="1" ht="14.4" spans="1:79">
      <c r="A56">
        <v>55</v>
      </c>
      <c r="B56" s="2" t="s">
        <v>110</v>
      </c>
      <c r="C56" s="1" t="s">
        <v>80</v>
      </c>
      <c r="D56" s="1" t="s">
        <v>1280</v>
      </c>
      <c r="E56" s="1" t="s">
        <v>82</v>
      </c>
      <c r="F56" s="1" t="s">
        <v>82</v>
      </c>
      <c r="G56" s="1" t="s">
        <v>82</v>
      </c>
      <c r="H56" s="1" t="s">
        <v>1281</v>
      </c>
      <c r="I56" s="1" t="s">
        <v>82</v>
      </c>
      <c r="J56" s="1" t="s">
        <v>82</v>
      </c>
      <c r="K56" s="1" t="s">
        <v>1282</v>
      </c>
      <c r="L56" s="1" t="s">
        <v>1239</v>
      </c>
      <c r="M56" s="1">
        <v>10.723</v>
      </c>
      <c r="N56" s="2" t="s">
        <v>86</v>
      </c>
      <c r="O56" s="1" t="s">
        <v>82</v>
      </c>
      <c r="P56" s="1" t="s">
        <v>82</v>
      </c>
      <c r="Q56" s="1" t="s">
        <v>87</v>
      </c>
      <c r="R56" s="1" t="s">
        <v>115</v>
      </c>
      <c r="S56" s="1" t="s">
        <v>82</v>
      </c>
      <c r="T56" s="1" t="s">
        <v>82</v>
      </c>
      <c r="U56" s="1" t="s">
        <v>82</v>
      </c>
      <c r="V56" s="1" t="s">
        <v>82</v>
      </c>
      <c r="W56" s="1" t="s">
        <v>82</v>
      </c>
      <c r="X56" s="1" t="s">
        <v>1283</v>
      </c>
      <c r="Y56" s="1" t="s">
        <v>1284</v>
      </c>
      <c r="Z56" s="1" t="s">
        <v>1285</v>
      </c>
      <c r="AB56" s="1" t="s">
        <v>1286</v>
      </c>
      <c r="AC56" s="1" t="s">
        <v>1287</v>
      </c>
      <c r="AD56" s="1" t="s">
        <v>120</v>
      </c>
      <c r="AE56" s="1" t="s">
        <v>1288</v>
      </c>
      <c r="AF56" s="1" t="s">
        <v>1289</v>
      </c>
      <c r="AG56" s="1" t="s">
        <v>1290</v>
      </c>
      <c r="AH56" s="1" t="s">
        <v>1291</v>
      </c>
      <c r="AI56" s="1" t="s">
        <v>1292</v>
      </c>
      <c r="AJ56" s="1" t="s">
        <v>1293</v>
      </c>
      <c r="AK56" s="1" t="s">
        <v>1294</v>
      </c>
      <c r="AL56" s="1" t="s">
        <v>1295</v>
      </c>
      <c r="AM56" s="1" t="s">
        <v>82</v>
      </c>
      <c r="AN56" s="1">
        <v>41</v>
      </c>
      <c r="AO56" s="1">
        <v>1</v>
      </c>
      <c r="AP56" s="1">
        <v>1</v>
      </c>
      <c r="AQ56" s="1">
        <v>41</v>
      </c>
      <c r="AR56" s="1">
        <v>70</v>
      </c>
      <c r="AS56" s="1" t="s">
        <v>508</v>
      </c>
      <c r="AT56" s="1" t="s">
        <v>329</v>
      </c>
      <c r="AU56" s="1" t="s">
        <v>509</v>
      </c>
      <c r="AV56" s="1" t="s">
        <v>1251</v>
      </c>
      <c r="AW56" s="1" t="s">
        <v>1252</v>
      </c>
      <c r="AX56" s="1" t="s">
        <v>82</v>
      </c>
      <c r="AY56" s="1" t="s">
        <v>1253</v>
      </c>
      <c r="AZ56" s="1" t="s">
        <v>1254</v>
      </c>
      <c r="BA56" s="1" t="s">
        <v>1296</v>
      </c>
      <c r="BB56" s="1">
        <v>2022</v>
      </c>
      <c r="BC56" s="1">
        <v>292</v>
      </c>
      <c r="BD56" s="1" t="s">
        <v>82</v>
      </c>
      <c r="BE56" s="1" t="s">
        <v>82</v>
      </c>
      <c r="BF56" s="1" t="s">
        <v>82</v>
      </c>
      <c r="BG56" s="1" t="s">
        <v>82</v>
      </c>
      <c r="BH56" s="1" t="s">
        <v>82</v>
      </c>
      <c r="BI56" s="1" t="s">
        <v>82</v>
      </c>
      <c r="BJ56" s="1" t="s">
        <v>82</v>
      </c>
      <c r="BK56" s="1">
        <v>119653</v>
      </c>
      <c r="BL56" s="1" t="s">
        <v>1297</v>
      </c>
      <c r="BM56" s="1" t="str">
        <f>HYPERLINK("http://dx.doi.org/10.1016/j.carbpol.2022.119653","http://dx.doi.org/10.1016/j.carbpol.2022.119653")</f>
        <v>http://dx.doi.org/10.1016/j.carbpol.2022.119653</v>
      </c>
      <c r="BN56" s="1" t="s">
        <v>82</v>
      </c>
      <c r="BO56" s="1" t="s">
        <v>1298</v>
      </c>
      <c r="BP56" s="1">
        <v>12</v>
      </c>
      <c r="BQ56" s="1" t="s">
        <v>1258</v>
      </c>
      <c r="BR56" s="1" t="s">
        <v>104</v>
      </c>
      <c r="BS56" s="1" t="s">
        <v>1259</v>
      </c>
      <c r="BT56" s="1" t="s">
        <v>1299</v>
      </c>
      <c r="BU56" s="1">
        <v>35725160</v>
      </c>
      <c r="BV56" s="1" t="s">
        <v>268</v>
      </c>
      <c r="BW56" s="1" t="s">
        <v>82</v>
      </c>
      <c r="BX56" s="1" t="s">
        <v>82</v>
      </c>
      <c r="BY56" s="1" t="s">
        <v>108</v>
      </c>
      <c r="BZ56" s="1" t="s">
        <v>1300</v>
      </c>
      <c r="CA56" s="1" t="str">
        <f>HYPERLINK("https%3A%2F%2Fwww.webofscience.com%2Fwos%2Fwoscc%2Ffull-record%2FWOS:000823852000003","View Full Record in Web of Science")</f>
        <v>View Full Record in Web of Science</v>
      </c>
    </row>
    <row r="57" s="1" customFormat="1" ht="14.4" spans="1:79">
      <c r="A57">
        <v>56</v>
      </c>
      <c r="B57" s="2" t="s">
        <v>110</v>
      </c>
      <c r="C57" s="1" t="s">
        <v>80</v>
      </c>
      <c r="D57" s="1" t="s">
        <v>1301</v>
      </c>
      <c r="E57" s="1" t="s">
        <v>82</v>
      </c>
      <c r="F57" s="1" t="s">
        <v>82</v>
      </c>
      <c r="G57" s="1" t="s">
        <v>82</v>
      </c>
      <c r="H57" s="1" t="s">
        <v>1302</v>
      </c>
      <c r="I57" s="1" t="s">
        <v>82</v>
      </c>
      <c r="J57" s="1" t="s">
        <v>82</v>
      </c>
      <c r="K57" s="1" t="s">
        <v>1303</v>
      </c>
      <c r="L57" s="1" t="s">
        <v>1239</v>
      </c>
      <c r="M57" s="1">
        <v>10.723</v>
      </c>
      <c r="N57" s="2" t="s">
        <v>86</v>
      </c>
      <c r="O57" s="1" t="s">
        <v>82</v>
      </c>
      <c r="P57" s="1" t="s">
        <v>82</v>
      </c>
      <c r="Q57" s="1" t="s">
        <v>87</v>
      </c>
      <c r="R57" s="1" t="s">
        <v>115</v>
      </c>
      <c r="S57" s="1" t="s">
        <v>82</v>
      </c>
      <c r="T57" s="1" t="s">
        <v>82</v>
      </c>
      <c r="U57" s="1" t="s">
        <v>82</v>
      </c>
      <c r="V57" s="1" t="s">
        <v>82</v>
      </c>
      <c r="W57" s="1" t="s">
        <v>82</v>
      </c>
      <c r="X57" s="1" t="s">
        <v>1304</v>
      </c>
      <c r="Y57" s="1" t="s">
        <v>1305</v>
      </c>
      <c r="Z57" s="1" t="s">
        <v>1306</v>
      </c>
      <c r="AB57" s="1" t="s">
        <v>1307</v>
      </c>
      <c r="AC57" s="1" t="s">
        <v>1308</v>
      </c>
      <c r="AD57" s="1" t="s">
        <v>206</v>
      </c>
      <c r="AE57" s="1" t="s">
        <v>1309</v>
      </c>
      <c r="AF57" s="1" t="s">
        <v>1310</v>
      </c>
      <c r="AG57" s="1" t="s">
        <v>1311</v>
      </c>
      <c r="AH57" s="1" t="s">
        <v>1312</v>
      </c>
      <c r="AI57" s="1" t="s">
        <v>1313</v>
      </c>
      <c r="AJ57" s="1" t="s">
        <v>1314</v>
      </c>
      <c r="AK57" s="1" t="s">
        <v>1315</v>
      </c>
      <c r="AL57" s="1" t="s">
        <v>1316</v>
      </c>
      <c r="AM57" s="1" t="s">
        <v>82</v>
      </c>
      <c r="AN57" s="1">
        <v>47</v>
      </c>
      <c r="AO57" s="1">
        <v>1</v>
      </c>
      <c r="AP57" s="1">
        <v>1</v>
      </c>
      <c r="AQ57" s="1">
        <v>35</v>
      </c>
      <c r="AR57" s="1">
        <v>40</v>
      </c>
      <c r="AS57" s="1" t="s">
        <v>508</v>
      </c>
      <c r="AT57" s="1" t="s">
        <v>329</v>
      </c>
      <c r="AU57" s="1" t="s">
        <v>509</v>
      </c>
      <c r="AV57" s="1" t="s">
        <v>1251</v>
      </c>
      <c r="AW57" s="1" t="s">
        <v>1252</v>
      </c>
      <c r="AX57" s="1" t="s">
        <v>82</v>
      </c>
      <c r="AY57" s="1" t="s">
        <v>1253</v>
      </c>
      <c r="AZ57" s="1" t="s">
        <v>1254</v>
      </c>
      <c r="BA57" s="1" t="s">
        <v>1296</v>
      </c>
      <c r="BB57" s="1">
        <v>2022</v>
      </c>
      <c r="BC57" s="1">
        <v>292</v>
      </c>
      <c r="BD57" s="1" t="s">
        <v>82</v>
      </c>
      <c r="BE57" s="1" t="s">
        <v>82</v>
      </c>
      <c r="BF57" s="1" t="s">
        <v>82</v>
      </c>
      <c r="BG57" s="1" t="s">
        <v>82</v>
      </c>
      <c r="BH57" s="1" t="s">
        <v>82</v>
      </c>
      <c r="BI57" s="1" t="s">
        <v>82</v>
      </c>
      <c r="BJ57" s="1" t="s">
        <v>82</v>
      </c>
      <c r="BK57" s="1">
        <v>119694</v>
      </c>
      <c r="BL57" s="1" t="s">
        <v>1317</v>
      </c>
      <c r="BM57" s="1" t="str">
        <f>HYPERLINK("http://dx.doi.org/10.1016/j.carbpol.2022.119694","http://dx.doi.org/10.1016/j.carbpol.2022.119694")</f>
        <v>http://dx.doi.org/10.1016/j.carbpol.2022.119694</v>
      </c>
      <c r="BN57" s="1" t="s">
        <v>82</v>
      </c>
      <c r="BO57" s="1" t="s">
        <v>1298</v>
      </c>
      <c r="BP57" s="1">
        <v>14</v>
      </c>
      <c r="BQ57" s="1" t="s">
        <v>1258</v>
      </c>
      <c r="BR57" s="1" t="s">
        <v>104</v>
      </c>
      <c r="BS57" s="1" t="s">
        <v>1259</v>
      </c>
      <c r="BT57" s="1" t="s">
        <v>1318</v>
      </c>
      <c r="BU57" s="1">
        <v>35725182</v>
      </c>
      <c r="BV57" s="1" t="s">
        <v>82</v>
      </c>
      <c r="BW57" s="1" t="s">
        <v>82</v>
      </c>
      <c r="BX57" s="1" t="s">
        <v>82</v>
      </c>
      <c r="BY57" s="1" t="s">
        <v>108</v>
      </c>
      <c r="BZ57" s="1" t="s">
        <v>1319</v>
      </c>
      <c r="CA57" s="1" t="str">
        <f>HYPERLINK("https%3A%2F%2Fwww.webofscience.com%2Fwos%2Fwoscc%2Ffull-record%2FWOS:000818379000006","View Full Record in Web of Science")</f>
        <v>View Full Record in Web of Science</v>
      </c>
    </row>
    <row r="58" s="1" customFormat="1" ht="14.4" spans="1:79">
      <c r="A58">
        <v>57</v>
      </c>
      <c r="B58" s="2" t="s">
        <v>110</v>
      </c>
      <c r="C58" s="1" t="s">
        <v>80</v>
      </c>
      <c r="D58" s="1" t="s">
        <v>1320</v>
      </c>
      <c r="E58" s="1" t="s">
        <v>82</v>
      </c>
      <c r="F58" s="1" t="s">
        <v>82</v>
      </c>
      <c r="G58" s="1" t="s">
        <v>82</v>
      </c>
      <c r="H58" s="1" t="s">
        <v>1321</v>
      </c>
      <c r="I58" s="1" t="s">
        <v>82</v>
      </c>
      <c r="J58" s="1" t="s">
        <v>82</v>
      </c>
      <c r="K58" s="1" t="s">
        <v>1322</v>
      </c>
      <c r="L58" s="1" t="s">
        <v>1323</v>
      </c>
      <c r="M58" s="1">
        <v>10.334</v>
      </c>
      <c r="N58" s="2" t="s">
        <v>86</v>
      </c>
      <c r="O58" s="1" t="s">
        <v>82</v>
      </c>
      <c r="P58" s="1" t="s">
        <v>82</v>
      </c>
      <c r="Q58" s="1" t="s">
        <v>87</v>
      </c>
      <c r="R58" s="1" t="s">
        <v>115</v>
      </c>
      <c r="S58" s="1" t="s">
        <v>82</v>
      </c>
      <c r="T58" s="1" t="s">
        <v>82</v>
      </c>
      <c r="U58" s="1" t="s">
        <v>82</v>
      </c>
      <c r="V58" s="1" t="s">
        <v>82</v>
      </c>
      <c r="W58" s="1" t="s">
        <v>82</v>
      </c>
      <c r="X58" s="1" t="s">
        <v>1324</v>
      </c>
      <c r="Y58" s="1" t="s">
        <v>1325</v>
      </c>
      <c r="Z58" s="1" t="s">
        <v>1326</v>
      </c>
      <c r="AB58" s="1" t="s">
        <v>1327</v>
      </c>
      <c r="AC58" s="1" t="s">
        <v>1328</v>
      </c>
      <c r="AD58" s="1" t="s">
        <v>206</v>
      </c>
      <c r="AE58" s="1" t="s">
        <v>1329</v>
      </c>
      <c r="AF58" s="1" t="s">
        <v>1330</v>
      </c>
      <c r="AG58" s="1" t="s">
        <v>1331</v>
      </c>
      <c r="AH58" s="1" t="s">
        <v>1332</v>
      </c>
      <c r="AI58" s="1" t="s">
        <v>1333</v>
      </c>
      <c r="AJ58" s="1" t="s">
        <v>82</v>
      </c>
      <c r="AK58" s="1" t="s">
        <v>82</v>
      </c>
      <c r="AL58" s="1" t="s">
        <v>82</v>
      </c>
      <c r="AM58" s="1" t="s">
        <v>82</v>
      </c>
      <c r="AN58" s="1">
        <v>46</v>
      </c>
      <c r="AO58" s="1">
        <v>0</v>
      </c>
      <c r="AP58" s="1">
        <v>0</v>
      </c>
      <c r="AQ58" s="1">
        <v>7</v>
      </c>
      <c r="AR58" s="1">
        <v>7</v>
      </c>
      <c r="AS58" s="1" t="s">
        <v>1334</v>
      </c>
      <c r="AT58" s="1" t="s">
        <v>371</v>
      </c>
      <c r="AU58" s="1" t="s">
        <v>1335</v>
      </c>
      <c r="AV58" s="1" t="s">
        <v>1336</v>
      </c>
      <c r="AW58" s="1" t="s">
        <v>1337</v>
      </c>
      <c r="AX58" s="1" t="s">
        <v>82</v>
      </c>
      <c r="AY58" s="1" t="s">
        <v>1338</v>
      </c>
      <c r="AZ58" s="1" t="s">
        <v>1339</v>
      </c>
      <c r="BA58" s="1" t="s">
        <v>1340</v>
      </c>
      <c r="BB58" s="1">
        <v>2022</v>
      </c>
      <c r="BC58" s="1">
        <v>184</v>
      </c>
      <c r="BD58" s="1" t="s">
        <v>82</v>
      </c>
      <c r="BE58" s="1" t="s">
        <v>82</v>
      </c>
      <c r="BF58" s="1" t="s">
        <v>82</v>
      </c>
      <c r="BG58" s="1" t="s">
        <v>82</v>
      </c>
      <c r="BH58" s="1" t="s">
        <v>82</v>
      </c>
      <c r="BI58" s="1" t="s">
        <v>82</v>
      </c>
      <c r="BJ58" s="1" t="s">
        <v>82</v>
      </c>
      <c r="BK58" s="1">
        <v>106457</v>
      </c>
      <c r="BL58" s="1" t="s">
        <v>1341</v>
      </c>
      <c r="BM58" s="1" t="str">
        <f>HYPERLINK("http://dx.doi.org/10.1016/j.phrs.2022.106457","http://dx.doi.org/10.1016/j.phrs.2022.106457")</f>
        <v>http://dx.doi.org/10.1016/j.phrs.2022.106457</v>
      </c>
      <c r="BN58" s="1" t="s">
        <v>82</v>
      </c>
      <c r="BO58" s="1" t="s">
        <v>82</v>
      </c>
      <c r="BP58" s="1">
        <v>14</v>
      </c>
      <c r="BQ58" s="1" t="s">
        <v>982</v>
      </c>
      <c r="BR58" s="1" t="s">
        <v>104</v>
      </c>
      <c r="BS58" s="1" t="s">
        <v>982</v>
      </c>
      <c r="BT58" s="1" t="s">
        <v>1342</v>
      </c>
      <c r="BU58" s="1">
        <v>36116708</v>
      </c>
      <c r="BV58" s="1" t="s">
        <v>82</v>
      </c>
      <c r="BW58" s="1" t="s">
        <v>82</v>
      </c>
      <c r="BX58" s="1" t="s">
        <v>82</v>
      </c>
      <c r="BY58" s="1" t="s">
        <v>108</v>
      </c>
      <c r="BZ58" s="1" t="s">
        <v>1343</v>
      </c>
      <c r="CA58" s="1" t="str">
        <f>HYPERLINK("https%3A%2F%2Fwww.webofscience.com%2Fwos%2Fwoscc%2Ffull-record%2FWOS:000862334700006","View Full Record in Web of Science")</f>
        <v>View Full Record in Web of Science</v>
      </c>
    </row>
    <row r="59" s="1" customFormat="1" ht="14.4" spans="1:79">
      <c r="A59">
        <v>58</v>
      </c>
      <c r="B59" s="2" t="s">
        <v>79</v>
      </c>
      <c r="C59" s="1" t="s">
        <v>80</v>
      </c>
      <c r="D59" s="1" t="s">
        <v>1344</v>
      </c>
      <c r="E59" s="1" t="s">
        <v>82</v>
      </c>
      <c r="F59" s="1" t="s">
        <v>82</v>
      </c>
      <c r="G59" s="1" t="s">
        <v>82</v>
      </c>
      <c r="H59" s="1" t="s">
        <v>1345</v>
      </c>
      <c r="I59" s="1" t="s">
        <v>82</v>
      </c>
      <c r="J59" s="1" t="s">
        <v>82</v>
      </c>
      <c r="K59" s="1" t="s">
        <v>1346</v>
      </c>
      <c r="L59" s="1" t="s">
        <v>1347</v>
      </c>
      <c r="M59" s="1">
        <v>10.323</v>
      </c>
      <c r="N59" s="2" t="s">
        <v>86</v>
      </c>
      <c r="O59" s="1" t="s">
        <v>82</v>
      </c>
      <c r="P59" s="1" t="s">
        <v>82</v>
      </c>
      <c r="Q59" s="1" t="s">
        <v>87</v>
      </c>
      <c r="R59" s="1" t="s">
        <v>115</v>
      </c>
      <c r="S59" s="1" t="s">
        <v>82</v>
      </c>
      <c r="T59" s="1" t="s">
        <v>82</v>
      </c>
      <c r="U59" s="1" t="s">
        <v>82</v>
      </c>
      <c r="V59" s="1" t="s">
        <v>82</v>
      </c>
      <c r="W59" s="1" t="s">
        <v>82</v>
      </c>
      <c r="X59" s="1" t="s">
        <v>1348</v>
      </c>
      <c r="Y59" s="1" t="s">
        <v>1349</v>
      </c>
      <c r="Z59" s="1" t="s">
        <v>1350</v>
      </c>
      <c r="AA59" s="1">
        <v>1</v>
      </c>
      <c r="AB59" s="1" t="s">
        <v>1351</v>
      </c>
      <c r="AC59" s="1" t="s">
        <v>1352</v>
      </c>
      <c r="AD59" s="1" t="s">
        <v>93</v>
      </c>
      <c r="AE59" s="1" t="s">
        <v>1353</v>
      </c>
      <c r="AF59" s="1" t="s">
        <v>1354</v>
      </c>
      <c r="AG59" s="1" t="s">
        <v>1355</v>
      </c>
      <c r="AH59" s="1" t="s">
        <v>1356</v>
      </c>
      <c r="AI59" s="1" t="s">
        <v>1357</v>
      </c>
      <c r="AJ59" s="1" t="s">
        <v>1358</v>
      </c>
      <c r="AK59" s="1" t="s">
        <v>1359</v>
      </c>
      <c r="AL59" s="1" t="s">
        <v>1360</v>
      </c>
      <c r="AM59" s="1" t="s">
        <v>82</v>
      </c>
      <c r="AN59" s="1">
        <v>104</v>
      </c>
      <c r="AO59" s="1">
        <v>0</v>
      </c>
      <c r="AP59" s="1">
        <v>0</v>
      </c>
      <c r="AQ59" s="1">
        <v>13</v>
      </c>
      <c r="AR59" s="1">
        <v>16</v>
      </c>
      <c r="AS59" s="1" t="s">
        <v>1002</v>
      </c>
      <c r="AT59" s="1" t="s">
        <v>1003</v>
      </c>
      <c r="AU59" s="1" t="s">
        <v>1004</v>
      </c>
      <c r="AV59" s="1" t="s">
        <v>1361</v>
      </c>
      <c r="AW59" s="1" t="s">
        <v>1362</v>
      </c>
      <c r="AX59" s="1" t="s">
        <v>82</v>
      </c>
      <c r="AY59" s="1" t="s">
        <v>1363</v>
      </c>
      <c r="AZ59" s="1" t="s">
        <v>1364</v>
      </c>
      <c r="BA59" s="1" t="s">
        <v>1340</v>
      </c>
      <c r="BB59" s="1">
        <v>2022</v>
      </c>
      <c r="BC59" s="1">
        <v>236</v>
      </c>
      <c r="BD59" s="1">
        <v>2</v>
      </c>
      <c r="BE59" s="1" t="s">
        <v>82</v>
      </c>
      <c r="BF59" s="1" t="s">
        <v>82</v>
      </c>
      <c r="BG59" s="1" t="s">
        <v>82</v>
      </c>
      <c r="BH59" s="1" t="s">
        <v>82</v>
      </c>
      <c r="BI59" s="1">
        <v>745</v>
      </c>
      <c r="BJ59" s="1">
        <v>759</v>
      </c>
      <c r="BK59" s="1" t="s">
        <v>82</v>
      </c>
      <c r="BL59" s="1" t="s">
        <v>1365</v>
      </c>
      <c r="BM59" s="1" t="str">
        <f>HYPERLINK("http://dx.doi.org/10.1111/nph.18334","http://dx.doi.org/10.1111/nph.18334")</f>
        <v>http://dx.doi.org/10.1111/nph.18334</v>
      </c>
      <c r="BN59" s="1" t="s">
        <v>82</v>
      </c>
      <c r="BO59" s="1" t="s">
        <v>1257</v>
      </c>
      <c r="BP59" s="1">
        <v>15</v>
      </c>
      <c r="BQ59" s="1" t="s">
        <v>378</v>
      </c>
      <c r="BR59" s="1" t="s">
        <v>104</v>
      </c>
      <c r="BS59" s="1" t="s">
        <v>378</v>
      </c>
      <c r="BT59" s="1" t="s">
        <v>1366</v>
      </c>
      <c r="BU59" s="1">
        <v>35731093</v>
      </c>
      <c r="BV59" s="1" t="s">
        <v>82</v>
      </c>
      <c r="BW59" s="1" t="s">
        <v>82</v>
      </c>
      <c r="BX59" s="1" t="s">
        <v>82</v>
      </c>
      <c r="BY59" s="1" t="s">
        <v>108</v>
      </c>
      <c r="BZ59" s="1" t="s">
        <v>1367</v>
      </c>
      <c r="CA59" s="1" t="str">
        <f>HYPERLINK("https%3A%2F%2Fwww.webofscience.com%2Fwos%2Fwoscc%2Ffull-record%2FWOS:000823138300001","View Full Record in Web of Science")</f>
        <v>View Full Record in Web of Science</v>
      </c>
    </row>
    <row r="60" s="1" customFormat="1" ht="14.4" spans="1:79">
      <c r="A60">
        <v>59</v>
      </c>
      <c r="B60" s="2" t="s">
        <v>79</v>
      </c>
      <c r="C60" s="1" t="s">
        <v>80</v>
      </c>
      <c r="D60" s="1" t="s">
        <v>1368</v>
      </c>
      <c r="E60" s="1" t="s">
        <v>82</v>
      </c>
      <c r="F60" s="1" t="s">
        <v>82</v>
      </c>
      <c r="G60" s="1" t="s">
        <v>82</v>
      </c>
      <c r="H60" s="1" t="s">
        <v>1369</v>
      </c>
      <c r="I60" s="1" t="s">
        <v>82</v>
      </c>
      <c r="J60" s="1" t="s">
        <v>82</v>
      </c>
      <c r="K60" s="1" t="s">
        <v>1370</v>
      </c>
      <c r="L60" s="1" t="s">
        <v>1347</v>
      </c>
      <c r="M60" s="1">
        <v>10.323</v>
      </c>
      <c r="N60" s="2" t="s">
        <v>86</v>
      </c>
      <c r="O60" s="1" t="s">
        <v>82</v>
      </c>
      <c r="P60" s="1" t="s">
        <v>82</v>
      </c>
      <c r="Q60" s="1" t="s">
        <v>87</v>
      </c>
      <c r="R60" s="1" t="s">
        <v>115</v>
      </c>
      <c r="S60" s="1" t="s">
        <v>82</v>
      </c>
      <c r="T60" s="1" t="s">
        <v>82</v>
      </c>
      <c r="U60" s="1" t="s">
        <v>82</v>
      </c>
      <c r="V60" s="1" t="s">
        <v>82</v>
      </c>
      <c r="W60" s="1" t="s">
        <v>82</v>
      </c>
      <c r="X60" s="1" t="s">
        <v>1371</v>
      </c>
      <c r="Y60" s="1" t="s">
        <v>1372</v>
      </c>
      <c r="Z60" s="1" t="s">
        <v>1373</v>
      </c>
      <c r="AA60" s="1">
        <v>1</v>
      </c>
      <c r="AB60" s="1" t="s">
        <v>1374</v>
      </c>
      <c r="AC60" s="1" t="s">
        <v>1375</v>
      </c>
      <c r="AD60" s="1" t="s">
        <v>93</v>
      </c>
      <c r="AE60" s="1" t="s">
        <v>1376</v>
      </c>
      <c r="AF60" s="1" t="s">
        <v>1377</v>
      </c>
      <c r="AG60" s="1" t="s">
        <v>1378</v>
      </c>
      <c r="AH60" s="1" t="s">
        <v>1379</v>
      </c>
      <c r="AI60" s="1" t="s">
        <v>1380</v>
      </c>
      <c r="AJ60" s="1" t="s">
        <v>1381</v>
      </c>
      <c r="AK60" s="1" t="s">
        <v>1382</v>
      </c>
      <c r="AL60" s="1" t="s">
        <v>1383</v>
      </c>
      <c r="AM60" s="1" t="s">
        <v>82</v>
      </c>
      <c r="AN60" s="1">
        <v>89</v>
      </c>
      <c r="AO60" s="1">
        <v>1</v>
      </c>
      <c r="AP60" s="1">
        <v>1</v>
      </c>
      <c r="AQ60" s="1">
        <v>31</v>
      </c>
      <c r="AR60" s="1">
        <v>54</v>
      </c>
      <c r="AS60" s="1" t="s">
        <v>1002</v>
      </c>
      <c r="AT60" s="1" t="s">
        <v>1003</v>
      </c>
      <c r="AU60" s="1" t="s">
        <v>1004</v>
      </c>
      <c r="AV60" s="1" t="s">
        <v>1361</v>
      </c>
      <c r="AW60" s="1" t="s">
        <v>1362</v>
      </c>
      <c r="AX60" s="1" t="s">
        <v>82</v>
      </c>
      <c r="AY60" s="1" t="s">
        <v>1363</v>
      </c>
      <c r="AZ60" s="1" t="s">
        <v>1364</v>
      </c>
      <c r="BA60" s="1" t="s">
        <v>222</v>
      </c>
      <c r="BB60" s="1">
        <v>2022</v>
      </c>
      <c r="BC60" s="1">
        <v>235</v>
      </c>
      <c r="BD60" s="1">
        <v>5</v>
      </c>
      <c r="BE60" s="1" t="s">
        <v>82</v>
      </c>
      <c r="BF60" s="1" t="s">
        <v>82</v>
      </c>
      <c r="BG60" s="1" t="s">
        <v>82</v>
      </c>
      <c r="BH60" s="1" t="s">
        <v>82</v>
      </c>
      <c r="BI60" s="1">
        <v>2054</v>
      </c>
      <c r="BJ60" s="1">
        <v>2065</v>
      </c>
      <c r="BK60" s="1" t="s">
        <v>82</v>
      </c>
      <c r="BL60" s="1" t="s">
        <v>1384</v>
      </c>
      <c r="BM60" s="1" t="str">
        <f>HYPERLINK("http://dx.doi.org/10.1111/nph.18271","http://dx.doi.org/10.1111/nph.18271")</f>
        <v>http://dx.doi.org/10.1111/nph.18271</v>
      </c>
      <c r="BN60" s="1" t="s">
        <v>82</v>
      </c>
      <c r="BO60" s="1" t="s">
        <v>1298</v>
      </c>
      <c r="BP60" s="1">
        <v>12</v>
      </c>
      <c r="BQ60" s="1" t="s">
        <v>378</v>
      </c>
      <c r="BR60" s="1" t="s">
        <v>104</v>
      </c>
      <c r="BS60" s="1" t="s">
        <v>378</v>
      </c>
      <c r="BT60" s="1" t="s">
        <v>1385</v>
      </c>
      <c r="BU60" s="1">
        <v>35611604</v>
      </c>
      <c r="BV60" s="1" t="s">
        <v>82</v>
      </c>
      <c r="BW60" s="1" t="s">
        <v>82</v>
      </c>
      <c r="BX60" s="1" t="s">
        <v>82</v>
      </c>
      <c r="BY60" s="1" t="s">
        <v>108</v>
      </c>
      <c r="BZ60" s="1" t="s">
        <v>1386</v>
      </c>
      <c r="CA60" s="1" t="str">
        <f>HYPERLINK("https%3A%2F%2Fwww.webofscience.com%2Fwos%2Fwoscc%2Ffull-record%2FWOS:000811797600001","View Full Record in Web of Science")</f>
        <v>View Full Record in Web of Science</v>
      </c>
    </row>
    <row r="61" s="1" customFormat="1" ht="14.4" spans="1:79">
      <c r="A61">
        <v>60</v>
      </c>
      <c r="B61" s="2" t="s">
        <v>79</v>
      </c>
      <c r="C61" s="1" t="s">
        <v>80</v>
      </c>
      <c r="D61" s="1" t="s">
        <v>1387</v>
      </c>
      <c r="E61" s="1" t="s">
        <v>82</v>
      </c>
      <c r="F61" s="1" t="s">
        <v>82</v>
      </c>
      <c r="G61" s="1" t="s">
        <v>82</v>
      </c>
      <c r="H61" s="1" t="s">
        <v>1388</v>
      </c>
      <c r="I61" s="1" t="s">
        <v>82</v>
      </c>
      <c r="J61" s="1" t="s">
        <v>82</v>
      </c>
      <c r="K61" s="1" t="s">
        <v>1389</v>
      </c>
      <c r="L61" s="1" t="s">
        <v>1347</v>
      </c>
      <c r="M61" s="1">
        <v>10.323</v>
      </c>
      <c r="N61" s="2" t="s">
        <v>86</v>
      </c>
      <c r="O61" s="1" t="s">
        <v>82</v>
      </c>
      <c r="P61" s="1" t="s">
        <v>82</v>
      </c>
      <c r="Q61" s="1" t="s">
        <v>87</v>
      </c>
      <c r="R61" s="1" t="s">
        <v>115</v>
      </c>
      <c r="S61" s="1" t="s">
        <v>82</v>
      </c>
      <c r="T61" s="1" t="s">
        <v>82</v>
      </c>
      <c r="U61" s="1" t="s">
        <v>82</v>
      </c>
      <c r="V61" s="1" t="s">
        <v>82</v>
      </c>
      <c r="W61" s="1" t="s">
        <v>82</v>
      </c>
      <c r="X61" s="1" t="s">
        <v>1390</v>
      </c>
      <c r="Y61" s="1" t="s">
        <v>1391</v>
      </c>
      <c r="Z61" s="1" t="s">
        <v>1392</v>
      </c>
      <c r="AB61" s="1" t="s">
        <v>1393</v>
      </c>
      <c r="AC61" s="1" t="s">
        <v>1394</v>
      </c>
      <c r="AD61" s="1" t="s">
        <v>120</v>
      </c>
      <c r="AE61" s="1" t="s">
        <v>1395</v>
      </c>
      <c r="AF61" s="1" t="s">
        <v>1396</v>
      </c>
      <c r="AG61" s="1" t="s">
        <v>1397</v>
      </c>
      <c r="AH61" s="1" t="s">
        <v>1398</v>
      </c>
      <c r="AI61" s="1" t="s">
        <v>1399</v>
      </c>
      <c r="AJ61" s="1" t="s">
        <v>1400</v>
      </c>
      <c r="AK61" s="1" t="s">
        <v>1401</v>
      </c>
      <c r="AL61" s="1" t="s">
        <v>1402</v>
      </c>
      <c r="AM61" s="1" t="s">
        <v>82</v>
      </c>
      <c r="AN61" s="1">
        <v>43</v>
      </c>
      <c r="AO61" s="1">
        <v>1</v>
      </c>
      <c r="AP61" s="1">
        <v>1</v>
      </c>
      <c r="AQ61" s="1">
        <v>10</v>
      </c>
      <c r="AR61" s="1">
        <v>19</v>
      </c>
      <c r="AS61" s="1" t="s">
        <v>1002</v>
      </c>
      <c r="AT61" s="1" t="s">
        <v>1003</v>
      </c>
      <c r="AU61" s="1" t="s">
        <v>1004</v>
      </c>
      <c r="AV61" s="1" t="s">
        <v>1361</v>
      </c>
      <c r="AW61" s="1" t="s">
        <v>1362</v>
      </c>
      <c r="AX61" s="1" t="s">
        <v>82</v>
      </c>
      <c r="AY61" s="1" t="s">
        <v>1363</v>
      </c>
      <c r="AZ61" s="1" t="s">
        <v>1364</v>
      </c>
      <c r="BA61" s="1" t="s">
        <v>1403</v>
      </c>
      <c r="BB61" s="1">
        <v>2022</v>
      </c>
      <c r="BC61" s="1">
        <v>235</v>
      </c>
      <c r="BD61" s="1">
        <v>2</v>
      </c>
      <c r="BE61" s="1" t="s">
        <v>82</v>
      </c>
      <c r="BF61" s="1" t="s">
        <v>82</v>
      </c>
      <c r="BG61" s="1" t="s">
        <v>82</v>
      </c>
      <c r="BH61" s="1" t="s">
        <v>82</v>
      </c>
      <c r="BI61" s="1">
        <v>801</v>
      </c>
      <c r="BJ61" s="1">
        <v>809</v>
      </c>
      <c r="BK61" s="1" t="s">
        <v>82</v>
      </c>
      <c r="BL61" s="1" t="s">
        <v>1404</v>
      </c>
      <c r="BM61" s="1" t="str">
        <f>HYPERLINK("http://dx.doi.org/10.1111/nph.18173","http://dx.doi.org/10.1111/nph.18173")</f>
        <v>http://dx.doi.org/10.1111/nph.18173</v>
      </c>
      <c r="BN61" s="1" t="s">
        <v>82</v>
      </c>
      <c r="BO61" s="1" t="s">
        <v>247</v>
      </c>
      <c r="BP61" s="1">
        <v>9</v>
      </c>
      <c r="BQ61" s="1" t="s">
        <v>378</v>
      </c>
      <c r="BR61" s="1" t="s">
        <v>104</v>
      </c>
      <c r="BS61" s="1" t="s">
        <v>378</v>
      </c>
      <c r="BT61" s="1" t="s">
        <v>1405</v>
      </c>
      <c r="BU61" s="1">
        <v>35460274</v>
      </c>
      <c r="BV61" s="1" t="s">
        <v>82</v>
      </c>
      <c r="BW61" s="1" t="s">
        <v>82</v>
      </c>
      <c r="BX61" s="1" t="s">
        <v>82</v>
      </c>
      <c r="BY61" s="1" t="s">
        <v>108</v>
      </c>
      <c r="BZ61" s="1" t="s">
        <v>1406</v>
      </c>
      <c r="CA61" s="1" t="str">
        <f>HYPERLINK("https%3A%2F%2Fwww.webofscience.com%2Fwos%2Fwoscc%2Ffull-record%2FWOS:000793936900001","View Full Record in Web of Science")</f>
        <v>View Full Record in Web of Science</v>
      </c>
    </row>
    <row r="62" s="1" customFormat="1" ht="14.4" spans="1:79">
      <c r="A62">
        <v>61</v>
      </c>
      <c r="B62" s="2" t="s">
        <v>79</v>
      </c>
      <c r="C62" s="1" t="s">
        <v>80</v>
      </c>
      <c r="D62" s="1" t="s">
        <v>1407</v>
      </c>
      <c r="E62" s="1" t="s">
        <v>82</v>
      </c>
      <c r="F62" s="1" t="s">
        <v>82</v>
      </c>
      <c r="G62" s="1" t="s">
        <v>82</v>
      </c>
      <c r="H62" s="1" t="s">
        <v>1408</v>
      </c>
      <c r="I62" s="1" t="s">
        <v>82</v>
      </c>
      <c r="J62" s="1" t="s">
        <v>82</v>
      </c>
      <c r="K62" s="1" t="s">
        <v>1409</v>
      </c>
      <c r="L62" s="1" t="s">
        <v>1347</v>
      </c>
      <c r="M62" s="1">
        <v>10.323</v>
      </c>
      <c r="N62" s="2" t="s">
        <v>86</v>
      </c>
      <c r="O62" s="1" t="s">
        <v>82</v>
      </c>
      <c r="P62" s="1" t="s">
        <v>82</v>
      </c>
      <c r="Q62" s="1" t="s">
        <v>87</v>
      </c>
      <c r="R62" s="1" t="s">
        <v>115</v>
      </c>
      <c r="S62" s="1" t="s">
        <v>82</v>
      </c>
      <c r="T62" s="1" t="s">
        <v>82</v>
      </c>
      <c r="U62" s="1" t="s">
        <v>82</v>
      </c>
      <c r="V62" s="1" t="s">
        <v>82</v>
      </c>
      <c r="W62" s="1" t="s">
        <v>82</v>
      </c>
      <c r="X62" s="1" t="s">
        <v>1410</v>
      </c>
      <c r="Y62" s="1" t="s">
        <v>1411</v>
      </c>
      <c r="Z62" s="1" t="s">
        <v>1412</v>
      </c>
      <c r="AB62" s="1" t="s">
        <v>1413</v>
      </c>
      <c r="AC62" s="1" t="s">
        <v>1414</v>
      </c>
      <c r="AD62" s="1" t="s">
        <v>206</v>
      </c>
      <c r="AE62" s="1" t="s">
        <v>1415</v>
      </c>
      <c r="AF62" s="1" t="s">
        <v>1416</v>
      </c>
      <c r="AG62" s="1" t="s">
        <v>1417</v>
      </c>
      <c r="AH62" s="1" t="s">
        <v>1418</v>
      </c>
      <c r="AI62" s="1" t="s">
        <v>1419</v>
      </c>
      <c r="AJ62" s="1" t="s">
        <v>1420</v>
      </c>
      <c r="AK62" s="1" t="s">
        <v>1421</v>
      </c>
      <c r="AL62" s="1" t="s">
        <v>1422</v>
      </c>
      <c r="AM62" s="1" t="s">
        <v>82</v>
      </c>
      <c r="AN62" s="1">
        <v>72</v>
      </c>
      <c r="AO62" s="1">
        <v>1</v>
      </c>
      <c r="AP62" s="1">
        <v>1</v>
      </c>
      <c r="AQ62" s="1">
        <v>23</v>
      </c>
      <c r="AR62" s="1">
        <v>56</v>
      </c>
      <c r="AS62" s="1" t="s">
        <v>1002</v>
      </c>
      <c r="AT62" s="1" t="s">
        <v>1003</v>
      </c>
      <c r="AU62" s="1" t="s">
        <v>1004</v>
      </c>
      <c r="AV62" s="1" t="s">
        <v>1361</v>
      </c>
      <c r="AW62" s="1" t="s">
        <v>1362</v>
      </c>
      <c r="AX62" s="1" t="s">
        <v>82</v>
      </c>
      <c r="AY62" s="1" t="s">
        <v>1363</v>
      </c>
      <c r="AZ62" s="1" t="s">
        <v>1364</v>
      </c>
      <c r="BA62" s="1" t="s">
        <v>1403</v>
      </c>
      <c r="BB62" s="1">
        <v>2022</v>
      </c>
      <c r="BC62" s="1">
        <v>235</v>
      </c>
      <c r="BD62" s="1">
        <v>1</v>
      </c>
      <c r="BE62" s="1" t="s">
        <v>82</v>
      </c>
      <c r="BF62" s="1" t="s">
        <v>82</v>
      </c>
      <c r="BG62" s="1" t="s">
        <v>82</v>
      </c>
      <c r="BH62" s="1" t="s">
        <v>82</v>
      </c>
      <c r="BI62" s="1">
        <v>306</v>
      </c>
      <c r="BJ62" s="1">
        <v>319</v>
      </c>
      <c r="BK62" s="1" t="s">
        <v>82</v>
      </c>
      <c r="BL62" s="1" t="s">
        <v>1423</v>
      </c>
      <c r="BM62" s="1" t="str">
        <f>HYPERLINK("http://dx.doi.org/10.1111/nph.18143","http://dx.doi.org/10.1111/nph.18143")</f>
        <v>http://dx.doi.org/10.1111/nph.18143</v>
      </c>
      <c r="BN62" s="1" t="s">
        <v>82</v>
      </c>
      <c r="BO62" s="1" t="s">
        <v>267</v>
      </c>
      <c r="BP62" s="1">
        <v>14</v>
      </c>
      <c r="BQ62" s="1" t="s">
        <v>378</v>
      </c>
      <c r="BR62" s="1" t="s">
        <v>104</v>
      </c>
      <c r="BS62" s="1" t="s">
        <v>378</v>
      </c>
      <c r="BT62" s="1" t="s">
        <v>1424</v>
      </c>
      <c r="BU62" s="1">
        <v>35383395</v>
      </c>
      <c r="BV62" s="1" t="s">
        <v>82</v>
      </c>
      <c r="BW62" s="1" t="s">
        <v>82</v>
      </c>
      <c r="BX62" s="1" t="s">
        <v>82</v>
      </c>
      <c r="BY62" s="1" t="s">
        <v>108</v>
      </c>
      <c r="BZ62" s="1" t="s">
        <v>1425</v>
      </c>
      <c r="CA62" s="1" t="str">
        <f>HYPERLINK("https%3A%2F%2Fwww.webofscience.com%2Fwos%2Fwoscc%2Ffull-record%2FWOS:000788267100001","View Full Record in Web of Science")</f>
        <v>View Full Record in Web of Science</v>
      </c>
    </row>
    <row r="63" s="1" customFormat="1" ht="14.4" spans="1:79">
      <c r="A63">
        <v>62</v>
      </c>
      <c r="B63" s="2" t="s">
        <v>79</v>
      </c>
      <c r="C63" s="1" t="s">
        <v>80</v>
      </c>
      <c r="D63" s="1" t="s">
        <v>1426</v>
      </c>
      <c r="E63" s="1" t="s">
        <v>82</v>
      </c>
      <c r="F63" s="1" t="s">
        <v>82</v>
      </c>
      <c r="G63" s="1" t="s">
        <v>82</v>
      </c>
      <c r="H63" s="1" t="s">
        <v>1427</v>
      </c>
      <c r="I63" s="1" t="s">
        <v>82</v>
      </c>
      <c r="J63" s="1" t="s">
        <v>82</v>
      </c>
      <c r="K63" s="1" t="s">
        <v>1428</v>
      </c>
      <c r="L63" s="1" t="s">
        <v>1347</v>
      </c>
      <c r="M63" s="1">
        <v>10.323</v>
      </c>
      <c r="N63" s="2" t="s">
        <v>86</v>
      </c>
      <c r="O63" s="1" t="s">
        <v>82</v>
      </c>
      <c r="P63" s="1" t="s">
        <v>82</v>
      </c>
      <c r="Q63" s="1" t="s">
        <v>87</v>
      </c>
      <c r="R63" s="1" t="s">
        <v>115</v>
      </c>
      <c r="S63" s="1" t="s">
        <v>82</v>
      </c>
      <c r="T63" s="1" t="s">
        <v>82</v>
      </c>
      <c r="U63" s="1" t="s">
        <v>82</v>
      </c>
      <c r="V63" s="1" t="s">
        <v>82</v>
      </c>
      <c r="W63" s="1" t="s">
        <v>82</v>
      </c>
      <c r="X63" s="1" t="s">
        <v>1429</v>
      </c>
      <c r="Y63" s="1" t="s">
        <v>1430</v>
      </c>
      <c r="Z63" s="1" t="s">
        <v>1431</v>
      </c>
      <c r="AB63" s="1" t="s">
        <v>1432</v>
      </c>
      <c r="AC63" s="1" t="s">
        <v>1433</v>
      </c>
      <c r="AD63" s="1" t="s">
        <v>120</v>
      </c>
      <c r="AE63" s="1" t="s">
        <v>1434</v>
      </c>
      <c r="AF63" s="1" t="s">
        <v>1435</v>
      </c>
      <c r="AG63" s="1" t="s">
        <v>1436</v>
      </c>
      <c r="AH63" s="1" t="s">
        <v>1437</v>
      </c>
      <c r="AI63" s="1" t="s">
        <v>1438</v>
      </c>
      <c r="AJ63" s="1" t="s">
        <v>1439</v>
      </c>
      <c r="AK63" s="1" t="s">
        <v>1440</v>
      </c>
      <c r="AL63" s="1" t="s">
        <v>1441</v>
      </c>
      <c r="AM63" s="1" t="s">
        <v>82</v>
      </c>
      <c r="AN63" s="1">
        <v>67</v>
      </c>
      <c r="AO63" s="1">
        <v>5</v>
      </c>
      <c r="AP63" s="1">
        <v>7</v>
      </c>
      <c r="AQ63" s="1">
        <v>16</v>
      </c>
      <c r="AR63" s="1">
        <v>67</v>
      </c>
      <c r="AS63" s="1" t="s">
        <v>1002</v>
      </c>
      <c r="AT63" s="1" t="s">
        <v>1003</v>
      </c>
      <c r="AU63" s="1" t="s">
        <v>1004</v>
      </c>
      <c r="AV63" s="1" t="s">
        <v>1361</v>
      </c>
      <c r="AW63" s="1" t="s">
        <v>1362</v>
      </c>
      <c r="AX63" s="1" t="s">
        <v>82</v>
      </c>
      <c r="AY63" s="1" t="s">
        <v>1363</v>
      </c>
      <c r="AZ63" s="1" t="s">
        <v>1364</v>
      </c>
      <c r="BA63" s="1" t="s">
        <v>657</v>
      </c>
      <c r="BB63" s="1">
        <v>2022</v>
      </c>
      <c r="BC63" s="1">
        <v>234</v>
      </c>
      <c r="BD63" s="1">
        <v>1</v>
      </c>
      <c r="BE63" s="1" t="s">
        <v>82</v>
      </c>
      <c r="BF63" s="1" t="s">
        <v>82</v>
      </c>
      <c r="BG63" s="1" t="s">
        <v>82</v>
      </c>
      <c r="BH63" s="1" t="s">
        <v>82</v>
      </c>
      <c r="BI63" s="1">
        <v>295</v>
      </c>
      <c r="BJ63" s="1">
        <v>310</v>
      </c>
      <c r="BK63" s="1" t="s">
        <v>82</v>
      </c>
      <c r="BL63" s="1" t="s">
        <v>1442</v>
      </c>
      <c r="BM63" s="1" t="str">
        <f>HYPERLINK("http://dx.doi.org/10.1111/nph.17949","http://dx.doi.org/10.1111/nph.17949")</f>
        <v>http://dx.doi.org/10.1111/nph.17949</v>
      </c>
      <c r="BN63" s="1" t="s">
        <v>82</v>
      </c>
      <c r="BO63" s="1" t="s">
        <v>296</v>
      </c>
      <c r="BP63" s="1">
        <v>16</v>
      </c>
      <c r="BQ63" s="1" t="s">
        <v>378</v>
      </c>
      <c r="BR63" s="1" t="s">
        <v>104</v>
      </c>
      <c r="BS63" s="1" t="s">
        <v>378</v>
      </c>
      <c r="BT63" s="1" t="s">
        <v>1443</v>
      </c>
      <c r="BU63" s="1">
        <v>34997964</v>
      </c>
      <c r="BV63" s="1" t="s">
        <v>227</v>
      </c>
      <c r="BW63" s="1" t="s">
        <v>82</v>
      </c>
      <c r="BX63" s="1" t="s">
        <v>82</v>
      </c>
      <c r="BY63" s="1" t="s">
        <v>108</v>
      </c>
      <c r="BZ63" s="1" t="s">
        <v>1444</v>
      </c>
      <c r="CA63" s="1" t="str">
        <f>HYPERLINK("https%3A%2F%2Fwww.webofscience.com%2Fwos%2Fwoscc%2Ffull-record%2FWOS:000752964900001","View Full Record in Web of Science")</f>
        <v>View Full Record in Web of Science</v>
      </c>
    </row>
    <row r="64" s="1" customFormat="1" ht="14.4" spans="1:79">
      <c r="A64">
        <v>63</v>
      </c>
      <c r="B64" s="2" t="s">
        <v>79</v>
      </c>
      <c r="C64" s="1" t="s">
        <v>80</v>
      </c>
      <c r="D64" s="1" t="s">
        <v>1445</v>
      </c>
      <c r="E64" s="1" t="s">
        <v>82</v>
      </c>
      <c r="F64" s="1" t="s">
        <v>82</v>
      </c>
      <c r="G64" s="1" t="s">
        <v>82</v>
      </c>
      <c r="H64" s="1" t="s">
        <v>1446</v>
      </c>
      <c r="I64" s="1" t="s">
        <v>82</v>
      </c>
      <c r="J64" s="1" t="s">
        <v>82</v>
      </c>
      <c r="K64" s="1" t="s">
        <v>1447</v>
      </c>
      <c r="L64" s="1" t="s">
        <v>1347</v>
      </c>
      <c r="M64" s="1">
        <v>10.323</v>
      </c>
      <c r="N64" s="2" t="s">
        <v>86</v>
      </c>
      <c r="O64" s="1" t="s">
        <v>82</v>
      </c>
      <c r="P64" s="1" t="s">
        <v>82</v>
      </c>
      <c r="Q64" s="1" t="s">
        <v>87</v>
      </c>
      <c r="R64" s="1" t="s">
        <v>115</v>
      </c>
      <c r="S64" s="1" t="s">
        <v>82</v>
      </c>
      <c r="T64" s="1" t="s">
        <v>82</v>
      </c>
      <c r="U64" s="1" t="s">
        <v>82</v>
      </c>
      <c r="V64" s="1" t="s">
        <v>82</v>
      </c>
      <c r="W64" s="1" t="s">
        <v>82</v>
      </c>
      <c r="X64" s="1" t="s">
        <v>1448</v>
      </c>
      <c r="Y64" s="1" t="s">
        <v>1449</v>
      </c>
      <c r="Z64" s="1" t="s">
        <v>1450</v>
      </c>
      <c r="AA64" s="1">
        <v>1</v>
      </c>
      <c r="AB64" s="1" t="s">
        <v>1451</v>
      </c>
      <c r="AC64" s="1" t="s">
        <v>1452</v>
      </c>
      <c r="AD64" s="1" t="s">
        <v>93</v>
      </c>
      <c r="AE64" s="1" t="s">
        <v>1453</v>
      </c>
      <c r="AF64" s="1" t="s">
        <v>1454</v>
      </c>
      <c r="AG64" s="1" t="s">
        <v>1455</v>
      </c>
      <c r="AH64" s="1" t="s">
        <v>1456</v>
      </c>
      <c r="AI64" s="1" t="s">
        <v>1457</v>
      </c>
      <c r="AJ64" s="1" t="s">
        <v>1458</v>
      </c>
      <c r="AK64" s="1" t="s">
        <v>1459</v>
      </c>
      <c r="AL64" s="1" t="s">
        <v>1460</v>
      </c>
      <c r="AM64" s="1" t="s">
        <v>82</v>
      </c>
      <c r="AN64" s="1">
        <v>81</v>
      </c>
      <c r="AO64" s="1">
        <v>3</v>
      </c>
      <c r="AP64" s="1">
        <v>3</v>
      </c>
      <c r="AQ64" s="1">
        <v>12</v>
      </c>
      <c r="AR64" s="1">
        <v>48</v>
      </c>
      <c r="AS64" s="1" t="s">
        <v>1002</v>
      </c>
      <c r="AT64" s="1" t="s">
        <v>1003</v>
      </c>
      <c r="AU64" s="1" t="s">
        <v>1004</v>
      </c>
      <c r="AV64" s="1" t="s">
        <v>1361</v>
      </c>
      <c r="AW64" s="1" t="s">
        <v>1362</v>
      </c>
      <c r="AX64" s="1" t="s">
        <v>82</v>
      </c>
      <c r="AY64" s="1" t="s">
        <v>1363</v>
      </c>
      <c r="AZ64" s="1" t="s">
        <v>1364</v>
      </c>
      <c r="BA64" s="1" t="s">
        <v>397</v>
      </c>
      <c r="BB64" s="1">
        <v>2022</v>
      </c>
      <c r="BC64" s="1">
        <v>233</v>
      </c>
      <c r="BD64" s="1">
        <v>3</v>
      </c>
      <c r="BE64" s="1" t="s">
        <v>82</v>
      </c>
      <c r="BF64" s="1" t="s">
        <v>82</v>
      </c>
      <c r="BG64" s="1" t="s">
        <v>82</v>
      </c>
      <c r="BH64" s="1" t="s">
        <v>82</v>
      </c>
      <c r="BI64" s="1">
        <v>1383</v>
      </c>
      <c r="BJ64" s="1">
        <v>1400</v>
      </c>
      <c r="BK64" s="1" t="s">
        <v>82</v>
      </c>
      <c r="BL64" s="1" t="s">
        <v>1461</v>
      </c>
      <c r="BM64" s="1" t="str">
        <f>HYPERLINK("http://dx.doi.org/10.1111/nph.17858","http://dx.doi.org/10.1111/nph.17858")</f>
        <v>http://dx.doi.org/10.1111/nph.17858</v>
      </c>
      <c r="BN64" s="1" t="s">
        <v>82</v>
      </c>
      <c r="BO64" s="1" t="s">
        <v>1462</v>
      </c>
      <c r="BP64" s="1">
        <v>18</v>
      </c>
      <c r="BQ64" s="1" t="s">
        <v>378</v>
      </c>
      <c r="BR64" s="1" t="s">
        <v>104</v>
      </c>
      <c r="BS64" s="1" t="s">
        <v>378</v>
      </c>
      <c r="BT64" s="1" t="s">
        <v>1463</v>
      </c>
      <c r="BU64" s="1">
        <v>34767630</v>
      </c>
      <c r="BV64" s="1" t="s">
        <v>427</v>
      </c>
      <c r="BW64" s="1" t="s">
        <v>82</v>
      </c>
      <c r="BX64" s="1" t="s">
        <v>82</v>
      </c>
      <c r="BY64" s="1" t="s">
        <v>108</v>
      </c>
      <c r="BZ64" s="1" t="s">
        <v>1464</v>
      </c>
      <c r="CA64" s="1" t="str">
        <f>HYPERLINK("https%3A%2F%2Fwww.webofscience.com%2Fwos%2Fwoscc%2Ffull-record%2FWOS:000728229300001","View Full Record in Web of Science")</f>
        <v>View Full Record in Web of Science</v>
      </c>
    </row>
    <row r="65" s="1" customFormat="1" ht="14.4" spans="1:79">
      <c r="A65">
        <v>64</v>
      </c>
      <c r="B65" s="2" t="s">
        <v>110</v>
      </c>
      <c r="C65" s="1" t="s">
        <v>80</v>
      </c>
      <c r="D65" s="1" t="s">
        <v>1465</v>
      </c>
      <c r="E65" s="1" t="s">
        <v>82</v>
      </c>
      <c r="F65" s="1" t="s">
        <v>82</v>
      </c>
      <c r="G65" s="1" t="s">
        <v>82</v>
      </c>
      <c r="H65" s="1" t="s">
        <v>1466</v>
      </c>
      <c r="I65" s="1" t="s">
        <v>82</v>
      </c>
      <c r="J65" s="1" t="s">
        <v>82</v>
      </c>
      <c r="K65" s="1" t="s">
        <v>1467</v>
      </c>
      <c r="L65" s="1" t="s">
        <v>1468</v>
      </c>
      <c r="M65" s="1">
        <v>9.969</v>
      </c>
      <c r="N65" s="2" t="s">
        <v>86</v>
      </c>
      <c r="O65" s="1" t="s">
        <v>82</v>
      </c>
      <c r="P65" s="1" t="s">
        <v>82</v>
      </c>
      <c r="Q65" s="1" t="s">
        <v>87</v>
      </c>
      <c r="R65" s="1" t="s">
        <v>115</v>
      </c>
      <c r="S65" s="1" t="s">
        <v>82</v>
      </c>
      <c r="T65" s="1" t="s">
        <v>82</v>
      </c>
      <c r="U65" s="1" t="s">
        <v>82</v>
      </c>
      <c r="V65" s="1" t="s">
        <v>82</v>
      </c>
      <c r="W65" s="1" t="s">
        <v>82</v>
      </c>
      <c r="X65" s="1" t="s">
        <v>82</v>
      </c>
      <c r="Y65" s="1" t="s">
        <v>1469</v>
      </c>
      <c r="Z65" s="1" t="s">
        <v>1470</v>
      </c>
      <c r="AA65" s="1">
        <v>1</v>
      </c>
      <c r="AB65" s="1" t="s">
        <v>1471</v>
      </c>
      <c r="AC65" s="1" t="s">
        <v>1472</v>
      </c>
      <c r="AD65" s="1" t="s">
        <v>93</v>
      </c>
      <c r="AE65" s="1" t="s">
        <v>1473</v>
      </c>
      <c r="AF65" s="1" t="s">
        <v>1474</v>
      </c>
      <c r="AG65" s="1" t="s">
        <v>1475</v>
      </c>
      <c r="AH65" s="1" t="s">
        <v>82</v>
      </c>
      <c r="AI65" s="1" t="s">
        <v>1476</v>
      </c>
      <c r="AJ65" s="1" t="s">
        <v>1477</v>
      </c>
      <c r="AK65" s="1" t="s">
        <v>1478</v>
      </c>
      <c r="AL65" s="1" t="s">
        <v>1479</v>
      </c>
      <c r="AM65" s="1" t="s">
        <v>82</v>
      </c>
      <c r="AN65" s="1">
        <v>79</v>
      </c>
      <c r="AO65" s="1">
        <v>2</v>
      </c>
      <c r="AP65" s="1">
        <v>2</v>
      </c>
      <c r="AQ65" s="1">
        <v>20</v>
      </c>
      <c r="AR65" s="1">
        <v>37</v>
      </c>
      <c r="AS65" s="1" t="s">
        <v>1480</v>
      </c>
      <c r="AT65" s="1" t="s">
        <v>416</v>
      </c>
      <c r="AU65" s="1" t="s">
        <v>1481</v>
      </c>
      <c r="AV65" s="1" t="s">
        <v>1482</v>
      </c>
      <c r="AW65" s="1" t="s">
        <v>1483</v>
      </c>
      <c r="AX65" s="1" t="s">
        <v>82</v>
      </c>
      <c r="AY65" s="1" t="s">
        <v>1484</v>
      </c>
      <c r="AZ65" s="1" t="s">
        <v>1485</v>
      </c>
      <c r="BA65" s="1" t="s">
        <v>1486</v>
      </c>
      <c r="BB65" s="1">
        <v>2022</v>
      </c>
      <c r="BC65" s="1">
        <v>13</v>
      </c>
      <c r="BD65" s="1">
        <v>26</v>
      </c>
      <c r="BE65" s="1" t="s">
        <v>82</v>
      </c>
      <c r="BF65" s="1" t="s">
        <v>82</v>
      </c>
      <c r="BG65" s="1" t="s">
        <v>82</v>
      </c>
      <c r="BH65" s="1" t="s">
        <v>82</v>
      </c>
      <c r="BI65" s="1">
        <v>7755</v>
      </c>
      <c r="BJ65" s="1">
        <v>7764</v>
      </c>
      <c r="BK65" s="1" t="s">
        <v>82</v>
      </c>
      <c r="BL65" s="1" t="s">
        <v>1487</v>
      </c>
      <c r="BM65" s="1" t="str">
        <f>HYPERLINK("http://dx.doi.org/10.1039/d2sc02176e","http://dx.doi.org/10.1039/d2sc02176e")</f>
        <v>http://dx.doi.org/10.1039/d2sc02176e</v>
      </c>
      <c r="BN65" s="1" t="s">
        <v>82</v>
      </c>
      <c r="BO65" s="1" t="s">
        <v>247</v>
      </c>
      <c r="BP65" s="1">
        <v>11</v>
      </c>
      <c r="BQ65" s="1" t="s">
        <v>705</v>
      </c>
      <c r="BR65" s="1" t="s">
        <v>745</v>
      </c>
      <c r="BS65" s="1" t="s">
        <v>706</v>
      </c>
      <c r="BT65" s="1" t="s">
        <v>1488</v>
      </c>
      <c r="BU65" s="1">
        <v>35865907</v>
      </c>
      <c r="BV65" s="1" t="s">
        <v>635</v>
      </c>
      <c r="BW65" s="1" t="s">
        <v>82</v>
      </c>
      <c r="BX65" s="1" t="s">
        <v>82</v>
      </c>
      <c r="BY65" s="1" t="s">
        <v>108</v>
      </c>
      <c r="BZ65" s="1" t="s">
        <v>1489</v>
      </c>
      <c r="CA65" s="1" t="str">
        <f>HYPERLINK("https%3A%2F%2Fwww.webofscience.com%2Fwos%2Fwoscc%2Ffull-record%2FWOS:000806467100001","View Full Record in Web of Science")</f>
        <v>View Full Record in Web of Science</v>
      </c>
    </row>
    <row r="66" s="1" customFormat="1" ht="14.4" spans="1:79">
      <c r="A66">
        <v>65</v>
      </c>
      <c r="B66" s="2" t="s">
        <v>110</v>
      </c>
      <c r="C66" s="1" t="s">
        <v>80</v>
      </c>
      <c r="D66" s="1" t="s">
        <v>1490</v>
      </c>
      <c r="E66" s="1" t="s">
        <v>82</v>
      </c>
      <c r="F66" s="1" t="s">
        <v>82</v>
      </c>
      <c r="G66" s="1" t="s">
        <v>82</v>
      </c>
      <c r="H66" s="1" t="s">
        <v>1491</v>
      </c>
      <c r="I66" s="1" t="s">
        <v>82</v>
      </c>
      <c r="J66" s="1" t="s">
        <v>82</v>
      </c>
      <c r="K66" s="1" t="s">
        <v>1492</v>
      </c>
      <c r="L66" s="1" t="s">
        <v>1493</v>
      </c>
      <c r="M66" s="1">
        <v>9.429</v>
      </c>
      <c r="N66" s="2" t="s">
        <v>86</v>
      </c>
      <c r="O66" s="1" t="s">
        <v>82</v>
      </c>
      <c r="P66" s="1" t="s">
        <v>82</v>
      </c>
      <c r="Q66" s="1" t="s">
        <v>87</v>
      </c>
      <c r="R66" s="1" t="s">
        <v>115</v>
      </c>
      <c r="S66" s="1" t="s">
        <v>82</v>
      </c>
      <c r="T66" s="1" t="s">
        <v>82</v>
      </c>
      <c r="U66" s="1" t="s">
        <v>82</v>
      </c>
      <c r="V66" s="1" t="s">
        <v>82</v>
      </c>
      <c r="W66" s="1" t="s">
        <v>82</v>
      </c>
      <c r="X66" s="1" t="s">
        <v>1494</v>
      </c>
      <c r="Y66" s="1" t="s">
        <v>1495</v>
      </c>
      <c r="Z66" s="1" t="s">
        <v>1496</v>
      </c>
      <c r="AB66" s="1" t="s">
        <v>1497</v>
      </c>
      <c r="AC66" s="1" t="s">
        <v>1498</v>
      </c>
      <c r="AD66" s="1" t="s">
        <v>206</v>
      </c>
      <c r="AE66" s="1" t="s">
        <v>1499</v>
      </c>
      <c r="AF66" s="1" t="s">
        <v>1500</v>
      </c>
      <c r="AG66" s="1" t="s">
        <v>1501</v>
      </c>
      <c r="AH66" s="1" t="s">
        <v>1502</v>
      </c>
      <c r="AI66" s="1" t="s">
        <v>1503</v>
      </c>
      <c r="AJ66" s="1" t="s">
        <v>1504</v>
      </c>
      <c r="AK66" s="1" t="s">
        <v>1505</v>
      </c>
      <c r="AL66" s="1" t="s">
        <v>1506</v>
      </c>
      <c r="AM66" s="1" t="s">
        <v>82</v>
      </c>
      <c r="AN66" s="1">
        <v>49</v>
      </c>
      <c r="AO66" s="1">
        <v>0</v>
      </c>
      <c r="AP66" s="1">
        <v>0</v>
      </c>
      <c r="AQ66" s="1">
        <v>11</v>
      </c>
      <c r="AR66" s="1">
        <v>11</v>
      </c>
      <c r="AS66" s="1" t="s">
        <v>563</v>
      </c>
      <c r="AT66" s="1" t="s">
        <v>371</v>
      </c>
      <c r="AU66" s="1" t="s">
        <v>564</v>
      </c>
      <c r="AV66" s="1" t="s">
        <v>82</v>
      </c>
      <c r="AW66" s="1" t="s">
        <v>1507</v>
      </c>
      <c r="AX66" s="1" t="s">
        <v>82</v>
      </c>
      <c r="AY66" s="1" t="s">
        <v>1508</v>
      </c>
      <c r="AZ66" s="1" t="s">
        <v>1509</v>
      </c>
      <c r="BA66" s="1" t="s">
        <v>1510</v>
      </c>
      <c r="BB66" s="1">
        <v>2022</v>
      </c>
      <c r="BC66" s="1">
        <v>20</v>
      </c>
      <c r="BD66" s="1">
        <v>1</v>
      </c>
      <c r="BE66" s="1" t="s">
        <v>82</v>
      </c>
      <c r="BF66" s="1" t="s">
        <v>82</v>
      </c>
      <c r="BG66" s="1" t="s">
        <v>82</v>
      </c>
      <c r="BH66" s="1" t="s">
        <v>82</v>
      </c>
      <c r="BI66" s="1" t="s">
        <v>82</v>
      </c>
      <c r="BJ66" s="1" t="s">
        <v>82</v>
      </c>
      <c r="BK66" s="1">
        <v>320</v>
      </c>
      <c r="BL66" s="1" t="s">
        <v>1511</v>
      </c>
      <c r="BM66" s="1" t="str">
        <f>HYPERLINK("http://dx.doi.org/10.1186/s12951-022-01533-3","http://dx.doi.org/10.1186/s12951-022-01533-3")</f>
        <v>http://dx.doi.org/10.1186/s12951-022-01533-3</v>
      </c>
      <c r="BN66" s="1" t="s">
        <v>82</v>
      </c>
      <c r="BO66" s="1" t="s">
        <v>82</v>
      </c>
      <c r="BP66" s="1">
        <v>18</v>
      </c>
      <c r="BQ66" s="1" t="s">
        <v>1512</v>
      </c>
      <c r="BR66" s="1" t="s">
        <v>104</v>
      </c>
      <c r="BS66" s="1" t="s">
        <v>1513</v>
      </c>
      <c r="BT66" s="1" t="s">
        <v>1514</v>
      </c>
      <c r="BU66" s="1">
        <v>35836236</v>
      </c>
      <c r="BV66" s="1" t="s">
        <v>1515</v>
      </c>
      <c r="BW66" s="1" t="s">
        <v>82</v>
      </c>
      <c r="BX66" s="1" t="s">
        <v>82</v>
      </c>
      <c r="BY66" s="1" t="s">
        <v>108</v>
      </c>
      <c r="BZ66" s="1" t="s">
        <v>1516</v>
      </c>
      <c r="CA66" s="1" t="str">
        <f>HYPERLINK("https%3A%2F%2Fwww.webofscience.com%2Fwos%2Fwoscc%2Ffull-record%2FWOS:000825479500005","View Full Record in Web of Science")</f>
        <v>View Full Record in Web of Science</v>
      </c>
    </row>
    <row r="67" s="1" customFormat="1" ht="14.4" spans="1:79">
      <c r="A67">
        <v>66</v>
      </c>
      <c r="B67" s="2" t="s">
        <v>79</v>
      </c>
      <c r="C67" s="1" t="s">
        <v>80</v>
      </c>
      <c r="D67" s="1" t="s">
        <v>1517</v>
      </c>
      <c r="E67" s="1" t="s">
        <v>82</v>
      </c>
      <c r="F67" s="1" t="s">
        <v>82</v>
      </c>
      <c r="G67" s="1" t="s">
        <v>82</v>
      </c>
      <c r="H67" s="1" t="s">
        <v>1518</v>
      </c>
      <c r="I67" s="1" t="s">
        <v>82</v>
      </c>
      <c r="J67" s="1" t="s">
        <v>82</v>
      </c>
      <c r="K67" s="1" t="s">
        <v>1519</v>
      </c>
      <c r="L67" s="1" t="s">
        <v>1520</v>
      </c>
      <c r="M67" s="1">
        <v>9.231</v>
      </c>
      <c r="N67" s="2" t="s">
        <v>86</v>
      </c>
      <c r="O67" s="1" t="s">
        <v>82</v>
      </c>
      <c r="P67" s="1" t="s">
        <v>82</v>
      </c>
      <c r="Q67" s="1" t="s">
        <v>87</v>
      </c>
      <c r="R67" s="1" t="s">
        <v>115</v>
      </c>
      <c r="S67" s="1" t="s">
        <v>82</v>
      </c>
      <c r="T67" s="1" t="s">
        <v>82</v>
      </c>
      <c r="U67" s="1" t="s">
        <v>82</v>
      </c>
      <c r="V67" s="1" t="s">
        <v>82</v>
      </c>
      <c r="W67" s="1" t="s">
        <v>82</v>
      </c>
      <c r="X67" s="1" t="s">
        <v>1521</v>
      </c>
      <c r="Y67" s="1" t="s">
        <v>1522</v>
      </c>
      <c r="Z67" s="1" t="s">
        <v>1523</v>
      </c>
      <c r="AB67" s="1" t="s">
        <v>1524</v>
      </c>
      <c r="AC67" s="1" t="s">
        <v>1525</v>
      </c>
      <c r="AD67" s="1" t="s">
        <v>120</v>
      </c>
      <c r="AE67" s="1" t="s">
        <v>1526</v>
      </c>
      <c r="AF67" s="1" t="s">
        <v>1527</v>
      </c>
      <c r="AG67" s="1" t="s">
        <v>1528</v>
      </c>
      <c r="AH67" s="1" t="s">
        <v>1529</v>
      </c>
      <c r="AI67" s="1" t="s">
        <v>82</v>
      </c>
      <c r="AJ67" s="1" t="s">
        <v>1530</v>
      </c>
      <c r="AK67" s="1" t="s">
        <v>442</v>
      </c>
      <c r="AL67" s="1" t="s">
        <v>1531</v>
      </c>
      <c r="AM67" s="1" t="s">
        <v>82</v>
      </c>
      <c r="AN67" s="1">
        <v>36</v>
      </c>
      <c r="AO67" s="1">
        <v>1</v>
      </c>
      <c r="AP67" s="1">
        <v>1</v>
      </c>
      <c r="AQ67" s="1">
        <v>21</v>
      </c>
      <c r="AR67" s="1">
        <v>21</v>
      </c>
      <c r="AS67" s="1" t="s">
        <v>508</v>
      </c>
      <c r="AT67" s="1" t="s">
        <v>329</v>
      </c>
      <c r="AU67" s="1" t="s">
        <v>509</v>
      </c>
      <c r="AV67" s="1" t="s">
        <v>1532</v>
      </c>
      <c r="AW67" s="1" t="s">
        <v>1533</v>
      </c>
      <c r="AX67" s="1" t="s">
        <v>82</v>
      </c>
      <c r="AY67" s="1" t="s">
        <v>1534</v>
      </c>
      <c r="AZ67" s="1" t="s">
        <v>1535</v>
      </c>
      <c r="BA67" s="1" t="s">
        <v>1536</v>
      </c>
      <c r="BB67" s="1">
        <v>2022</v>
      </c>
      <c r="BC67" s="1">
        <v>395</v>
      </c>
      <c r="BD67" s="1" t="s">
        <v>82</v>
      </c>
      <c r="BE67" s="1" t="s">
        <v>82</v>
      </c>
      <c r="BF67" s="1" t="s">
        <v>82</v>
      </c>
      <c r="BG67" s="1" t="s">
        <v>82</v>
      </c>
      <c r="BH67" s="1" t="s">
        <v>82</v>
      </c>
      <c r="BI67" s="1" t="s">
        <v>82</v>
      </c>
      <c r="BJ67" s="1" t="s">
        <v>82</v>
      </c>
      <c r="BK67" s="1">
        <v>133559</v>
      </c>
      <c r="BL67" s="1" t="s">
        <v>1537</v>
      </c>
      <c r="BM67" s="1" t="str">
        <f>HYPERLINK("http://dx.doi.org/10.1016/j.foodchem.2022.133559","http://dx.doi.org/10.1016/j.foodchem.2022.133559")</f>
        <v>http://dx.doi.org/10.1016/j.foodchem.2022.133559</v>
      </c>
      <c r="BN67" s="1" t="s">
        <v>82</v>
      </c>
      <c r="BO67" s="1" t="s">
        <v>1298</v>
      </c>
      <c r="BP67" s="1">
        <v>9</v>
      </c>
      <c r="BQ67" s="1" t="s">
        <v>1538</v>
      </c>
      <c r="BR67" s="1" t="s">
        <v>104</v>
      </c>
      <c r="BS67" s="1" t="s">
        <v>1539</v>
      </c>
      <c r="BT67" s="1" t="s">
        <v>1540</v>
      </c>
      <c r="BU67" s="1">
        <v>35777210</v>
      </c>
      <c r="BV67" s="1" t="s">
        <v>82</v>
      </c>
      <c r="BW67" s="1" t="s">
        <v>82</v>
      </c>
      <c r="BX67" s="1" t="s">
        <v>82</v>
      </c>
      <c r="BY67" s="1" t="s">
        <v>108</v>
      </c>
      <c r="BZ67" s="1" t="s">
        <v>1541</v>
      </c>
      <c r="CA67" s="1" t="str">
        <f>HYPERLINK("https%3A%2F%2Fwww.webofscience.com%2Fwos%2Fwoscc%2Ffull-record%2FWOS:000822974700001","View Full Record in Web of Science")</f>
        <v>View Full Record in Web of Science</v>
      </c>
    </row>
    <row r="68" s="1" customFormat="1" ht="14.4" spans="1:79">
      <c r="A68">
        <v>67</v>
      </c>
      <c r="B68" s="2" t="s">
        <v>79</v>
      </c>
      <c r="C68" s="1" t="s">
        <v>80</v>
      </c>
      <c r="D68" s="1" t="s">
        <v>1542</v>
      </c>
      <c r="E68" s="1" t="s">
        <v>82</v>
      </c>
      <c r="F68" s="1" t="s">
        <v>82</v>
      </c>
      <c r="G68" s="1" t="s">
        <v>82</v>
      </c>
      <c r="H68" s="1" t="s">
        <v>1543</v>
      </c>
      <c r="I68" s="1" t="s">
        <v>82</v>
      </c>
      <c r="J68" s="1" t="s">
        <v>82</v>
      </c>
      <c r="K68" s="1" t="s">
        <v>1544</v>
      </c>
      <c r="L68" s="1" t="s">
        <v>1520</v>
      </c>
      <c r="M68" s="1">
        <v>9.231</v>
      </c>
      <c r="N68" s="2" t="s">
        <v>86</v>
      </c>
      <c r="O68" s="1" t="s">
        <v>82</v>
      </c>
      <c r="P68" s="1" t="s">
        <v>82</v>
      </c>
      <c r="Q68" s="1" t="s">
        <v>87</v>
      </c>
      <c r="R68" s="1" t="s">
        <v>115</v>
      </c>
      <c r="S68" s="1" t="s">
        <v>82</v>
      </c>
      <c r="T68" s="1" t="s">
        <v>82</v>
      </c>
      <c r="U68" s="1" t="s">
        <v>82</v>
      </c>
      <c r="V68" s="1" t="s">
        <v>82</v>
      </c>
      <c r="W68" s="1" t="s">
        <v>82</v>
      </c>
      <c r="X68" s="1" t="s">
        <v>1545</v>
      </c>
      <c r="Y68" s="1" t="s">
        <v>1546</v>
      </c>
      <c r="Z68" s="1" t="s">
        <v>1547</v>
      </c>
      <c r="AA68" s="1">
        <v>1</v>
      </c>
      <c r="AB68" s="1" t="s">
        <v>1548</v>
      </c>
      <c r="AC68" s="1" t="s">
        <v>1549</v>
      </c>
      <c r="AD68" s="1" t="s">
        <v>93</v>
      </c>
      <c r="AE68" s="1" t="s">
        <v>1550</v>
      </c>
      <c r="AF68" s="1" t="s">
        <v>1551</v>
      </c>
      <c r="AG68" s="1" t="s">
        <v>1552</v>
      </c>
      <c r="AH68" s="1" t="s">
        <v>82</v>
      </c>
      <c r="AI68" s="1" t="s">
        <v>82</v>
      </c>
      <c r="AJ68" s="1" t="s">
        <v>1553</v>
      </c>
      <c r="AK68" s="1" t="s">
        <v>1554</v>
      </c>
      <c r="AL68" s="1" t="s">
        <v>1555</v>
      </c>
      <c r="AM68" s="1" t="s">
        <v>82</v>
      </c>
      <c r="AN68" s="1">
        <v>33</v>
      </c>
      <c r="AO68" s="1">
        <v>1</v>
      </c>
      <c r="AP68" s="1">
        <v>1</v>
      </c>
      <c r="AQ68" s="1">
        <v>13</v>
      </c>
      <c r="AR68" s="1">
        <v>35</v>
      </c>
      <c r="AS68" s="1" t="s">
        <v>508</v>
      </c>
      <c r="AT68" s="1" t="s">
        <v>329</v>
      </c>
      <c r="AU68" s="1" t="s">
        <v>509</v>
      </c>
      <c r="AV68" s="1" t="s">
        <v>1532</v>
      </c>
      <c r="AW68" s="1" t="s">
        <v>1533</v>
      </c>
      <c r="AX68" s="1" t="s">
        <v>82</v>
      </c>
      <c r="AY68" s="1" t="s">
        <v>1534</v>
      </c>
      <c r="AZ68" s="1" t="s">
        <v>1535</v>
      </c>
      <c r="BA68" s="1" t="s">
        <v>1296</v>
      </c>
      <c r="BB68" s="1">
        <v>2022</v>
      </c>
      <c r="BC68" s="1">
        <v>388</v>
      </c>
      <c r="BD68" s="1" t="s">
        <v>82</v>
      </c>
      <c r="BE68" s="1" t="s">
        <v>82</v>
      </c>
      <c r="BF68" s="1" t="s">
        <v>82</v>
      </c>
      <c r="BG68" s="1" t="s">
        <v>82</v>
      </c>
      <c r="BH68" s="1" t="s">
        <v>82</v>
      </c>
      <c r="BI68" s="1" t="s">
        <v>82</v>
      </c>
      <c r="BJ68" s="1" t="s">
        <v>82</v>
      </c>
      <c r="BK68" s="1">
        <v>132981</v>
      </c>
      <c r="BL68" s="1" t="s">
        <v>1556</v>
      </c>
      <c r="BM68" s="1" t="str">
        <f>HYPERLINK("http://dx.doi.org/10.1016/j.foodchem.2022.132981","http://dx.doi.org/10.1016/j.foodchem.2022.132981")</f>
        <v>http://dx.doi.org/10.1016/j.foodchem.2022.132981</v>
      </c>
      <c r="BN68" s="1" t="s">
        <v>82</v>
      </c>
      <c r="BO68" s="1" t="s">
        <v>267</v>
      </c>
      <c r="BP68" s="1">
        <v>10</v>
      </c>
      <c r="BQ68" s="1" t="s">
        <v>1538</v>
      </c>
      <c r="BR68" s="1" t="s">
        <v>104</v>
      </c>
      <c r="BS68" s="1" t="s">
        <v>1539</v>
      </c>
      <c r="BT68" s="1" t="s">
        <v>1557</v>
      </c>
      <c r="BU68" s="1">
        <v>35468461</v>
      </c>
      <c r="BV68" s="1" t="s">
        <v>82</v>
      </c>
      <c r="BW68" s="1" t="s">
        <v>82</v>
      </c>
      <c r="BX68" s="1" t="s">
        <v>82</v>
      </c>
      <c r="BY68" s="1" t="s">
        <v>108</v>
      </c>
      <c r="BZ68" s="1" t="s">
        <v>1558</v>
      </c>
      <c r="CA68" s="1" t="str">
        <f>HYPERLINK("https%3A%2F%2Fwww.webofscience.com%2Fwos%2Fwoscc%2Ffull-record%2FWOS:000803035900008","View Full Record in Web of Science")</f>
        <v>View Full Record in Web of Science</v>
      </c>
    </row>
    <row r="69" s="1" customFormat="1" ht="14.4" spans="1:79">
      <c r="A69">
        <v>68</v>
      </c>
      <c r="B69" s="2" t="s">
        <v>110</v>
      </c>
      <c r="C69" s="1" t="s">
        <v>80</v>
      </c>
      <c r="D69" s="1" t="s">
        <v>1559</v>
      </c>
      <c r="E69" s="1" t="s">
        <v>82</v>
      </c>
      <c r="F69" s="1" t="s">
        <v>82</v>
      </c>
      <c r="G69" s="1" t="s">
        <v>82</v>
      </c>
      <c r="H69" s="1" t="s">
        <v>1560</v>
      </c>
      <c r="I69" s="1" t="s">
        <v>82</v>
      </c>
      <c r="J69" s="1" t="s">
        <v>82</v>
      </c>
      <c r="K69" s="1" t="s">
        <v>1561</v>
      </c>
      <c r="L69" s="1" t="s">
        <v>1520</v>
      </c>
      <c r="M69" s="1">
        <v>9.231</v>
      </c>
      <c r="N69" s="2" t="s">
        <v>86</v>
      </c>
      <c r="O69" s="1" t="s">
        <v>82</v>
      </c>
      <c r="P69" s="1" t="s">
        <v>82</v>
      </c>
      <c r="Q69" s="1" t="s">
        <v>87</v>
      </c>
      <c r="R69" s="1" t="s">
        <v>115</v>
      </c>
      <c r="S69" s="1" t="s">
        <v>82</v>
      </c>
      <c r="T69" s="1" t="s">
        <v>82</v>
      </c>
      <c r="U69" s="1" t="s">
        <v>82</v>
      </c>
      <c r="V69" s="1" t="s">
        <v>82</v>
      </c>
      <c r="W69" s="1" t="s">
        <v>82</v>
      </c>
      <c r="X69" s="1" t="s">
        <v>1562</v>
      </c>
      <c r="Y69" s="1" t="s">
        <v>1563</v>
      </c>
      <c r="Z69" s="1" t="s">
        <v>1564</v>
      </c>
      <c r="AA69" s="1">
        <v>1</v>
      </c>
      <c r="AB69" s="1" t="s">
        <v>1565</v>
      </c>
      <c r="AC69" s="1" t="s">
        <v>1566</v>
      </c>
      <c r="AD69" s="1" t="s">
        <v>93</v>
      </c>
      <c r="AE69" s="1" t="s">
        <v>1567</v>
      </c>
      <c r="AF69" s="1" t="s">
        <v>1568</v>
      </c>
      <c r="AG69" s="1" t="s">
        <v>1569</v>
      </c>
      <c r="AH69" s="1" t="s">
        <v>82</v>
      </c>
      <c r="AI69" s="1" t="s">
        <v>82</v>
      </c>
      <c r="AJ69" s="1" t="s">
        <v>1570</v>
      </c>
      <c r="AK69" s="1" t="s">
        <v>1571</v>
      </c>
      <c r="AL69" s="1" t="s">
        <v>1572</v>
      </c>
      <c r="AM69" s="1" t="s">
        <v>82</v>
      </c>
      <c r="AN69" s="1">
        <v>39</v>
      </c>
      <c r="AO69" s="1">
        <v>1</v>
      </c>
      <c r="AP69" s="1">
        <v>1</v>
      </c>
      <c r="AQ69" s="1">
        <v>8</v>
      </c>
      <c r="AR69" s="1">
        <v>18</v>
      </c>
      <c r="AS69" s="1" t="s">
        <v>508</v>
      </c>
      <c r="AT69" s="1" t="s">
        <v>329</v>
      </c>
      <c r="AU69" s="1" t="s">
        <v>509</v>
      </c>
      <c r="AV69" s="1" t="s">
        <v>1532</v>
      </c>
      <c r="AW69" s="1" t="s">
        <v>1533</v>
      </c>
      <c r="AX69" s="1" t="s">
        <v>82</v>
      </c>
      <c r="AY69" s="1" t="s">
        <v>1534</v>
      </c>
      <c r="AZ69" s="1" t="s">
        <v>1535</v>
      </c>
      <c r="BA69" s="1" t="s">
        <v>1573</v>
      </c>
      <c r="BB69" s="1">
        <v>2022</v>
      </c>
      <c r="BC69" s="1">
        <v>376</v>
      </c>
      <c r="BD69" s="1" t="s">
        <v>82</v>
      </c>
      <c r="BE69" s="1" t="s">
        <v>82</v>
      </c>
      <c r="BF69" s="1" t="s">
        <v>82</v>
      </c>
      <c r="BG69" s="1" t="s">
        <v>82</v>
      </c>
      <c r="BH69" s="1" t="s">
        <v>82</v>
      </c>
      <c r="BI69" s="1" t="s">
        <v>82</v>
      </c>
      <c r="BJ69" s="1" t="s">
        <v>82</v>
      </c>
      <c r="BK69" s="1">
        <v>131923</v>
      </c>
      <c r="BL69" s="1" t="s">
        <v>1574</v>
      </c>
      <c r="BM69" s="1" t="str">
        <f>HYPERLINK("http://dx.doi.org/10.1016/j.foodchem.2021.131923","http://dx.doi.org/10.1016/j.foodchem.2021.131923")</f>
        <v>http://dx.doi.org/10.1016/j.foodchem.2021.131923</v>
      </c>
      <c r="BN69" s="1" t="s">
        <v>82</v>
      </c>
      <c r="BO69" s="1" t="s">
        <v>1462</v>
      </c>
      <c r="BP69" s="1">
        <v>10</v>
      </c>
      <c r="BQ69" s="1" t="s">
        <v>1538</v>
      </c>
      <c r="BR69" s="1" t="s">
        <v>104</v>
      </c>
      <c r="BS69" s="1" t="s">
        <v>1539</v>
      </c>
      <c r="BT69" s="1" t="s">
        <v>1575</v>
      </c>
      <c r="BU69" s="1">
        <v>34968905</v>
      </c>
      <c r="BV69" s="1" t="s">
        <v>82</v>
      </c>
      <c r="BW69" s="1" t="s">
        <v>82</v>
      </c>
      <c r="BX69" s="1" t="s">
        <v>82</v>
      </c>
      <c r="BY69" s="1" t="s">
        <v>108</v>
      </c>
      <c r="BZ69" s="1" t="s">
        <v>1576</v>
      </c>
      <c r="CA69" s="1" t="str">
        <f>HYPERLINK("https%3A%2F%2Fwww.webofscience.com%2Fwos%2Fwoscc%2Ffull-record%2FWOS:000741200300008","View Full Record in Web of Science")</f>
        <v>View Full Record in Web of Science</v>
      </c>
    </row>
    <row r="70" s="1" customFormat="1" ht="14.4" spans="1:79">
      <c r="A70">
        <v>69</v>
      </c>
      <c r="B70" s="2" t="s">
        <v>110</v>
      </c>
      <c r="C70" s="1" t="s">
        <v>80</v>
      </c>
      <c r="D70" s="1" t="s">
        <v>1577</v>
      </c>
      <c r="E70" s="1" t="s">
        <v>82</v>
      </c>
      <c r="F70" s="1" t="s">
        <v>82</v>
      </c>
      <c r="G70" s="1" t="s">
        <v>82</v>
      </c>
      <c r="H70" s="1" t="s">
        <v>1578</v>
      </c>
      <c r="I70" s="1" t="s">
        <v>82</v>
      </c>
      <c r="J70" s="1" t="s">
        <v>82</v>
      </c>
      <c r="K70" s="1" t="s">
        <v>1579</v>
      </c>
      <c r="L70" s="1" t="s">
        <v>1520</v>
      </c>
      <c r="M70" s="1">
        <v>9.231</v>
      </c>
      <c r="N70" s="2" t="s">
        <v>86</v>
      </c>
      <c r="O70" s="1" t="s">
        <v>82</v>
      </c>
      <c r="P70" s="1" t="s">
        <v>82</v>
      </c>
      <c r="Q70" s="1" t="s">
        <v>87</v>
      </c>
      <c r="R70" s="1" t="s">
        <v>115</v>
      </c>
      <c r="S70" s="1" t="s">
        <v>82</v>
      </c>
      <c r="T70" s="1" t="s">
        <v>82</v>
      </c>
      <c r="U70" s="1" t="s">
        <v>82</v>
      </c>
      <c r="V70" s="1" t="s">
        <v>82</v>
      </c>
      <c r="W70" s="1" t="s">
        <v>82</v>
      </c>
      <c r="X70" s="1" t="s">
        <v>1580</v>
      </c>
      <c r="Y70" s="1" t="s">
        <v>1581</v>
      </c>
      <c r="Z70" s="1" t="s">
        <v>1582</v>
      </c>
      <c r="AB70" s="1" t="s">
        <v>1583</v>
      </c>
      <c r="AC70" s="1" t="s">
        <v>1584</v>
      </c>
      <c r="AD70" s="1" t="s">
        <v>206</v>
      </c>
      <c r="AE70" s="1" t="s">
        <v>1585</v>
      </c>
      <c r="AF70" s="1" t="s">
        <v>1586</v>
      </c>
      <c r="AG70" s="1" t="s">
        <v>1587</v>
      </c>
      <c r="AH70" s="1" t="s">
        <v>1588</v>
      </c>
      <c r="AI70" s="1" t="s">
        <v>1589</v>
      </c>
      <c r="AJ70" s="1" t="s">
        <v>1590</v>
      </c>
      <c r="AK70" s="1" t="s">
        <v>1591</v>
      </c>
      <c r="AL70" s="1" t="s">
        <v>1592</v>
      </c>
      <c r="AM70" s="1" t="s">
        <v>82</v>
      </c>
      <c r="AN70" s="1">
        <v>42</v>
      </c>
      <c r="AO70" s="1">
        <v>4</v>
      </c>
      <c r="AP70" s="1">
        <v>4</v>
      </c>
      <c r="AQ70" s="1">
        <v>16</v>
      </c>
      <c r="AR70" s="1">
        <v>60</v>
      </c>
      <c r="AS70" s="1" t="s">
        <v>508</v>
      </c>
      <c r="AT70" s="1" t="s">
        <v>329</v>
      </c>
      <c r="AU70" s="1" t="s">
        <v>509</v>
      </c>
      <c r="AV70" s="1" t="s">
        <v>1532</v>
      </c>
      <c r="AW70" s="1" t="s">
        <v>1533</v>
      </c>
      <c r="AX70" s="1" t="s">
        <v>82</v>
      </c>
      <c r="AY70" s="1" t="s">
        <v>1534</v>
      </c>
      <c r="AZ70" s="1" t="s">
        <v>1535</v>
      </c>
      <c r="BA70" s="1" t="s">
        <v>1593</v>
      </c>
      <c r="BB70" s="1">
        <v>2022</v>
      </c>
      <c r="BC70" s="1">
        <v>370</v>
      </c>
      <c r="BD70" s="1" t="s">
        <v>82</v>
      </c>
      <c r="BE70" s="1" t="s">
        <v>82</v>
      </c>
      <c r="BF70" s="1" t="s">
        <v>82</v>
      </c>
      <c r="BG70" s="1" t="s">
        <v>82</v>
      </c>
      <c r="BH70" s="1" t="s">
        <v>82</v>
      </c>
      <c r="BI70" s="1" t="s">
        <v>82</v>
      </c>
      <c r="BJ70" s="1" t="s">
        <v>82</v>
      </c>
      <c r="BK70" s="1">
        <v>131326</v>
      </c>
      <c r="BL70" s="1" t="s">
        <v>1594</v>
      </c>
      <c r="BM70" s="1" t="str">
        <f>HYPERLINK("http://dx.doi.org/10.1016/j.foodchem.2021.131326","http://dx.doi.org/10.1016/j.foodchem.2021.131326")</f>
        <v>http://dx.doi.org/10.1016/j.foodchem.2021.131326</v>
      </c>
      <c r="BN70" s="1" t="s">
        <v>82</v>
      </c>
      <c r="BO70" s="1" t="s">
        <v>1233</v>
      </c>
      <c r="BP70" s="1">
        <v>9</v>
      </c>
      <c r="BQ70" s="1" t="s">
        <v>1538</v>
      </c>
      <c r="BR70" s="1" t="s">
        <v>104</v>
      </c>
      <c r="BS70" s="1" t="s">
        <v>1539</v>
      </c>
      <c r="BT70" s="1" t="s">
        <v>1595</v>
      </c>
      <c r="BU70" s="1">
        <v>34656020</v>
      </c>
      <c r="BV70" s="1" t="s">
        <v>82</v>
      </c>
      <c r="BW70" s="1" t="s">
        <v>82</v>
      </c>
      <c r="BX70" s="1" t="s">
        <v>82</v>
      </c>
      <c r="BY70" s="1" t="s">
        <v>108</v>
      </c>
      <c r="BZ70" s="1" t="s">
        <v>1596</v>
      </c>
      <c r="CA70" s="1" t="str">
        <f>HYPERLINK("https%3A%2F%2Fwww.webofscience.com%2Fwos%2Fwoscc%2Ffull-record%2FWOS:000710508700011","View Full Record in Web of Science")</f>
        <v>View Full Record in Web of Science</v>
      </c>
    </row>
    <row r="71" s="1" customFormat="1" ht="14.4" spans="1:79">
      <c r="A71">
        <v>70</v>
      </c>
      <c r="B71" s="2" t="s">
        <v>79</v>
      </c>
      <c r="C71" s="1" t="s">
        <v>80</v>
      </c>
      <c r="D71" s="1" t="s">
        <v>1597</v>
      </c>
      <c r="E71" s="1" t="s">
        <v>82</v>
      </c>
      <c r="F71" s="1" t="s">
        <v>82</v>
      </c>
      <c r="G71" s="1" t="s">
        <v>82</v>
      </c>
      <c r="H71" s="1" t="s">
        <v>1598</v>
      </c>
      <c r="I71" s="1" t="s">
        <v>82</v>
      </c>
      <c r="J71" s="1" t="s">
        <v>82</v>
      </c>
      <c r="K71" s="1" t="s">
        <v>1599</v>
      </c>
      <c r="L71" s="1" t="s">
        <v>1600</v>
      </c>
      <c r="M71" s="1">
        <v>9.106</v>
      </c>
      <c r="N71" s="2" t="s">
        <v>86</v>
      </c>
      <c r="O71" s="1" t="s">
        <v>82</v>
      </c>
      <c r="P71" s="1" t="s">
        <v>82</v>
      </c>
      <c r="Q71" s="1" t="s">
        <v>87</v>
      </c>
      <c r="R71" s="1" t="s">
        <v>1601</v>
      </c>
      <c r="S71" s="1" t="s">
        <v>82</v>
      </c>
      <c r="T71" s="1" t="s">
        <v>82</v>
      </c>
      <c r="U71" s="1" t="s">
        <v>82</v>
      </c>
      <c r="V71" s="1" t="s">
        <v>82</v>
      </c>
      <c r="W71" s="1" t="s">
        <v>82</v>
      </c>
      <c r="X71" s="1" t="s">
        <v>1602</v>
      </c>
      <c r="Y71" s="1" t="s">
        <v>1603</v>
      </c>
      <c r="Z71" s="1" t="s">
        <v>1604</v>
      </c>
      <c r="AA71" s="1">
        <v>1</v>
      </c>
      <c r="AB71" s="1" t="s">
        <v>1605</v>
      </c>
      <c r="AC71" s="1" t="s">
        <v>1606</v>
      </c>
      <c r="AD71" s="1" t="s">
        <v>93</v>
      </c>
      <c r="AE71" s="1" t="s">
        <v>1607</v>
      </c>
      <c r="AF71" s="1" t="s">
        <v>1608</v>
      </c>
      <c r="AG71" s="1" t="s">
        <v>1609</v>
      </c>
      <c r="AH71" s="1" t="s">
        <v>82</v>
      </c>
      <c r="AI71" s="1" t="s">
        <v>82</v>
      </c>
      <c r="AJ71" s="1" t="s">
        <v>1610</v>
      </c>
      <c r="AK71" s="1" t="s">
        <v>1611</v>
      </c>
      <c r="AL71" s="1" t="s">
        <v>1612</v>
      </c>
      <c r="AM71" s="1" t="s">
        <v>82</v>
      </c>
      <c r="AN71" s="1">
        <v>235</v>
      </c>
      <c r="AO71" s="1">
        <v>0</v>
      </c>
      <c r="AP71" s="1">
        <v>0</v>
      </c>
      <c r="AQ71" s="1">
        <v>16</v>
      </c>
      <c r="AR71" s="1">
        <v>16</v>
      </c>
      <c r="AS71" s="1" t="s">
        <v>1002</v>
      </c>
      <c r="AT71" s="1" t="s">
        <v>1003</v>
      </c>
      <c r="AU71" s="1" t="s">
        <v>1004</v>
      </c>
      <c r="AV71" s="1" t="s">
        <v>1613</v>
      </c>
      <c r="AW71" s="1" t="s">
        <v>1614</v>
      </c>
      <c r="AX71" s="1" t="s">
        <v>82</v>
      </c>
      <c r="AY71" s="1" t="s">
        <v>1615</v>
      </c>
      <c r="AZ71" s="1" t="s">
        <v>1616</v>
      </c>
      <c r="BA71" s="1" t="s">
        <v>82</v>
      </c>
      <c r="BB71" s="1" t="s">
        <v>82</v>
      </c>
      <c r="BC71" s="1" t="s">
        <v>82</v>
      </c>
      <c r="BD71" s="1" t="s">
        <v>82</v>
      </c>
      <c r="BE71" s="1" t="s">
        <v>82</v>
      </c>
      <c r="BF71" s="1" t="s">
        <v>82</v>
      </c>
      <c r="BG71" s="1" t="s">
        <v>82</v>
      </c>
      <c r="BH71" s="1" t="s">
        <v>82</v>
      </c>
      <c r="BI71" s="1" t="s">
        <v>82</v>
      </c>
      <c r="BJ71" s="1" t="s">
        <v>82</v>
      </c>
      <c r="BK71" s="1" t="s">
        <v>82</v>
      </c>
      <c r="BL71" s="1" t="s">
        <v>1617</v>
      </c>
      <c r="BM71" s="1" t="str">
        <f>HYPERLINK("http://dx.doi.org/10.1111/jipb.13415","http://dx.doi.org/10.1111/jipb.13415")</f>
        <v>http://dx.doi.org/10.1111/jipb.13415</v>
      </c>
      <c r="BN71" s="1" t="s">
        <v>82</v>
      </c>
      <c r="BO71" s="1" t="s">
        <v>1618</v>
      </c>
      <c r="BP71" s="1">
        <v>25</v>
      </c>
      <c r="BQ71" s="1" t="s">
        <v>425</v>
      </c>
      <c r="BR71" s="1" t="s">
        <v>104</v>
      </c>
      <c r="BS71" s="1" t="s">
        <v>425</v>
      </c>
      <c r="BT71" s="1" t="s">
        <v>1619</v>
      </c>
      <c r="BU71" s="1">
        <v>36416284</v>
      </c>
      <c r="BV71" s="1" t="s">
        <v>82</v>
      </c>
      <c r="BW71" s="1" t="s">
        <v>82</v>
      </c>
      <c r="BX71" s="1" t="s">
        <v>82</v>
      </c>
      <c r="BY71" s="1" t="s">
        <v>108</v>
      </c>
      <c r="BZ71" s="1" t="s">
        <v>1620</v>
      </c>
      <c r="CA71" s="1" t="str">
        <f>HYPERLINK("https%3A%2F%2Fwww.webofscience.com%2Fwos%2Fwoscc%2Ffull-record%2FWOS:000905858600001","View Full Record in Web of Science")</f>
        <v>View Full Record in Web of Science</v>
      </c>
    </row>
    <row r="72" s="1" customFormat="1" ht="14.4" spans="1:79">
      <c r="A72">
        <v>71</v>
      </c>
      <c r="B72" s="2" t="s">
        <v>79</v>
      </c>
      <c r="C72" s="1" t="s">
        <v>80</v>
      </c>
      <c r="D72" s="1" t="s">
        <v>1621</v>
      </c>
      <c r="E72" s="1" t="s">
        <v>82</v>
      </c>
      <c r="F72" s="1" t="s">
        <v>82</v>
      </c>
      <c r="G72" s="1" t="s">
        <v>82</v>
      </c>
      <c r="H72" s="1" t="s">
        <v>1622</v>
      </c>
      <c r="I72" s="1" t="s">
        <v>82</v>
      </c>
      <c r="J72" s="1" t="s">
        <v>82</v>
      </c>
      <c r="K72" s="1" t="s">
        <v>1623</v>
      </c>
      <c r="L72" s="1" t="s">
        <v>1600</v>
      </c>
      <c r="M72" s="1">
        <v>9.106</v>
      </c>
      <c r="N72" s="2" t="s">
        <v>86</v>
      </c>
      <c r="O72" s="1" t="s">
        <v>82</v>
      </c>
      <c r="P72" s="1" t="s">
        <v>82</v>
      </c>
      <c r="Q72" s="1" t="s">
        <v>87</v>
      </c>
      <c r="R72" s="1" t="s">
        <v>1624</v>
      </c>
      <c r="S72" s="1" t="s">
        <v>82</v>
      </c>
      <c r="T72" s="1" t="s">
        <v>82</v>
      </c>
      <c r="U72" s="1" t="s">
        <v>82</v>
      </c>
      <c r="V72" s="1" t="s">
        <v>82</v>
      </c>
      <c r="W72" s="1" t="s">
        <v>82</v>
      </c>
      <c r="X72" s="1" t="s">
        <v>1625</v>
      </c>
      <c r="Y72" s="1" t="s">
        <v>1626</v>
      </c>
      <c r="Z72" s="1" t="s">
        <v>1627</v>
      </c>
      <c r="AA72" s="1">
        <v>1</v>
      </c>
      <c r="AB72" s="1" t="s">
        <v>1628</v>
      </c>
      <c r="AC72" s="1" t="s">
        <v>1629</v>
      </c>
      <c r="AD72" s="1" t="s">
        <v>93</v>
      </c>
      <c r="AE72" s="1" t="s">
        <v>1630</v>
      </c>
      <c r="AF72" s="1" t="s">
        <v>1631</v>
      </c>
      <c r="AG72" s="1" t="s">
        <v>1632</v>
      </c>
      <c r="AH72" s="1" t="s">
        <v>1633</v>
      </c>
      <c r="AI72" s="1" t="s">
        <v>1634</v>
      </c>
      <c r="AJ72" s="1" t="s">
        <v>1635</v>
      </c>
      <c r="AK72" s="1" t="s">
        <v>1636</v>
      </c>
      <c r="AL72" s="1" t="s">
        <v>1637</v>
      </c>
      <c r="AM72" s="1" t="s">
        <v>82</v>
      </c>
      <c r="AN72" s="1">
        <v>52</v>
      </c>
      <c r="AO72" s="1">
        <v>0</v>
      </c>
      <c r="AP72" s="1">
        <v>0</v>
      </c>
      <c r="AQ72" s="1">
        <v>16</v>
      </c>
      <c r="AR72" s="1">
        <v>16</v>
      </c>
      <c r="AS72" s="1" t="s">
        <v>1002</v>
      </c>
      <c r="AT72" s="1" t="s">
        <v>1003</v>
      </c>
      <c r="AU72" s="1" t="s">
        <v>1004</v>
      </c>
      <c r="AV72" s="1" t="s">
        <v>1613</v>
      </c>
      <c r="AW72" s="1" t="s">
        <v>1614</v>
      </c>
      <c r="AX72" s="1" t="s">
        <v>82</v>
      </c>
      <c r="AY72" s="1" t="s">
        <v>1615</v>
      </c>
      <c r="AZ72" s="1" t="s">
        <v>1616</v>
      </c>
      <c r="BA72" s="1" t="s">
        <v>82</v>
      </c>
      <c r="BB72" s="1" t="s">
        <v>82</v>
      </c>
      <c r="BC72" s="1" t="s">
        <v>82</v>
      </c>
      <c r="BD72" s="1" t="s">
        <v>82</v>
      </c>
      <c r="BE72" s="1" t="s">
        <v>82</v>
      </c>
      <c r="BF72" s="1" t="s">
        <v>82</v>
      </c>
      <c r="BG72" s="1" t="s">
        <v>82</v>
      </c>
      <c r="BH72" s="1" t="s">
        <v>82</v>
      </c>
      <c r="BI72" s="1" t="s">
        <v>82</v>
      </c>
      <c r="BJ72" s="1" t="s">
        <v>82</v>
      </c>
      <c r="BK72" s="1" t="s">
        <v>82</v>
      </c>
      <c r="BL72" s="1" t="s">
        <v>1638</v>
      </c>
      <c r="BM72" s="1" t="str">
        <f>HYPERLINK("http://dx.doi.org/10.1111/jipb.13404","http://dx.doi.org/10.1111/jipb.13404")</f>
        <v>http://dx.doi.org/10.1111/jipb.13404</v>
      </c>
      <c r="BN72" s="1" t="s">
        <v>82</v>
      </c>
      <c r="BO72" s="1" t="s">
        <v>1618</v>
      </c>
      <c r="BP72" s="1">
        <v>18</v>
      </c>
      <c r="BQ72" s="1" t="s">
        <v>425</v>
      </c>
      <c r="BR72" s="1" t="s">
        <v>104</v>
      </c>
      <c r="BS72" s="1" t="s">
        <v>425</v>
      </c>
      <c r="BT72" s="1" t="s">
        <v>1639</v>
      </c>
      <c r="BU72" s="1">
        <v>36349965</v>
      </c>
      <c r="BV72" s="1" t="s">
        <v>82</v>
      </c>
      <c r="BW72" s="1" t="s">
        <v>82</v>
      </c>
      <c r="BX72" s="1" t="s">
        <v>82</v>
      </c>
      <c r="BY72" s="1" t="s">
        <v>108</v>
      </c>
      <c r="BZ72" s="1" t="s">
        <v>1640</v>
      </c>
      <c r="CA72" s="1" t="str">
        <f>HYPERLINK("https%3A%2F%2Fwww.webofscience.com%2Fwos%2Fwoscc%2Ffull-record%2FWOS:000905858900001","View Full Record in Web of Science")</f>
        <v>View Full Record in Web of Science</v>
      </c>
    </row>
    <row r="73" s="1" customFormat="1" ht="14.4" spans="1:79">
      <c r="A73">
        <v>72</v>
      </c>
      <c r="B73" s="2" t="s">
        <v>79</v>
      </c>
      <c r="C73" s="1" t="s">
        <v>80</v>
      </c>
      <c r="D73" s="1" t="s">
        <v>1641</v>
      </c>
      <c r="E73" s="1" t="s">
        <v>82</v>
      </c>
      <c r="F73" s="1" t="s">
        <v>82</v>
      </c>
      <c r="G73" s="1" t="s">
        <v>82</v>
      </c>
      <c r="H73" s="1" t="s">
        <v>1642</v>
      </c>
      <c r="I73" s="1" t="s">
        <v>82</v>
      </c>
      <c r="J73" s="1" t="s">
        <v>82</v>
      </c>
      <c r="K73" s="1" t="s">
        <v>1643</v>
      </c>
      <c r="L73" s="1" t="s">
        <v>1644</v>
      </c>
      <c r="M73" s="1">
        <v>9.043</v>
      </c>
      <c r="N73" s="2" t="s">
        <v>86</v>
      </c>
      <c r="O73" s="1" t="s">
        <v>82</v>
      </c>
      <c r="P73" s="1" t="s">
        <v>82</v>
      </c>
      <c r="Q73" s="1" t="s">
        <v>87</v>
      </c>
      <c r="R73" s="1" t="s">
        <v>1624</v>
      </c>
      <c r="S73" s="1" t="s">
        <v>82</v>
      </c>
      <c r="T73" s="1" t="s">
        <v>82</v>
      </c>
      <c r="U73" s="1" t="s">
        <v>82</v>
      </c>
      <c r="V73" s="1" t="s">
        <v>82</v>
      </c>
      <c r="W73" s="1" t="s">
        <v>82</v>
      </c>
      <c r="X73" s="1" t="s">
        <v>1645</v>
      </c>
      <c r="Y73" s="1" t="s">
        <v>1646</v>
      </c>
      <c r="Z73" s="1" t="s">
        <v>1647</v>
      </c>
      <c r="AB73" s="1" t="s">
        <v>1648</v>
      </c>
      <c r="AC73" s="1" t="s">
        <v>1649</v>
      </c>
      <c r="AD73" s="1" t="s">
        <v>206</v>
      </c>
      <c r="AE73" s="1" t="s">
        <v>1650</v>
      </c>
      <c r="AF73" s="1" t="s">
        <v>1651</v>
      </c>
      <c r="AG73" s="1" t="s">
        <v>1652</v>
      </c>
      <c r="AH73" s="1" t="s">
        <v>82</v>
      </c>
      <c r="AI73" s="1" t="s">
        <v>82</v>
      </c>
      <c r="AJ73" s="1" t="s">
        <v>1653</v>
      </c>
      <c r="AK73" s="1" t="s">
        <v>1654</v>
      </c>
      <c r="AL73" s="1" t="s">
        <v>1655</v>
      </c>
      <c r="AM73" s="1" t="s">
        <v>82</v>
      </c>
      <c r="AN73" s="1">
        <v>55</v>
      </c>
      <c r="AO73" s="1">
        <v>0</v>
      </c>
      <c r="AP73" s="1">
        <v>0</v>
      </c>
      <c r="AQ73" s="1">
        <v>19</v>
      </c>
      <c r="AR73" s="1">
        <v>20</v>
      </c>
      <c r="AS73" s="1" t="s">
        <v>1656</v>
      </c>
      <c r="AT73" s="1" t="s">
        <v>129</v>
      </c>
      <c r="AU73" s="1" t="s">
        <v>1657</v>
      </c>
      <c r="AV73" s="1" t="s">
        <v>1658</v>
      </c>
      <c r="AW73" s="1" t="s">
        <v>82</v>
      </c>
      <c r="AX73" s="1" t="s">
        <v>82</v>
      </c>
      <c r="AY73" s="1" t="s">
        <v>1659</v>
      </c>
      <c r="AZ73" s="1" t="s">
        <v>1660</v>
      </c>
      <c r="BA73" s="1" t="s">
        <v>82</v>
      </c>
      <c r="BB73" s="1" t="s">
        <v>82</v>
      </c>
      <c r="BC73" s="1" t="s">
        <v>82</v>
      </c>
      <c r="BD73" s="1" t="s">
        <v>82</v>
      </c>
      <c r="BE73" s="1" t="s">
        <v>82</v>
      </c>
      <c r="BF73" s="1" t="s">
        <v>82</v>
      </c>
      <c r="BG73" s="1" t="s">
        <v>82</v>
      </c>
      <c r="BH73" s="1" t="s">
        <v>82</v>
      </c>
      <c r="BI73" s="1" t="s">
        <v>82</v>
      </c>
      <c r="BJ73" s="1" t="s">
        <v>82</v>
      </c>
      <c r="BK73" s="1" t="s">
        <v>82</v>
      </c>
      <c r="BL73" s="1" t="s">
        <v>1661</v>
      </c>
      <c r="BM73" s="1" t="str">
        <f>HYPERLINK("http://dx.doi.org/10.1128/spectrum.01663-22","http://dx.doi.org/10.1128/spectrum.01663-22")</f>
        <v>http://dx.doi.org/10.1128/spectrum.01663-22</v>
      </c>
      <c r="BN73" s="1" t="s">
        <v>82</v>
      </c>
      <c r="BO73" s="1" t="s">
        <v>1298</v>
      </c>
      <c r="BP73" s="1">
        <v>14</v>
      </c>
      <c r="BQ73" s="1" t="s">
        <v>1662</v>
      </c>
      <c r="BR73" s="1" t="s">
        <v>104</v>
      </c>
      <c r="BS73" s="1" t="s">
        <v>1662</v>
      </c>
      <c r="BT73" s="1" t="s">
        <v>1663</v>
      </c>
      <c r="BU73" s="1">
        <v>35708341</v>
      </c>
      <c r="BV73" s="1" t="s">
        <v>316</v>
      </c>
      <c r="BW73" s="1" t="s">
        <v>82</v>
      </c>
      <c r="BX73" s="1" t="s">
        <v>82</v>
      </c>
      <c r="BY73" s="1" t="s">
        <v>108</v>
      </c>
      <c r="BZ73" s="1" t="s">
        <v>1664</v>
      </c>
      <c r="CA73" s="1" t="str">
        <f>HYPERLINK("https%3A%2F%2Fwww.webofscience.com%2Fwos%2Fwoscc%2Ffull-record%2FWOS:000813151600002","View Full Record in Web of Science")</f>
        <v>View Full Record in Web of Science</v>
      </c>
    </row>
    <row r="74" s="1" customFormat="1" ht="14.4" spans="1:79">
      <c r="A74">
        <v>73</v>
      </c>
      <c r="B74" s="2" t="s">
        <v>79</v>
      </c>
      <c r="C74" s="1" t="s">
        <v>80</v>
      </c>
      <c r="D74" s="1" t="s">
        <v>1665</v>
      </c>
      <c r="E74" s="1" t="s">
        <v>82</v>
      </c>
      <c r="F74" s="1" t="s">
        <v>82</v>
      </c>
      <c r="G74" s="1" t="s">
        <v>82</v>
      </c>
      <c r="H74" s="1" t="s">
        <v>1666</v>
      </c>
      <c r="I74" s="1" t="s">
        <v>82</v>
      </c>
      <c r="J74" s="1" t="s">
        <v>82</v>
      </c>
      <c r="K74" s="1" t="s">
        <v>1667</v>
      </c>
      <c r="L74" s="1" t="s">
        <v>1644</v>
      </c>
      <c r="M74" s="1">
        <v>9.043</v>
      </c>
      <c r="N74" s="2" t="s">
        <v>86</v>
      </c>
      <c r="O74" s="1" t="s">
        <v>82</v>
      </c>
      <c r="P74" s="1" t="s">
        <v>82</v>
      </c>
      <c r="Q74" s="1" t="s">
        <v>87</v>
      </c>
      <c r="R74" s="1" t="s">
        <v>115</v>
      </c>
      <c r="S74" s="1" t="s">
        <v>82</v>
      </c>
      <c r="T74" s="1" t="s">
        <v>82</v>
      </c>
      <c r="U74" s="1" t="s">
        <v>82</v>
      </c>
      <c r="V74" s="1" t="s">
        <v>82</v>
      </c>
      <c r="W74" s="1" t="s">
        <v>82</v>
      </c>
      <c r="X74" s="1" t="s">
        <v>1668</v>
      </c>
      <c r="Y74" s="1" t="s">
        <v>1669</v>
      </c>
      <c r="Z74" s="1" t="s">
        <v>1670</v>
      </c>
      <c r="AA74" s="1">
        <v>1</v>
      </c>
      <c r="AB74" s="1" t="s">
        <v>1671</v>
      </c>
      <c r="AC74" s="1" t="s">
        <v>1672</v>
      </c>
      <c r="AD74" s="1" t="s">
        <v>93</v>
      </c>
      <c r="AE74" s="1" t="s">
        <v>1673</v>
      </c>
      <c r="AF74" s="1" t="s">
        <v>1674</v>
      </c>
      <c r="AG74" s="1" t="s">
        <v>1675</v>
      </c>
      <c r="AH74" s="1" t="s">
        <v>82</v>
      </c>
      <c r="AI74" s="1" t="s">
        <v>1676</v>
      </c>
      <c r="AJ74" s="1" t="s">
        <v>1677</v>
      </c>
      <c r="AK74" s="1" t="s">
        <v>1678</v>
      </c>
      <c r="AL74" s="1" t="s">
        <v>1679</v>
      </c>
      <c r="AM74" s="1" t="s">
        <v>82</v>
      </c>
      <c r="AN74" s="1">
        <v>98</v>
      </c>
      <c r="AO74" s="1">
        <v>2</v>
      </c>
      <c r="AP74" s="1">
        <v>2</v>
      </c>
      <c r="AQ74" s="1">
        <v>27</v>
      </c>
      <c r="AR74" s="1">
        <v>64</v>
      </c>
      <c r="AS74" s="1" t="s">
        <v>1656</v>
      </c>
      <c r="AT74" s="1" t="s">
        <v>129</v>
      </c>
      <c r="AU74" s="1" t="s">
        <v>1657</v>
      </c>
      <c r="AV74" s="1" t="s">
        <v>1658</v>
      </c>
      <c r="AW74" s="1" t="s">
        <v>82</v>
      </c>
      <c r="AX74" s="1" t="s">
        <v>82</v>
      </c>
      <c r="AY74" s="1" t="s">
        <v>1659</v>
      </c>
      <c r="AZ74" s="1" t="s">
        <v>1660</v>
      </c>
      <c r="BA74" s="1" t="s">
        <v>397</v>
      </c>
      <c r="BB74" s="1">
        <v>2022</v>
      </c>
      <c r="BC74" s="1">
        <v>10</v>
      </c>
      <c r="BD74" s="1">
        <v>1</v>
      </c>
      <c r="BE74" s="1" t="s">
        <v>82</v>
      </c>
      <c r="BF74" s="1" t="s">
        <v>82</v>
      </c>
      <c r="BG74" s="1" t="s">
        <v>82</v>
      </c>
      <c r="BH74" s="1" t="s">
        <v>82</v>
      </c>
      <c r="BI74" s="1" t="s">
        <v>82</v>
      </c>
      <c r="BJ74" s="1" t="s">
        <v>82</v>
      </c>
      <c r="BK74" s="1" t="s">
        <v>1680</v>
      </c>
      <c r="BL74" s="1" t="s">
        <v>82</v>
      </c>
      <c r="BM74" s="1" t="s">
        <v>82</v>
      </c>
      <c r="BN74" s="1" t="s">
        <v>82</v>
      </c>
      <c r="BO74" s="1" t="s">
        <v>82</v>
      </c>
      <c r="BP74" s="1">
        <v>17</v>
      </c>
      <c r="BQ74" s="1" t="s">
        <v>1662</v>
      </c>
      <c r="BR74" s="1" t="s">
        <v>104</v>
      </c>
      <c r="BS74" s="1" t="s">
        <v>1662</v>
      </c>
      <c r="BT74" s="1" t="s">
        <v>1681</v>
      </c>
      <c r="BU74" s="1">
        <v>35019700</v>
      </c>
      <c r="BV74" s="1" t="s">
        <v>316</v>
      </c>
      <c r="BW74" s="1" t="s">
        <v>82</v>
      </c>
      <c r="BX74" s="1" t="s">
        <v>82</v>
      </c>
      <c r="BY74" s="1" t="s">
        <v>108</v>
      </c>
      <c r="BZ74" s="1" t="s">
        <v>1682</v>
      </c>
      <c r="CA74" s="1" t="str">
        <f>HYPERLINK("https%3A%2F%2Fwww.webofscience.com%2Fwos%2Fwoscc%2Ffull-record%2FWOS:000766015800154","View Full Record in Web of Science")</f>
        <v>View Full Record in Web of Science</v>
      </c>
    </row>
    <row r="75" s="1" customFormat="1" ht="14.4" spans="1:79">
      <c r="A75">
        <v>74</v>
      </c>
      <c r="B75" s="2" t="s">
        <v>79</v>
      </c>
      <c r="C75" s="1" t="s">
        <v>80</v>
      </c>
      <c r="D75" s="1" t="s">
        <v>1683</v>
      </c>
      <c r="E75" s="1" t="s">
        <v>82</v>
      </c>
      <c r="F75" s="1" t="s">
        <v>82</v>
      </c>
      <c r="G75" s="1" t="s">
        <v>82</v>
      </c>
      <c r="H75" s="1" t="s">
        <v>1684</v>
      </c>
      <c r="I75" s="1" t="s">
        <v>82</v>
      </c>
      <c r="J75" s="1" t="s">
        <v>82</v>
      </c>
      <c r="K75" s="1" t="s">
        <v>1685</v>
      </c>
      <c r="L75" s="1" t="s">
        <v>1686</v>
      </c>
      <c r="M75" s="1">
        <v>8.943</v>
      </c>
      <c r="O75" s="1" t="s">
        <v>82</v>
      </c>
      <c r="P75" s="1" t="s">
        <v>82</v>
      </c>
      <c r="Q75" s="1" t="s">
        <v>87</v>
      </c>
      <c r="R75" s="1" t="s">
        <v>115</v>
      </c>
      <c r="S75" s="1" t="s">
        <v>82</v>
      </c>
      <c r="T75" s="1" t="s">
        <v>82</v>
      </c>
      <c r="U75" s="1" t="s">
        <v>82</v>
      </c>
      <c r="V75" s="1" t="s">
        <v>82</v>
      </c>
      <c r="W75" s="1" t="s">
        <v>82</v>
      </c>
      <c r="X75" s="1" t="s">
        <v>1687</v>
      </c>
      <c r="Y75" s="1" t="s">
        <v>1688</v>
      </c>
      <c r="Z75" s="1" t="s">
        <v>1689</v>
      </c>
      <c r="AA75" s="1">
        <v>1</v>
      </c>
      <c r="AB75" s="1" t="s">
        <v>1690</v>
      </c>
      <c r="AC75" s="1" t="s">
        <v>1691</v>
      </c>
      <c r="AD75" s="1" t="s">
        <v>93</v>
      </c>
      <c r="AE75" s="1" t="s">
        <v>1692</v>
      </c>
      <c r="AF75" s="1" t="s">
        <v>1693</v>
      </c>
      <c r="AG75" s="1" t="s">
        <v>1694</v>
      </c>
      <c r="AH75" s="1" t="s">
        <v>1695</v>
      </c>
      <c r="AI75" s="1" t="s">
        <v>1696</v>
      </c>
      <c r="AJ75" s="1" t="s">
        <v>1697</v>
      </c>
      <c r="AK75" s="1" t="s">
        <v>1698</v>
      </c>
      <c r="AL75" s="1" t="s">
        <v>1699</v>
      </c>
      <c r="AM75" s="1" t="s">
        <v>82</v>
      </c>
      <c r="AN75" s="1">
        <v>74</v>
      </c>
      <c r="AO75" s="1">
        <v>0</v>
      </c>
      <c r="AP75" s="1">
        <v>0</v>
      </c>
      <c r="AQ75" s="1">
        <v>41</v>
      </c>
      <c r="AR75" s="1">
        <v>41</v>
      </c>
      <c r="AS75" s="1" t="s">
        <v>1700</v>
      </c>
      <c r="AT75" s="1" t="s">
        <v>329</v>
      </c>
      <c r="AU75" s="1" t="s">
        <v>1701</v>
      </c>
      <c r="AV75" s="1" t="s">
        <v>1702</v>
      </c>
      <c r="AW75" s="1" t="s">
        <v>1703</v>
      </c>
      <c r="AX75" s="1" t="s">
        <v>82</v>
      </c>
      <c r="AY75" s="1" t="s">
        <v>1686</v>
      </c>
      <c r="AZ75" s="1" t="s">
        <v>1704</v>
      </c>
      <c r="BA75" s="1" t="s">
        <v>486</v>
      </c>
      <c r="BB75" s="1">
        <v>2022</v>
      </c>
      <c r="BC75" s="1">
        <v>307</v>
      </c>
      <c r="BD75" s="1" t="s">
        <v>82</v>
      </c>
      <c r="BE75" s="1">
        <v>3</v>
      </c>
      <c r="BF75" s="1" t="s">
        <v>82</v>
      </c>
      <c r="BG75" s="1" t="s">
        <v>82</v>
      </c>
      <c r="BH75" s="1" t="s">
        <v>82</v>
      </c>
      <c r="BI75" s="1" t="s">
        <v>82</v>
      </c>
      <c r="BJ75" s="1" t="s">
        <v>82</v>
      </c>
      <c r="BK75" s="1">
        <v>136068</v>
      </c>
      <c r="BL75" s="1" t="s">
        <v>1705</v>
      </c>
      <c r="BM75" s="1" t="str">
        <f>HYPERLINK("http://dx.doi.org/10.1016/j.chemosphere.2022.136068","http://dx.doi.org/10.1016/j.chemosphere.2022.136068")</f>
        <v>http://dx.doi.org/10.1016/j.chemosphere.2022.136068</v>
      </c>
      <c r="BN75" s="1" t="s">
        <v>82</v>
      </c>
      <c r="BO75" s="1" t="s">
        <v>424</v>
      </c>
      <c r="BP75" s="1">
        <v>12</v>
      </c>
      <c r="BQ75" s="1" t="s">
        <v>1174</v>
      </c>
      <c r="BR75" s="1" t="s">
        <v>104</v>
      </c>
      <c r="BS75" s="1" t="s">
        <v>545</v>
      </c>
      <c r="BT75" s="1" t="s">
        <v>1706</v>
      </c>
      <c r="BU75" s="1">
        <v>35985384</v>
      </c>
      <c r="BV75" s="1" t="s">
        <v>82</v>
      </c>
      <c r="BW75" s="1" t="s">
        <v>82</v>
      </c>
      <c r="BX75" s="1" t="s">
        <v>82</v>
      </c>
      <c r="BY75" s="1" t="s">
        <v>108</v>
      </c>
      <c r="BZ75" s="1" t="s">
        <v>1707</v>
      </c>
      <c r="CA75" s="1" t="str">
        <f>HYPERLINK("https%3A%2F%2Fwww.webofscience.com%2Fwos%2Fwoscc%2Ffull-record%2FWOS:000846598100004","View Full Record in Web of Science")</f>
        <v>View Full Record in Web of Science</v>
      </c>
    </row>
    <row r="76" s="1" customFormat="1" ht="14.4" spans="1:79">
      <c r="A76">
        <v>75</v>
      </c>
      <c r="B76" s="2" t="s">
        <v>79</v>
      </c>
      <c r="C76" s="1" t="s">
        <v>80</v>
      </c>
      <c r="D76" s="1" t="s">
        <v>1708</v>
      </c>
      <c r="E76" s="1" t="s">
        <v>82</v>
      </c>
      <c r="F76" s="1" t="s">
        <v>82</v>
      </c>
      <c r="G76" s="1" t="s">
        <v>82</v>
      </c>
      <c r="H76" s="1" t="s">
        <v>1709</v>
      </c>
      <c r="I76" s="1" t="s">
        <v>82</v>
      </c>
      <c r="J76" s="1" t="s">
        <v>82</v>
      </c>
      <c r="K76" s="1" t="s">
        <v>1710</v>
      </c>
      <c r="L76" s="1" t="s">
        <v>1686</v>
      </c>
      <c r="M76" s="1">
        <v>8.943</v>
      </c>
      <c r="O76" s="1" t="s">
        <v>82</v>
      </c>
      <c r="P76" s="1" t="s">
        <v>82</v>
      </c>
      <c r="Q76" s="1" t="s">
        <v>87</v>
      </c>
      <c r="R76" s="1" t="s">
        <v>115</v>
      </c>
      <c r="S76" s="1" t="s">
        <v>82</v>
      </c>
      <c r="T76" s="1" t="s">
        <v>82</v>
      </c>
      <c r="U76" s="1" t="s">
        <v>82</v>
      </c>
      <c r="V76" s="1" t="s">
        <v>82</v>
      </c>
      <c r="W76" s="1" t="s">
        <v>82</v>
      </c>
      <c r="X76" s="1" t="s">
        <v>1711</v>
      </c>
      <c r="Y76" s="1" t="s">
        <v>1712</v>
      </c>
      <c r="Z76" s="1" t="s">
        <v>1713</v>
      </c>
      <c r="AA76" s="1">
        <v>1</v>
      </c>
      <c r="AB76" s="1" t="s">
        <v>1714</v>
      </c>
      <c r="AC76" s="1" t="s">
        <v>1715</v>
      </c>
      <c r="AD76" s="1" t="s">
        <v>93</v>
      </c>
      <c r="AE76" s="1" t="s">
        <v>1716</v>
      </c>
      <c r="AF76" s="1" t="s">
        <v>1717</v>
      </c>
      <c r="AG76" s="1" t="s">
        <v>1718</v>
      </c>
      <c r="AH76" s="1" t="s">
        <v>82</v>
      </c>
      <c r="AI76" s="1" t="s">
        <v>1719</v>
      </c>
      <c r="AJ76" s="1" t="s">
        <v>1720</v>
      </c>
      <c r="AK76" s="1" t="s">
        <v>1721</v>
      </c>
      <c r="AL76" s="1" t="s">
        <v>1722</v>
      </c>
      <c r="AM76" s="1" t="s">
        <v>82</v>
      </c>
      <c r="AN76" s="1">
        <v>77</v>
      </c>
      <c r="AO76" s="1">
        <v>5</v>
      </c>
      <c r="AP76" s="1">
        <v>5</v>
      </c>
      <c r="AQ76" s="1">
        <v>26</v>
      </c>
      <c r="AR76" s="1">
        <v>62</v>
      </c>
      <c r="AS76" s="1" t="s">
        <v>1700</v>
      </c>
      <c r="AT76" s="1" t="s">
        <v>329</v>
      </c>
      <c r="AU76" s="1" t="s">
        <v>1701</v>
      </c>
      <c r="AV76" s="1" t="s">
        <v>1702</v>
      </c>
      <c r="AW76" s="1" t="s">
        <v>1703</v>
      </c>
      <c r="AX76" s="1" t="s">
        <v>82</v>
      </c>
      <c r="AY76" s="1" t="s">
        <v>1686</v>
      </c>
      <c r="AZ76" s="1" t="s">
        <v>1704</v>
      </c>
      <c r="BA76" s="1" t="s">
        <v>1146</v>
      </c>
      <c r="BB76" s="1">
        <v>2022</v>
      </c>
      <c r="BC76" s="1">
        <v>296</v>
      </c>
      <c r="BD76" s="1" t="s">
        <v>82</v>
      </c>
      <c r="BE76" s="1" t="s">
        <v>82</v>
      </c>
      <c r="BF76" s="1" t="s">
        <v>82</v>
      </c>
      <c r="BG76" s="1" t="s">
        <v>82</v>
      </c>
      <c r="BH76" s="1" t="s">
        <v>82</v>
      </c>
      <c r="BI76" s="1" t="s">
        <v>82</v>
      </c>
      <c r="BJ76" s="1" t="s">
        <v>82</v>
      </c>
      <c r="BK76" s="1">
        <v>134045</v>
      </c>
      <c r="BL76" s="1" t="s">
        <v>1723</v>
      </c>
      <c r="BM76" s="1" t="str">
        <f>HYPERLINK("http://dx.doi.org/10.1016/j.chemosphere.2022.134045","http://dx.doi.org/10.1016/j.chemosphere.2022.134045")</f>
        <v>http://dx.doi.org/10.1016/j.chemosphere.2022.134045</v>
      </c>
      <c r="BN76" s="1" t="s">
        <v>82</v>
      </c>
      <c r="BO76" s="1" t="s">
        <v>296</v>
      </c>
      <c r="BP76" s="1">
        <v>12</v>
      </c>
      <c r="BQ76" s="1" t="s">
        <v>1174</v>
      </c>
      <c r="BR76" s="1" t="s">
        <v>104</v>
      </c>
      <c r="BS76" s="1" t="s">
        <v>545</v>
      </c>
      <c r="BT76" s="1" t="s">
        <v>1724</v>
      </c>
      <c r="BU76" s="1">
        <v>35183585</v>
      </c>
      <c r="BV76" s="1" t="s">
        <v>82</v>
      </c>
      <c r="BW76" s="1" t="s">
        <v>82</v>
      </c>
      <c r="BX76" s="1" t="s">
        <v>82</v>
      </c>
      <c r="BY76" s="1" t="s">
        <v>108</v>
      </c>
      <c r="BZ76" s="1" t="s">
        <v>1725</v>
      </c>
      <c r="CA76" s="1" t="str">
        <f>HYPERLINK("https%3A%2F%2Fwww.webofscience.com%2Fwos%2Fwoscc%2Ffull-record%2FWOS:000781357100001","View Full Record in Web of Science")</f>
        <v>View Full Record in Web of Science</v>
      </c>
    </row>
    <row r="77" s="1" customFormat="1" ht="14.4" spans="1:79">
      <c r="A77">
        <v>76</v>
      </c>
      <c r="B77" s="2" t="s">
        <v>79</v>
      </c>
      <c r="C77" s="1" t="s">
        <v>80</v>
      </c>
      <c r="D77" s="1" t="s">
        <v>1726</v>
      </c>
      <c r="E77" s="1" t="s">
        <v>82</v>
      </c>
      <c r="F77" s="1" t="s">
        <v>82</v>
      </c>
      <c r="G77" s="1" t="s">
        <v>82</v>
      </c>
      <c r="H77" s="1" t="s">
        <v>1727</v>
      </c>
      <c r="I77" s="1" t="s">
        <v>82</v>
      </c>
      <c r="J77" s="1" t="s">
        <v>82</v>
      </c>
      <c r="K77" s="1" t="s">
        <v>1728</v>
      </c>
      <c r="L77" s="1" t="s">
        <v>1729</v>
      </c>
      <c r="M77" s="1">
        <v>8.91</v>
      </c>
      <c r="O77" s="1" t="s">
        <v>82</v>
      </c>
      <c r="P77" s="1" t="s">
        <v>82</v>
      </c>
      <c r="Q77" s="1" t="s">
        <v>87</v>
      </c>
      <c r="R77" s="1" t="s">
        <v>115</v>
      </c>
      <c r="S77" s="1" t="s">
        <v>82</v>
      </c>
      <c r="T77" s="1" t="s">
        <v>82</v>
      </c>
      <c r="U77" s="1" t="s">
        <v>82</v>
      </c>
      <c r="V77" s="1" t="s">
        <v>82</v>
      </c>
      <c r="W77" s="1" t="s">
        <v>82</v>
      </c>
      <c r="X77" s="1" t="s">
        <v>1730</v>
      </c>
      <c r="Y77" s="1" t="s">
        <v>1731</v>
      </c>
      <c r="Z77" s="1" t="s">
        <v>1732</v>
      </c>
      <c r="AA77" s="1">
        <v>1</v>
      </c>
      <c r="AB77" s="1" t="s">
        <v>1733</v>
      </c>
      <c r="AC77" s="1" t="s">
        <v>1734</v>
      </c>
      <c r="AD77" s="1" t="s">
        <v>93</v>
      </c>
      <c r="AE77" s="1" t="s">
        <v>1735</v>
      </c>
      <c r="AF77" s="1" t="s">
        <v>1736</v>
      </c>
      <c r="AG77" s="1" t="s">
        <v>1737</v>
      </c>
      <c r="AH77" s="1" t="s">
        <v>1738</v>
      </c>
      <c r="AI77" s="1" t="s">
        <v>1739</v>
      </c>
      <c r="AJ77" s="1" t="s">
        <v>1740</v>
      </c>
      <c r="AK77" s="1" t="s">
        <v>1741</v>
      </c>
      <c r="AL77" s="1" t="s">
        <v>1742</v>
      </c>
      <c r="AM77" s="1" t="s">
        <v>82</v>
      </c>
      <c r="AN77" s="1">
        <v>76</v>
      </c>
      <c r="AO77" s="1">
        <v>1</v>
      </c>
      <c r="AP77" s="1">
        <v>1</v>
      </c>
      <c r="AQ77" s="1">
        <v>25</v>
      </c>
      <c r="AR77" s="1">
        <v>25</v>
      </c>
      <c r="AS77" s="1" t="s">
        <v>1334</v>
      </c>
      <c r="AT77" s="1" t="s">
        <v>371</v>
      </c>
      <c r="AU77" s="1" t="s">
        <v>1335</v>
      </c>
      <c r="AV77" s="1" t="s">
        <v>1743</v>
      </c>
      <c r="AW77" s="1" t="s">
        <v>1744</v>
      </c>
      <c r="AX77" s="1" t="s">
        <v>82</v>
      </c>
      <c r="AY77" s="1" t="s">
        <v>1745</v>
      </c>
      <c r="AZ77" s="1" t="s">
        <v>1746</v>
      </c>
      <c r="BA77" s="1" t="s">
        <v>1193</v>
      </c>
      <c r="BB77" s="1">
        <v>2022</v>
      </c>
      <c r="BC77" s="1">
        <v>324</v>
      </c>
      <c r="BD77" s="1" t="s">
        <v>82</v>
      </c>
      <c r="BE77" s="1" t="s">
        <v>82</v>
      </c>
      <c r="BF77" s="1" t="s">
        <v>82</v>
      </c>
      <c r="BG77" s="1" t="s">
        <v>82</v>
      </c>
      <c r="BH77" s="1" t="s">
        <v>82</v>
      </c>
      <c r="BI77" s="1" t="s">
        <v>82</v>
      </c>
      <c r="BJ77" s="1" t="s">
        <v>82</v>
      </c>
      <c r="BK77" s="1">
        <v>116377</v>
      </c>
      <c r="BL77" s="1" t="s">
        <v>1747</v>
      </c>
      <c r="BM77" s="1" t="str">
        <f>HYPERLINK("http://dx.doi.org/10.1016/j.jenvman.2022.116377","http://dx.doi.org/10.1016/j.jenvman.2022.116377")</f>
        <v>http://dx.doi.org/10.1016/j.jenvman.2022.116377</v>
      </c>
      <c r="BN77" s="1" t="s">
        <v>82</v>
      </c>
      <c r="BO77" s="1" t="s">
        <v>82</v>
      </c>
      <c r="BP77" s="1">
        <v>10</v>
      </c>
      <c r="BQ77" s="1" t="s">
        <v>1174</v>
      </c>
      <c r="BR77" s="1" t="s">
        <v>104</v>
      </c>
      <c r="BS77" s="1" t="s">
        <v>545</v>
      </c>
      <c r="BT77" s="1" t="s">
        <v>1748</v>
      </c>
      <c r="BU77" s="1">
        <v>36352711</v>
      </c>
      <c r="BV77" s="1" t="s">
        <v>82</v>
      </c>
      <c r="BW77" s="1" t="s">
        <v>82</v>
      </c>
      <c r="BX77" s="1" t="s">
        <v>82</v>
      </c>
      <c r="BY77" s="1" t="s">
        <v>108</v>
      </c>
      <c r="BZ77" s="1" t="s">
        <v>1749</v>
      </c>
      <c r="CA77" s="1" t="str">
        <f>HYPERLINK("https%3A%2F%2Fwww.webofscience.com%2Fwos%2Fwoscc%2Ffull-record%2FWOS:000875820000005","View Full Record in Web of Science")</f>
        <v>View Full Record in Web of Science</v>
      </c>
    </row>
    <row r="78" s="1" customFormat="1" ht="14.4" spans="1:79">
      <c r="A78">
        <v>77</v>
      </c>
      <c r="B78" s="2" t="s">
        <v>79</v>
      </c>
      <c r="C78" s="1" t="s">
        <v>80</v>
      </c>
      <c r="D78" s="1" t="s">
        <v>1750</v>
      </c>
      <c r="E78" s="1" t="s">
        <v>82</v>
      </c>
      <c r="F78" s="1" t="s">
        <v>82</v>
      </c>
      <c r="G78" s="1" t="s">
        <v>82</v>
      </c>
      <c r="H78" s="1" t="s">
        <v>1751</v>
      </c>
      <c r="I78" s="1" t="s">
        <v>82</v>
      </c>
      <c r="J78" s="1" t="s">
        <v>82</v>
      </c>
      <c r="K78" s="1" t="s">
        <v>1752</v>
      </c>
      <c r="L78" s="1" t="s">
        <v>1729</v>
      </c>
      <c r="M78" s="1">
        <v>8.91</v>
      </c>
      <c r="O78" s="1" t="s">
        <v>82</v>
      </c>
      <c r="P78" s="1" t="s">
        <v>82</v>
      </c>
      <c r="Q78" s="1" t="s">
        <v>87</v>
      </c>
      <c r="R78" s="1" t="s">
        <v>115</v>
      </c>
      <c r="S78" s="1" t="s">
        <v>82</v>
      </c>
      <c r="T78" s="1" t="s">
        <v>82</v>
      </c>
      <c r="U78" s="1" t="s">
        <v>82</v>
      </c>
      <c r="V78" s="1" t="s">
        <v>82</v>
      </c>
      <c r="W78" s="1" t="s">
        <v>82</v>
      </c>
      <c r="X78" s="1" t="s">
        <v>1753</v>
      </c>
      <c r="Y78" s="1" t="s">
        <v>1754</v>
      </c>
      <c r="Z78" s="1" t="s">
        <v>1755</v>
      </c>
      <c r="AB78" s="1" t="s">
        <v>1756</v>
      </c>
      <c r="AC78" s="1" t="s">
        <v>1757</v>
      </c>
      <c r="AD78" s="1" t="s">
        <v>120</v>
      </c>
      <c r="AE78" s="1" t="s">
        <v>1650</v>
      </c>
      <c r="AF78" s="1" t="s">
        <v>1758</v>
      </c>
      <c r="AG78" s="1" t="s">
        <v>1759</v>
      </c>
      <c r="AH78" s="1" t="s">
        <v>82</v>
      </c>
      <c r="AI78" s="1" t="s">
        <v>1760</v>
      </c>
      <c r="AJ78" s="1" t="s">
        <v>1761</v>
      </c>
      <c r="AK78" s="1" t="s">
        <v>1762</v>
      </c>
      <c r="AL78" s="1" t="s">
        <v>1763</v>
      </c>
      <c r="AM78" s="1" t="s">
        <v>82</v>
      </c>
      <c r="AN78" s="1">
        <v>97</v>
      </c>
      <c r="AO78" s="1">
        <v>5</v>
      </c>
      <c r="AP78" s="1">
        <v>5</v>
      </c>
      <c r="AQ78" s="1">
        <v>26</v>
      </c>
      <c r="AR78" s="1">
        <v>60</v>
      </c>
      <c r="AS78" s="1" t="s">
        <v>1334</v>
      </c>
      <c r="AT78" s="1" t="s">
        <v>371</v>
      </c>
      <c r="AU78" s="1" t="s">
        <v>1335</v>
      </c>
      <c r="AV78" s="1" t="s">
        <v>1743</v>
      </c>
      <c r="AW78" s="1" t="s">
        <v>1744</v>
      </c>
      <c r="AX78" s="1" t="s">
        <v>82</v>
      </c>
      <c r="AY78" s="1" t="s">
        <v>1745</v>
      </c>
      <c r="AZ78" s="1" t="s">
        <v>1746</v>
      </c>
      <c r="BA78" s="1" t="s">
        <v>1593</v>
      </c>
      <c r="BB78" s="1">
        <v>2022</v>
      </c>
      <c r="BC78" s="1">
        <v>304</v>
      </c>
      <c r="BD78" s="1" t="s">
        <v>82</v>
      </c>
      <c r="BE78" s="1" t="s">
        <v>82</v>
      </c>
      <c r="BF78" s="1" t="s">
        <v>82</v>
      </c>
      <c r="BG78" s="1" t="s">
        <v>82</v>
      </c>
      <c r="BH78" s="1" t="s">
        <v>82</v>
      </c>
      <c r="BI78" s="1" t="s">
        <v>82</v>
      </c>
      <c r="BJ78" s="1" t="s">
        <v>82</v>
      </c>
      <c r="BK78" s="1">
        <v>114303</v>
      </c>
      <c r="BL78" s="1" t="s">
        <v>1764</v>
      </c>
      <c r="BM78" s="1" t="str">
        <f>HYPERLINK("http://dx.doi.org/10.1016/j.jenvman.2021.114303","http://dx.doi.org/10.1016/j.jenvman.2021.114303")</f>
        <v>http://dx.doi.org/10.1016/j.jenvman.2021.114303</v>
      </c>
      <c r="BN78" s="1" t="s">
        <v>82</v>
      </c>
      <c r="BO78" s="1" t="s">
        <v>1462</v>
      </c>
      <c r="BP78" s="1">
        <v>11</v>
      </c>
      <c r="BQ78" s="1" t="s">
        <v>1174</v>
      </c>
      <c r="BR78" s="1" t="s">
        <v>104</v>
      </c>
      <c r="BS78" s="1" t="s">
        <v>545</v>
      </c>
      <c r="BT78" s="1" t="s">
        <v>1765</v>
      </c>
      <c r="BU78" s="1">
        <v>34933269</v>
      </c>
      <c r="BV78" s="1" t="s">
        <v>82</v>
      </c>
      <c r="BW78" s="1" t="s">
        <v>82</v>
      </c>
      <c r="BX78" s="1" t="s">
        <v>82</v>
      </c>
      <c r="BY78" s="1" t="s">
        <v>108</v>
      </c>
      <c r="BZ78" s="1" t="s">
        <v>1766</v>
      </c>
      <c r="CA78" s="1" t="str">
        <f>HYPERLINK("https%3A%2F%2Fwww.webofscience.com%2Fwos%2Fwoscc%2Ffull-record%2FWOS:000742128900010","View Full Record in Web of Science")</f>
        <v>View Full Record in Web of Science</v>
      </c>
    </row>
    <row r="79" s="1" customFormat="1" ht="14.4" spans="1:79">
      <c r="A79">
        <v>78</v>
      </c>
      <c r="B79" s="2" t="s">
        <v>79</v>
      </c>
      <c r="C79" s="1" t="s">
        <v>80</v>
      </c>
      <c r="D79" s="1" t="s">
        <v>1767</v>
      </c>
      <c r="E79" s="1" t="s">
        <v>82</v>
      </c>
      <c r="F79" s="1" t="s">
        <v>82</v>
      </c>
      <c r="G79" s="1" t="s">
        <v>82</v>
      </c>
      <c r="H79" s="1" t="s">
        <v>1768</v>
      </c>
      <c r="I79" s="1" t="s">
        <v>82</v>
      </c>
      <c r="J79" s="1" t="s">
        <v>82</v>
      </c>
      <c r="K79" s="1" t="s">
        <v>1769</v>
      </c>
      <c r="L79" s="1" t="s">
        <v>1770</v>
      </c>
      <c r="M79" s="1">
        <v>8.678</v>
      </c>
      <c r="O79" s="1" t="s">
        <v>82</v>
      </c>
      <c r="P79" s="1" t="s">
        <v>82</v>
      </c>
      <c r="Q79" s="1" t="s">
        <v>87</v>
      </c>
      <c r="R79" s="1" t="s">
        <v>115</v>
      </c>
      <c r="S79" s="1" t="s">
        <v>82</v>
      </c>
      <c r="T79" s="1" t="s">
        <v>82</v>
      </c>
      <c r="U79" s="1" t="s">
        <v>82</v>
      </c>
      <c r="V79" s="1" t="s">
        <v>82</v>
      </c>
      <c r="W79" s="1" t="s">
        <v>82</v>
      </c>
      <c r="X79" s="1" t="s">
        <v>1771</v>
      </c>
      <c r="Y79" s="1" t="s">
        <v>1772</v>
      </c>
      <c r="Z79" s="1" t="s">
        <v>1773</v>
      </c>
      <c r="AA79" s="1">
        <v>1</v>
      </c>
      <c r="AB79" s="1" t="s">
        <v>1774</v>
      </c>
      <c r="AC79" s="1" t="s">
        <v>1775</v>
      </c>
      <c r="AD79" s="1" t="s">
        <v>93</v>
      </c>
      <c r="AE79" s="1" t="s">
        <v>1776</v>
      </c>
      <c r="AF79" s="1" t="s">
        <v>1777</v>
      </c>
      <c r="AG79" s="1" t="s">
        <v>1778</v>
      </c>
      <c r="AH79" s="1" t="s">
        <v>82</v>
      </c>
      <c r="AI79" s="1" t="s">
        <v>1779</v>
      </c>
      <c r="AJ79" s="1" t="s">
        <v>1780</v>
      </c>
      <c r="AK79" s="1" t="s">
        <v>1781</v>
      </c>
      <c r="AL79" s="1" t="s">
        <v>1782</v>
      </c>
      <c r="AM79" s="1" t="s">
        <v>82</v>
      </c>
      <c r="AN79" s="1">
        <v>161</v>
      </c>
      <c r="AO79" s="1">
        <v>0</v>
      </c>
      <c r="AP79" s="1">
        <v>0</v>
      </c>
      <c r="AQ79" s="1">
        <v>27</v>
      </c>
      <c r="AR79" s="1">
        <v>27</v>
      </c>
      <c r="AS79" s="1" t="s">
        <v>1002</v>
      </c>
      <c r="AT79" s="1" t="s">
        <v>1003</v>
      </c>
      <c r="AU79" s="1" t="s">
        <v>1004</v>
      </c>
      <c r="AV79" s="1" t="s">
        <v>1783</v>
      </c>
      <c r="AW79" s="1" t="s">
        <v>1784</v>
      </c>
      <c r="AX79" s="1" t="s">
        <v>82</v>
      </c>
      <c r="AY79" s="1" t="s">
        <v>1785</v>
      </c>
      <c r="AZ79" s="1" t="s">
        <v>1786</v>
      </c>
      <c r="BA79" s="1" t="s">
        <v>397</v>
      </c>
      <c r="BB79" s="1">
        <v>2023</v>
      </c>
      <c r="BC79" s="1">
        <v>23</v>
      </c>
      <c r="BD79" s="1">
        <v>2</v>
      </c>
      <c r="BE79" s="1" t="s">
        <v>82</v>
      </c>
      <c r="BF79" s="1" t="s">
        <v>82</v>
      </c>
      <c r="BG79" s="1" t="s">
        <v>82</v>
      </c>
      <c r="BH79" s="1" t="s">
        <v>82</v>
      </c>
      <c r="BI79" s="1">
        <v>424</v>
      </c>
      <c r="BJ79" s="1">
        <v>439</v>
      </c>
      <c r="BK79" s="1" t="s">
        <v>82</v>
      </c>
      <c r="BL79" s="1" t="s">
        <v>1787</v>
      </c>
      <c r="BM79" s="1" t="str">
        <f>HYPERLINK("http://dx.doi.org/10.1111/1755-0998.13719","http://dx.doi.org/10.1111/1755-0998.13719")</f>
        <v>http://dx.doi.org/10.1111/1755-0998.13719</v>
      </c>
      <c r="BN79" s="1" t="s">
        <v>82</v>
      </c>
      <c r="BO79" s="1" t="s">
        <v>870</v>
      </c>
      <c r="BP79" s="1">
        <v>16</v>
      </c>
      <c r="BQ79" s="1" t="s">
        <v>1788</v>
      </c>
      <c r="BR79" s="1" t="s">
        <v>104</v>
      </c>
      <c r="BS79" s="1" t="s">
        <v>1789</v>
      </c>
      <c r="BT79" s="1" t="s">
        <v>1790</v>
      </c>
      <c r="BU79" s="1">
        <v>36219539</v>
      </c>
      <c r="BV79" s="1" t="s">
        <v>82</v>
      </c>
      <c r="BW79" s="1" t="s">
        <v>82</v>
      </c>
      <c r="BX79" s="1" t="s">
        <v>82</v>
      </c>
      <c r="BY79" s="1" t="s">
        <v>108</v>
      </c>
      <c r="BZ79" s="1" t="s">
        <v>1791</v>
      </c>
      <c r="CA79" s="1" t="str">
        <f>HYPERLINK("https%3A%2F%2Fwww.webofscience.com%2Fwos%2Fwoscc%2Ffull-record%2FWOS:000878862400001","View Full Record in Web of Science")</f>
        <v>View Full Record in Web of Science</v>
      </c>
    </row>
    <row r="80" s="1" customFormat="1" ht="14.4" spans="1:79">
      <c r="A80">
        <v>79</v>
      </c>
      <c r="B80" s="2" t="s">
        <v>79</v>
      </c>
      <c r="C80" s="1" t="s">
        <v>80</v>
      </c>
      <c r="D80" s="1" t="s">
        <v>1792</v>
      </c>
      <c r="E80" s="1" t="s">
        <v>82</v>
      </c>
      <c r="F80" s="1" t="s">
        <v>82</v>
      </c>
      <c r="G80" s="1" t="s">
        <v>82</v>
      </c>
      <c r="H80" s="1" t="s">
        <v>1793</v>
      </c>
      <c r="I80" s="1" t="s">
        <v>82</v>
      </c>
      <c r="J80" s="1" t="s">
        <v>82</v>
      </c>
      <c r="K80" s="1" t="s">
        <v>1794</v>
      </c>
      <c r="L80" s="1" t="s">
        <v>1770</v>
      </c>
      <c r="M80" s="1">
        <v>8.678</v>
      </c>
      <c r="O80" s="1" t="s">
        <v>82</v>
      </c>
      <c r="P80" s="1" t="s">
        <v>82</v>
      </c>
      <c r="Q80" s="1" t="s">
        <v>87</v>
      </c>
      <c r="R80" s="1" t="s">
        <v>115</v>
      </c>
      <c r="S80" s="1" t="s">
        <v>82</v>
      </c>
      <c r="T80" s="1" t="s">
        <v>82</v>
      </c>
      <c r="U80" s="1" t="s">
        <v>82</v>
      </c>
      <c r="V80" s="1" t="s">
        <v>82</v>
      </c>
      <c r="W80" s="1" t="s">
        <v>82</v>
      </c>
      <c r="X80" s="1" t="s">
        <v>1795</v>
      </c>
      <c r="Y80" s="1" t="s">
        <v>1796</v>
      </c>
      <c r="Z80" s="1" t="s">
        <v>1797</v>
      </c>
      <c r="AA80" s="1">
        <v>1</v>
      </c>
      <c r="AB80" s="1" t="s">
        <v>1798</v>
      </c>
      <c r="AC80" s="1" t="s">
        <v>1799</v>
      </c>
      <c r="AD80" s="1" t="s">
        <v>93</v>
      </c>
      <c r="AE80" s="1" t="s">
        <v>1800</v>
      </c>
      <c r="AF80" s="1" t="s">
        <v>1801</v>
      </c>
      <c r="AG80" s="1" t="s">
        <v>1802</v>
      </c>
      <c r="AH80" s="1" t="s">
        <v>82</v>
      </c>
      <c r="AI80" s="1" t="s">
        <v>1803</v>
      </c>
      <c r="AJ80" s="1" t="s">
        <v>1804</v>
      </c>
      <c r="AK80" s="1" t="s">
        <v>1805</v>
      </c>
      <c r="AL80" s="1" t="s">
        <v>1806</v>
      </c>
      <c r="AM80" s="1" t="s">
        <v>82</v>
      </c>
      <c r="AN80" s="1">
        <v>115</v>
      </c>
      <c r="AO80" s="1">
        <v>0</v>
      </c>
      <c r="AP80" s="1">
        <v>0</v>
      </c>
      <c r="AQ80" s="1">
        <v>36</v>
      </c>
      <c r="AR80" s="1">
        <v>39</v>
      </c>
      <c r="AS80" s="1" t="s">
        <v>1002</v>
      </c>
      <c r="AT80" s="1" t="s">
        <v>1003</v>
      </c>
      <c r="AU80" s="1" t="s">
        <v>1004</v>
      </c>
      <c r="AV80" s="1" t="s">
        <v>1783</v>
      </c>
      <c r="AW80" s="1" t="s">
        <v>1784</v>
      </c>
      <c r="AX80" s="1" t="s">
        <v>82</v>
      </c>
      <c r="AY80" s="1" t="s">
        <v>1785</v>
      </c>
      <c r="AZ80" s="1" t="s">
        <v>1786</v>
      </c>
      <c r="BA80" s="1" t="s">
        <v>486</v>
      </c>
      <c r="BB80" s="1">
        <v>2022</v>
      </c>
      <c r="BC80" s="1">
        <v>22</v>
      </c>
      <c r="BD80" s="1">
        <v>8</v>
      </c>
      <c r="BE80" s="1" t="s">
        <v>82</v>
      </c>
      <c r="BF80" s="1" t="s">
        <v>82</v>
      </c>
      <c r="BG80" s="1" t="s">
        <v>82</v>
      </c>
      <c r="BH80" s="1" t="s">
        <v>82</v>
      </c>
      <c r="BI80" s="1">
        <v>3161</v>
      </c>
      <c r="BJ80" s="1">
        <v>3175</v>
      </c>
      <c r="BK80" s="1" t="s">
        <v>82</v>
      </c>
      <c r="BL80" s="1" t="s">
        <v>1807</v>
      </c>
      <c r="BM80" s="1" t="str">
        <f>HYPERLINK("http://dx.doi.org/10.1111/1755-0998.13683","http://dx.doi.org/10.1111/1755-0998.13683")</f>
        <v>http://dx.doi.org/10.1111/1755-0998.13683</v>
      </c>
      <c r="BN80" s="1" t="s">
        <v>82</v>
      </c>
      <c r="BO80" s="1" t="s">
        <v>1257</v>
      </c>
      <c r="BP80" s="1">
        <v>15</v>
      </c>
      <c r="BQ80" s="1" t="s">
        <v>1788</v>
      </c>
      <c r="BR80" s="1" t="s">
        <v>104</v>
      </c>
      <c r="BS80" s="1" t="s">
        <v>1789</v>
      </c>
      <c r="BT80" s="1" t="s">
        <v>1808</v>
      </c>
      <c r="BU80" s="1">
        <v>35789203</v>
      </c>
      <c r="BV80" s="1" t="s">
        <v>82</v>
      </c>
      <c r="BW80" s="1" t="s">
        <v>82</v>
      </c>
      <c r="BX80" s="1" t="s">
        <v>82</v>
      </c>
      <c r="BY80" s="1" t="s">
        <v>108</v>
      </c>
      <c r="BZ80" s="1" t="s">
        <v>1809</v>
      </c>
      <c r="CA80" s="1" t="str">
        <f>HYPERLINK("https%3A%2F%2Fwww.webofscience.com%2Fwos%2Fwoscc%2Ffull-record%2FWOS:000826239400001","View Full Record in Web of Science")</f>
        <v>View Full Record in Web of Science</v>
      </c>
    </row>
    <row r="81" s="1" customFormat="1" ht="14.4" spans="1:79">
      <c r="A81">
        <v>80</v>
      </c>
      <c r="B81" s="2" t="s">
        <v>79</v>
      </c>
      <c r="C81" s="1" t="s">
        <v>80</v>
      </c>
      <c r="D81" s="1" t="s">
        <v>1810</v>
      </c>
      <c r="E81" s="1" t="s">
        <v>82</v>
      </c>
      <c r="F81" s="1" t="s">
        <v>82</v>
      </c>
      <c r="G81" s="1" t="s">
        <v>82</v>
      </c>
      <c r="H81" s="1" t="s">
        <v>1811</v>
      </c>
      <c r="I81" s="1" t="s">
        <v>82</v>
      </c>
      <c r="J81" s="1" t="s">
        <v>82</v>
      </c>
      <c r="K81" s="1" t="s">
        <v>1812</v>
      </c>
      <c r="L81" s="1" t="s">
        <v>1770</v>
      </c>
      <c r="M81" s="1">
        <v>8.678</v>
      </c>
      <c r="O81" s="1" t="s">
        <v>82</v>
      </c>
      <c r="P81" s="1" t="s">
        <v>82</v>
      </c>
      <c r="Q81" s="1" t="s">
        <v>87</v>
      </c>
      <c r="R81" s="1" t="s">
        <v>115</v>
      </c>
      <c r="S81" s="1" t="s">
        <v>82</v>
      </c>
      <c r="T81" s="1" t="s">
        <v>82</v>
      </c>
      <c r="U81" s="1" t="s">
        <v>82</v>
      </c>
      <c r="V81" s="1" t="s">
        <v>82</v>
      </c>
      <c r="W81" s="1" t="s">
        <v>82</v>
      </c>
      <c r="X81" s="1" t="s">
        <v>1813</v>
      </c>
      <c r="Y81" s="1" t="s">
        <v>1814</v>
      </c>
      <c r="Z81" s="1" t="s">
        <v>1815</v>
      </c>
      <c r="AA81" s="1">
        <v>1</v>
      </c>
      <c r="AB81" s="1" t="s">
        <v>1816</v>
      </c>
      <c r="AC81" s="1" t="s">
        <v>1817</v>
      </c>
      <c r="AD81" s="1" t="s">
        <v>93</v>
      </c>
      <c r="AE81" s="1" t="s">
        <v>1818</v>
      </c>
      <c r="AF81" s="1" t="s">
        <v>1819</v>
      </c>
      <c r="AG81" s="1" t="s">
        <v>1820</v>
      </c>
      <c r="AH81" s="1" t="s">
        <v>1821</v>
      </c>
      <c r="AI81" s="1" t="s">
        <v>1822</v>
      </c>
      <c r="AJ81" s="1" t="s">
        <v>1823</v>
      </c>
      <c r="AK81" s="1" t="s">
        <v>1824</v>
      </c>
      <c r="AL81" s="1" t="s">
        <v>1825</v>
      </c>
      <c r="AM81" s="1" t="s">
        <v>82</v>
      </c>
      <c r="AN81" s="1">
        <v>73</v>
      </c>
      <c r="AO81" s="1">
        <v>14</v>
      </c>
      <c r="AP81" s="1">
        <v>14</v>
      </c>
      <c r="AQ81" s="1">
        <v>15</v>
      </c>
      <c r="AR81" s="1">
        <v>68</v>
      </c>
      <c r="AS81" s="1" t="s">
        <v>1002</v>
      </c>
      <c r="AT81" s="1" t="s">
        <v>1003</v>
      </c>
      <c r="AU81" s="1" t="s">
        <v>1004</v>
      </c>
      <c r="AV81" s="1" t="s">
        <v>1783</v>
      </c>
      <c r="AW81" s="1" t="s">
        <v>1784</v>
      </c>
      <c r="AX81" s="1" t="s">
        <v>82</v>
      </c>
      <c r="AY81" s="1" t="s">
        <v>1785</v>
      </c>
      <c r="AZ81" s="1" t="s">
        <v>1786</v>
      </c>
      <c r="BA81" s="1" t="s">
        <v>1826</v>
      </c>
      <c r="BB81" s="1">
        <v>2022</v>
      </c>
      <c r="BC81" s="1">
        <v>22</v>
      </c>
      <c r="BD81" s="1">
        <v>1</v>
      </c>
      <c r="BE81" s="1" t="s">
        <v>82</v>
      </c>
      <c r="BF81" s="1" t="s">
        <v>82</v>
      </c>
      <c r="BG81" s="1" t="s">
        <v>82</v>
      </c>
      <c r="BH81" s="1" t="s">
        <v>82</v>
      </c>
      <c r="BI81" s="1">
        <v>404</v>
      </c>
      <c r="BJ81" s="1">
        <v>414</v>
      </c>
      <c r="BK81" s="1" t="s">
        <v>82</v>
      </c>
      <c r="BL81" s="1" t="s">
        <v>1827</v>
      </c>
      <c r="BM81" s="1" t="str">
        <f>HYPERLINK("http://dx.doi.org/10.1111/1755-0998.13479","http://dx.doi.org/10.1111/1755-0998.13479")</f>
        <v>http://dx.doi.org/10.1111/1755-0998.13479</v>
      </c>
      <c r="BN81" s="1" t="s">
        <v>82</v>
      </c>
      <c r="BO81" s="1" t="s">
        <v>1828</v>
      </c>
      <c r="BP81" s="1">
        <v>11</v>
      </c>
      <c r="BQ81" s="1" t="s">
        <v>1788</v>
      </c>
      <c r="BR81" s="1" t="s">
        <v>104</v>
      </c>
      <c r="BS81" s="1" t="s">
        <v>1789</v>
      </c>
      <c r="BT81" s="1" t="s">
        <v>1829</v>
      </c>
      <c r="BU81" s="1">
        <v>34310851</v>
      </c>
      <c r="BV81" s="1" t="s">
        <v>82</v>
      </c>
      <c r="BW81" s="1" t="s">
        <v>82</v>
      </c>
      <c r="BX81" s="1" t="s">
        <v>82</v>
      </c>
      <c r="BY81" s="1" t="s">
        <v>108</v>
      </c>
      <c r="BZ81" s="1" t="s">
        <v>1830</v>
      </c>
      <c r="CA81" s="1" t="str">
        <f>HYPERLINK("https%3A%2F%2Fwww.webofscience.com%2Fwos%2Fwoscc%2Ffull-record%2FWOS:000682983700001","View Full Record in Web of Science")</f>
        <v>View Full Record in Web of Science</v>
      </c>
    </row>
    <row r="82" s="1" customFormat="1" ht="14.4" spans="1:79">
      <c r="A82">
        <v>81</v>
      </c>
      <c r="B82" s="2" t="s">
        <v>110</v>
      </c>
      <c r="C82" s="1" t="s">
        <v>80</v>
      </c>
      <c r="D82" s="1" t="s">
        <v>1831</v>
      </c>
      <c r="E82" s="1" t="s">
        <v>82</v>
      </c>
      <c r="F82" s="1" t="s">
        <v>82</v>
      </c>
      <c r="G82" s="1" t="s">
        <v>82</v>
      </c>
      <c r="H82" s="1" t="s">
        <v>1832</v>
      </c>
      <c r="I82" s="1" t="s">
        <v>82</v>
      </c>
      <c r="J82" s="1" t="s">
        <v>82</v>
      </c>
      <c r="K82" s="1" t="s">
        <v>1833</v>
      </c>
      <c r="L82" s="1" t="s">
        <v>1834</v>
      </c>
      <c r="M82" s="1">
        <v>8.554</v>
      </c>
      <c r="O82" s="1" t="s">
        <v>82</v>
      </c>
      <c r="P82" s="1" t="s">
        <v>82</v>
      </c>
      <c r="Q82" s="1" t="s">
        <v>87</v>
      </c>
      <c r="R82" s="1" t="s">
        <v>115</v>
      </c>
      <c r="S82" s="1" t="s">
        <v>82</v>
      </c>
      <c r="T82" s="1" t="s">
        <v>82</v>
      </c>
      <c r="U82" s="1" t="s">
        <v>82</v>
      </c>
      <c r="V82" s="1" t="s">
        <v>82</v>
      </c>
      <c r="W82" s="1" t="s">
        <v>82</v>
      </c>
      <c r="X82" s="1" t="s">
        <v>1835</v>
      </c>
      <c r="Y82" s="1" t="s">
        <v>1836</v>
      </c>
      <c r="Z82" s="1" t="s">
        <v>1837</v>
      </c>
      <c r="AA82" s="1">
        <v>1</v>
      </c>
      <c r="AB82" s="1" t="s">
        <v>1838</v>
      </c>
      <c r="AC82" s="1" t="s">
        <v>1839</v>
      </c>
      <c r="AD82" s="1" t="s">
        <v>93</v>
      </c>
      <c r="AE82" s="1" t="s">
        <v>1840</v>
      </c>
      <c r="AF82" s="1" t="s">
        <v>1841</v>
      </c>
      <c r="AG82" s="1" t="s">
        <v>1842</v>
      </c>
      <c r="AH82" s="1" t="s">
        <v>82</v>
      </c>
      <c r="AI82" s="1" t="s">
        <v>82</v>
      </c>
      <c r="AJ82" s="1" t="s">
        <v>1843</v>
      </c>
      <c r="AK82" s="1" t="s">
        <v>1844</v>
      </c>
      <c r="AL82" s="1" t="s">
        <v>1845</v>
      </c>
      <c r="AM82" s="1" t="s">
        <v>82</v>
      </c>
      <c r="AN82" s="1">
        <v>56</v>
      </c>
      <c r="AO82" s="1">
        <v>0</v>
      </c>
      <c r="AP82" s="1">
        <v>0</v>
      </c>
      <c r="AQ82" s="1">
        <v>1</v>
      </c>
      <c r="AR82" s="1">
        <v>1</v>
      </c>
      <c r="AS82" s="1" t="s">
        <v>1846</v>
      </c>
      <c r="AT82" s="1" t="s">
        <v>1847</v>
      </c>
      <c r="AU82" s="1" t="s">
        <v>1848</v>
      </c>
      <c r="AV82" s="1" t="s">
        <v>1849</v>
      </c>
      <c r="AW82" s="1" t="s">
        <v>82</v>
      </c>
      <c r="AX82" s="1" t="s">
        <v>82</v>
      </c>
      <c r="AY82" s="1" t="s">
        <v>1850</v>
      </c>
      <c r="AZ82" s="1" t="s">
        <v>1851</v>
      </c>
      <c r="BA82" s="1" t="s">
        <v>486</v>
      </c>
      <c r="BB82" s="1">
        <v>2022</v>
      </c>
      <c r="BC82" s="1">
        <v>12</v>
      </c>
      <c r="BD82" s="1">
        <v>11</v>
      </c>
      <c r="BE82" s="1" t="s">
        <v>82</v>
      </c>
      <c r="BF82" s="1" t="s">
        <v>82</v>
      </c>
      <c r="BG82" s="1" t="s">
        <v>82</v>
      </c>
      <c r="BH82" s="1" t="s">
        <v>82</v>
      </c>
      <c r="BI82" s="1" t="s">
        <v>82</v>
      </c>
      <c r="BJ82" s="1" t="s">
        <v>82</v>
      </c>
      <c r="BK82" s="1" t="s">
        <v>1852</v>
      </c>
      <c r="BL82" s="1" t="s">
        <v>1853</v>
      </c>
      <c r="BM82" s="1" t="str">
        <f>HYPERLINK("http://dx.doi.org/10.1002/ctm2.973","http://dx.doi.org/10.1002/ctm2.973")</f>
        <v>http://dx.doi.org/10.1002/ctm2.973</v>
      </c>
      <c r="BN82" s="1" t="s">
        <v>82</v>
      </c>
      <c r="BO82" s="1" t="s">
        <v>82</v>
      </c>
      <c r="BP82" s="1">
        <v>17</v>
      </c>
      <c r="BQ82" s="1" t="s">
        <v>1854</v>
      </c>
      <c r="BR82" s="1" t="s">
        <v>104</v>
      </c>
      <c r="BS82" s="1" t="s">
        <v>1855</v>
      </c>
      <c r="BT82" s="1" t="s">
        <v>1856</v>
      </c>
      <c r="BU82" s="1">
        <v>36377223</v>
      </c>
      <c r="BV82" s="1" t="s">
        <v>316</v>
      </c>
      <c r="BW82" s="1" t="s">
        <v>82</v>
      </c>
      <c r="BX82" s="1" t="s">
        <v>82</v>
      </c>
      <c r="BY82" s="1" t="s">
        <v>108</v>
      </c>
      <c r="BZ82" s="1" t="s">
        <v>1857</v>
      </c>
      <c r="CA82" s="1" t="str">
        <f>HYPERLINK("https%3A%2F%2Fwww.webofscience.com%2Fwos%2Fwoscc%2Ffull-record%2FWOS:000883257200001","View Full Record in Web of Science")</f>
        <v>View Full Record in Web of Science</v>
      </c>
    </row>
    <row r="83" s="1" customFormat="1" ht="14.4" spans="1:79">
      <c r="A83">
        <v>82</v>
      </c>
      <c r="B83" s="2" t="s">
        <v>79</v>
      </c>
      <c r="C83" s="1" t="s">
        <v>80</v>
      </c>
      <c r="D83" s="1" t="s">
        <v>1858</v>
      </c>
      <c r="E83" s="1" t="s">
        <v>82</v>
      </c>
      <c r="F83" s="1" t="s">
        <v>82</v>
      </c>
      <c r="G83" s="1" t="s">
        <v>82</v>
      </c>
      <c r="H83" s="1" t="s">
        <v>1859</v>
      </c>
      <c r="I83" s="1" t="s">
        <v>82</v>
      </c>
      <c r="J83" s="1" t="s">
        <v>82</v>
      </c>
      <c r="K83" s="1" t="s">
        <v>1860</v>
      </c>
      <c r="L83" s="1" t="s">
        <v>1861</v>
      </c>
      <c r="M83" s="1">
        <v>8.546</v>
      </c>
      <c r="O83" s="1" t="s">
        <v>82</v>
      </c>
      <c r="P83" s="1" t="s">
        <v>82</v>
      </c>
      <c r="Q83" s="1" t="s">
        <v>87</v>
      </c>
      <c r="R83" s="1" t="s">
        <v>115</v>
      </c>
      <c r="S83" s="1" t="s">
        <v>82</v>
      </c>
      <c r="T83" s="1" t="s">
        <v>82</v>
      </c>
      <c r="U83" s="1" t="s">
        <v>82</v>
      </c>
      <c r="V83" s="1" t="s">
        <v>82</v>
      </c>
      <c r="W83" s="1" t="s">
        <v>82</v>
      </c>
      <c r="X83" s="1" t="s">
        <v>1862</v>
      </c>
      <c r="Y83" s="1" t="s">
        <v>1863</v>
      </c>
      <c r="Z83" s="1" t="s">
        <v>1864</v>
      </c>
      <c r="AB83" s="1" t="s">
        <v>1865</v>
      </c>
      <c r="AC83" s="1" t="s">
        <v>1866</v>
      </c>
      <c r="AD83" s="1" t="s">
        <v>120</v>
      </c>
      <c r="AE83" s="1" t="s">
        <v>1867</v>
      </c>
      <c r="AF83" s="1" t="s">
        <v>1868</v>
      </c>
      <c r="AG83" s="1" t="s">
        <v>1869</v>
      </c>
      <c r="AH83" s="1" t="s">
        <v>1870</v>
      </c>
      <c r="AI83" s="1" t="s">
        <v>1871</v>
      </c>
      <c r="AJ83" s="1" t="s">
        <v>1872</v>
      </c>
      <c r="AK83" s="1" t="s">
        <v>1873</v>
      </c>
      <c r="AL83" s="1" t="s">
        <v>1874</v>
      </c>
      <c r="AM83" s="1" t="s">
        <v>82</v>
      </c>
      <c r="AN83" s="1">
        <v>43</v>
      </c>
      <c r="AO83" s="1">
        <v>4</v>
      </c>
      <c r="AP83" s="1">
        <v>4</v>
      </c>
      <c r="AQ83" s="1">
        <v>9</v>
      </c>
      <c r="AR83" s="1">
        <v>52</v>
      </c>
      <c r="AS83" s="1" t="s">
        <v>1700</v>
      </c>
      <c r="AT83" s="1" t="s">
        <v>329</v>
      </c>
      <c r="AU83" s="1" t="s">
        <v>1701</v>
      </c>
      <c r="AV83" s="1" t="s">
        <v>1875</v>
      </c>
      <c r="AW83" s="1" t="s">
        <v>1876</v>
      </c>
      <c r="AX83" s="1" t="s">
        <v>82</v>
      </c>
      <c r="AY83" s="1" t="s">
        <v>1877</v>
      </c>
      <c r="AZ83" s="1" t="s">
        <v>1878</v>
      </c>
      <c r="BA83" s="1" t="s">
        <v>1826</v>
      </c>
      <c r="BB83" s="1">
        <v>2022</v>
      </c>
      <c r="BC83" s="1">
        <v>164</v>
      </c>
      <c r="BD83" s="1" t="s">
        <v>82</v>
      </c>
      <c r="BE83" s="1" t="s">
        <v>82</v>
      </c>
      <c r="BF83" s="1" t="s">
        <v>82</v>
      </c>
      <c r="BG83" s="1" t="s">
        <v>82</v>
      </c>
      <c r="BH83" s="1" t="s">
        <v>82</v>
      </c>
      <c r="BI83" s="1" t="s">
        <v>82</v>
      </c>
      <c r="BJ83" s="1" t="s">
        <v>82</v>
      </c>
      <c r="BK83" s="1">
        <v>108490</v>
      </c>
      <c r="BL83" s="1" t="s">
        <v>1879</v>
      </c>
      <c r="BM83" s="1" t="str">
        <f>HYPERLINK("http://dx.doi.org/10.1016/j.soilbio.2021.108490","http://dx.doi.org/10.1016/j.soilbio.2021.108490")</f>
        <v>http://dx.doi.org/10.1016/j.soilbio.2021.108490</v>
      </c>
      <c r="BN83" s="1" t="s">
        <v>82</v>
      </c>
      <c r="BO83" s="1" t="s">
        <v>904</v>
      </c>
      <c r="BP83" s="1">
        <v>12</v>
      </c>
      <c r="BQ83" s="1" t="s">
        <v>1880</v>
      </c>
      <c r="BR83" s="1" t="s">
        <v>104</v>
      </c>
      <c r="BS83" s="1" t="s">
        <v>1881</v>
      </c>
      <c r="BT83" s="1" t="s">
        <v>1882</v>
      </c>
      <c r="BU83" s="1" t="s">
        <v>82</v>
      </c>
      <c r="BV83" s="1" t="s">
        <v>82</v>
      </c>
      <c r="BW83" s="1" t="s">
        <v>82</v>
      </c>
      <c r="BX83" s="1" t="s">
        <v>82</v>
      </c>
      <c r="BY83" s="1" t="s">
        <v>108</v>
      </c>
      <c r="BZ83" s="1" t="s">
        <v>1883</v>
      </c>
      <c r="CA83" s="1" t="str">
        <f>HYPERLINK("https%3A%2F%2Fwww.webofscience.com%2Fwos%2Fwoscc%2Ffull-record%2FWOS:000720850600006","View Full Record in Web of Science")</f>
        <v>View Full Record in Web of Science</v>
      </c>
    </row>
    <row r="84" s="1" customFormat="1" ht="14.4" spans="1:79">
      <c r="A84">
        <v>83</v>
      </c>
      <c r="B84" s="2" t="s">
        <v>79</v>
      </c>
      <c r="C84" s="1" t="s">
        <v>80</v>
      </c>
      <c r="D84" s="1" t="s">
        <v>1884</v>
      </c>
      <c r="E84" s="1" t="s">
        <v>82</v>
      </c>
      <c r="F84" s="1" t="s">
        <v>82</v>
      </c>
      <c r="G84" s="1" t="s">
        <v>82</v>
      </c>
      <c r="H84" s="1" t="s">
        <v>1885</v>
      </c>
      <c r="I84" s="1" t="s">
        <v>82</v>
      </c>
      <c r="J84" s="1" t="s">
        <v>82</v>
      </c>
      <c r="K84" s="1" t="s">
        <v>1886</v>
      </c>
      <c r="L84" s="1" t="s">
        <v>1887</v>
      </c>
      <c r="M84" s="1">
        <v>8.501</v>
      </c>
      <c r="O84" s="1" t="s">
        <v>82</v>
      </c>
      <c r="P84" s="1" t="s">
        <v>82</v>
      </c>
      <c r="Q84" s="1" t="s">
        <v>87</v>
      </c>
      <c r="R84" s="1" t="s">
        <v>1888</v>
      </c>
      <c r="S84" s="1" t="s">
        <v>82</v>
      </c>
      <c r="T84" s="1" t="s">
        <v>82</v>
      </c>
      <c r="U84" s="1" t="s">
        <v>82</v>
      </c>
      <c r="V84" s="1" t="s">
        <v>82</v>
      </c>
      <c r="W84" s="1" t="s">
        <v>82</v>
      </c>
      <c r="X84" s="1" t="s">
        <v>82</v>
      </c>
      <c r="Y84" s="1" t="s">
        <v>1889</v>
      </c>
      <c r="Z84" s="1" t="s">
        <v>1890</v>
      </c>
      <c r="AA84" s="1">
        <v>1</v>
      </c>
      <c r="AB84" s="1" t="s">
        <v>1891</v>
      </c>
      <c r="AC84" s="1" t="s">
        <v>1892</v>
      </c>
      <c r="AD84" s="1" t="s">
        <v>93</v>
      </c>
      <c r="AE84" s="1" t="s">
        <v>1893</v>
      </c>
      <c r="AF84" s="1" t="s">
        <v>1894</v>
      </c>
      <c r="AG84" s="1" t="s">
        <v>1895</v>
      </c>
      <c r="AH84" s="1" t="s">
        <v>82</v>
      </c>
      <c r="AI84" s="1" t="s">
        <v>1896</v>
      </c>
      <c r="AJ84" s="1" t="s">
        <v>1897</v>
      </c>
      <c r="AK84" s="1" t="s">
        <v>1898</v>
      </c>
      <c r="AL84" s="1" t="s">
        <v>1899</v>
      </c>
      <c r="AM84" s="1" t="s">
        <v>82</v>
      </c>
      <c r="AN84" s="1">
        <v>66</v>
      </c>
      <c r="AO84" s="1">
        <v>7</v>
      </c>
      <c r="AP84" s="1">
        <v>7</v>
      </c>
      <c r="AQ84" s="1">
        <v>23</v>
      </c>
      <c r="AR84" s="1">
        <v>24</v>
      </c>
      <c r="AS84" s="1" t="s">
        <v>95</v>
      </c>
      <c r="AT84" s="1" t="s">
        <v>96</v>
      </c>
      <c r="AU84" s="1" t="s">
        <v>97</v>
      </c>
      <c r="AV84" s="1" t="s">
        <v>82</v>
      </c>
      <c r="AW84" s="1" t="s">
        <v>1900</v>
      </c>
      <c r="AX84" s="1" t="s">
        <v>82</v>
      </c>
      <c r="AY84" s="1" t="s">
        <v>1901</v>
      </c>
      <c r="AZ84" s="1" t="s">
        <v>1902</v>
      </c>
      <c r="BA84" s="1" t="s">
        <v>1903</v>
      </c>
      <c r="BB84" s="1">
        <v>2022</v>
      </c>
      <c r="BC84" s="1">
        <v>9</v>
      </c>
      <c r="BD84" s="1">
        <v>1</v>
      </c>
      <c r="BE84" s="1" t="s">
        <v>82</v>
      </c>
      <c r="BF84" s="1" t="s">
        <v>82</v>
      </c>
      <c r="BG84" s="1" t="s">
        <v>82</v>
      </c>
      <c r="BH84" s="1" t="s">
        <v>82</v>
      </c>
      <c r="BI84" s="1" t="s">
        <v>82</v>
      </c>
      <c r="BJ84" s="1" t="s">
        <v>82</v>
      </c>
      <c r="BK84" s="1">
        <v>409</v>
      </c>
      <c r="BL84" s="1" t="s">
        <v>1904</v>
      </c>
      <c r="BM84" s="1" t="str">
        <f>HYPERLINK("http://dx.doi.org/10.1038/s41597-022-01493-1","http://dx.doi.org/10.1038/s41597-022-01493-1")</f>
        <v>http://dx.doi.org/10.1038/s41597-022-01493-1</v>
      </c>
      <c r="BN84" s="1" t="s">
        <v>82</v>
      </c>
      <c r="BO84" s="1" t="s">
        <v>82</v>
      </c>
      <c r="BP84" s="1">
        <v>15</v>
      </c>
      <c r="BQ84" s="1" t="s">
        <v>103</v>
      </c>
      <c r="BR84" s="1" t="s">
        <v>104</v>
      </c>
      <c r="BS84" s="1" t="s">
        <v>105</v>
      </c>
      <c r="BT84" s="1" t="s">
        <v>1905</v>
      </c>
      <c r="BU84" s="1">
        <v>35840601</v>
      </c>
      <c r="BV84" s="1" t="s">
        <v>592</v>
      </c>
      <c r="BW84" s="1" t="s">
        <v>82</v>
      </c>
      <c r="BX84" s="1" t="s">
        <v>82</v>
      </c>
      <c r="BY84" s="1" t="s">
        <v>108</v>
      </c>
      <c r="BZ84" s="1" t="s">
        <v>1906</v>
      </c>
      <c r="CA84" s="1" t="str">
        <f>HYPERLINK("https%3A%2F%2Fwww.webofscience.com%2Fwos%2Fwoscc%2Ffull-record%2FWOS:000826038500007","View Full Record in Web of Science")</f>
        <v>View Full Record in Web of Science</v>
      </c>
    </row>
    <row r="85" s="1" customFormat="1" ht="14.4" spans="1:79">
      <c r="A85">
        <v>84</v>
      </c>
      <c r="B85" s="2" t="s">
        <v>110</v>
      </c>
      <c r="C85" s="1" t="s">
        <v>80</v>
      </c>
      <c r="D85" s="1" t="s">
        <v>1907</v>
      </c>
      <c r="E85" s="1" t="s">
        <v>82</v>
      </c>
      <c r="F85" s="1" t="s">
        <v>82</v>
      </c>
      <c r="G85" s="1" t="s">
        <v>82</v>
      </c>
      <c r="H85" s="1" t="s">
        <v>1908</v>
      </c>
      <c r="I85" s="1" t="s">
        <v>82</v>
      </c>
      <c r="J85" s="1" t="s">
        <v>82</v>
      </c>
      <c r="K85" s="1" t="s">
        <v>1909</v>
      </c>
      <c r="L85" s="1" t="s">
        <v>1910</v>
      </c>
      <c r="M85" s="1">
        <v>8.025</v>
      </c>
      <c r="O85" s="1" t="s">
        <v>82</v>
      </c>
      <c r="P85" s="1" t="s">
        <v>82</v>
      </c>
      <c r="Q85" s="1" t="s">
        <v>87</v>
      </c>
      <c r="R85" s="1" t="s">
        <v>115</v>
      </c>
      <c r="S85" s="1" t="s">
        <v>82</v>
      </c>
      <c r="T85" s="1" t="s">
        <v>82</v>
      </c>
      <c r="U85" s="1" t="s">
        <v>82</v>
      </c>
      <c r="V85" s="1" t="s">
        <v>82</v>
      </c>
      <c r="W85" s="1" t="s">
        <v>82</v>
      </c>
      <c r="X85" s="1" t="s">
        <v>1911</v>
      </c>
      <c r="Y85" s="1" t="s">
        <v>1912</v>
      </c>
      <c r="Z85" s="1" t="s">
        <v>1913</v>
      </c>
      <c r="AB85" s="1" t="s">
        <v>1914</v>
      </c>
      <c r="AC85" s="1" t="s">
        <v>1915</v>
      </c>
      <c r="AD85" s="1" t="s">
        <v>120</v>
      </c>
      <c r="AE85" s="1" t="s">
        <v>1916</v>
      </c>
      <c r="AF85" s="1" t="s">
        <v>1917</v>
      </c>
      <c r="AG85" s="1" t="s">
        <v>1918</v>
      </c>
      <c r="AH85" s="1" t="s">
        <v>82</v>
      </c>
      <c r="AI85" s="1" t="s">
        <v>82</v>
      </c>
      <c r="AJ85" s="1" t="s">
        <v>1919</v>
      </c>
      <c r="AK85" s="1" t="s">
        <v>1920</v>
      </c>
      <c r="AL85" s="1" t="s">
        <v>1921</v>
      </c>
      <c r="AM85" s="1" t="s">
        <v>82</v>
      </c>
      <c r="AN85" s="1">
        <v>63</v>
      </c>
      <c r="AO85" s="1">
        <v>0</v>
      </c>
      <c r="AP85" s="1">
        <v>0</v>
      </c>
      <c r="AQ85" s="1">
        <v>20</v>
      </c>
      <c r="AR85" s="1">
        <v>20</v>
      </c>
      <c r="AS85" s="1" t="s">
        <v>479</v>
      </c>
      <c r="AT85" s="1" t="s">
        <v>480</v>
      </c>
      <c r="AU85" s="1" t="s">
        <v>481</v>
      </c>
      <c r="AV85" s="1" t="s">
        <v>1922</v>
      </c>
      <c r="AW85" s="1" t="s">
        <v>1923</v>
      </c>
      <c r="AX85" s="1" t="s">
        <v>82</v>
      </c>
      <c r="AY85" s="1" t="s">
        <v>1924</v>
      </c>
      <c r="AZ85" s="1" t="s">
        <v>1925</v>
      </c>
      <c r="BA85" s="1" t="s">
        <v>1926</v>
      </c>
      <c r="BB85" s="1">
        <v>2022</v>
      </c>
      <c r="BC85" s="1">
        <v>222</v>
      </c>
      <c r="BD85" s="1" t="s">
        <v>82</v>
      </c>
      <c r="BE85" s="1" t="s">
        <v>1927</v>
      </c>
      <c r="BF85" s="1" t="s">
        <v>82</v>
      </c>
      <c r="BG85" s="1" t="s">
        <v>82</v>
      </c>
      <c r="BH85" s="1" t="s">
        <v>82</v>
      </c>
      <c r="BI85" s="1">
        <v>373</v>
      </c>
      <c r="BJ85" s="1">
        <v>384</v>
      </c>
      <c r="BK85" s="1" t="s">
        <v>82</v>
      </c>
      <c r="BL85" s="1" t="s">
        <v>1928</v>
      </c>
      <c r="BM85" s="1" t="str">
        <f>HYPERLINK("http://dx.doi.org/10.1016/j.ijbiomac.2022.09.176","http://dx.doi.org/10.1016/j.ijbiomac.2022.09.176")</f>
        <v>http://dx.doi.org/10.1016/j.ijbiomac.2022.09.176</v>
      </c>
      <c r="BN85" s="1" t="s">
        <v>82</v>
      </c>
      <c r="BO85" s="1" t="s">
        <v>82</v>
      </c>
      <c r="BP85" s="1">
        <v>12</v>
      </c>
      <c r="BQ85" s="1" t="s">
        <v>1929</v>
      </c>
      <c r="BR85" s="1" t="s">
        <v>104</v>
      </c>
      <c r="BS85" s="1" t="s">
        <v>1930</v>
      </c>
      <c r="BT85" s="1" t="s">
        <v>1931</v>
      </c>
      <c r="BU85" s="1">
        <v>36152704</v>
      </c>
      <c r="BV85" s="1" t="s">
        <v>82</v>
      </c>
      <c r="BW85" s="1" t="s">
        <v>82</v>
      </c>
      <c r="BX85" s="1" t="s">
        <v>82</v>
      </c>
      <c r="BY85" s="1" t="s">
        <v>108</v>
      </c>
      <c r="BZ85" s="1" t="s">
        <v>1932</v>
      </c>
      <c r="CA85" s="1" t="str">
        <f>HYPERLINK("https%3A%2F%2Fwww.webofscience.com%2Fwos%2Fwoscc%2Ffull-record%2FWOS:000889472600006","View Full Record in Web of Science")</f>
        <v>View Full Record in Web of Science</v>
      </c>
    </row>
    <row r="86" s="1" customFormat="1" ht="14.4" spans="1:79">
      <c r="A86">
        <v>85</v>
      </c>
      <c r="B86" s="2" t="s">
        <v>110</v>
      </c>
      <c r="C86" s="1" t="s">
        <v>80</v>
      </c>
      <c r="D86" s="1" t="s">
        <v>1933</v>
      </c>
      <c r="E86" s="1" t="s">
        <v>82</v>
      </c>
      <c r="F86" s="1" t="s">
        <v>82</v>
      </c>
      <c r="G86" s="1" t="s">
        <v>82</v>
      </c>
      <c r="H86" s="1" t="s">
        <v>1934</v>
      </c>
      <c r="I86" s="1" t="s">
        <v>82</v>
      </c>
      <c r="J86" s="1" t="s">
        <v>82</v>
      </c>
      <c r="K86" s="1" t="s">
        <v>1935</v>
      </c>
      <c r="L86" s="1" t="s">
        <v>1910</v>
      </c>
      <c r="M86" s="1">
        <v>8.025</v>
      </c>
      <c r="O86" s="1" t="s">
        <v>82</v>
      </c>
      <c r="P86" s="1" t="s">
        <v>82</v>
      </c>
      <c r="Q86" s="1" t="s">
        <v>87</v>
      </c>
      <c r="R86" s="1" t="s">
        <v>115</v>
      </c>
      <c r="S86" s="1" t="s">
        <v>82</v>
      </c>
      <c r="T86" s="1" t="s">
        <v>82</v>
      </c>
      <c r="U86" s="1" t="s">
        <v>82</v>
      </c>
      <c r="V86" s="1" t="s">
        <v>82</v>
      </c>
      <c r="W86" s="1" t="s">
        <v>82</v>
      </c>
      <c r="X86" s="1" t="s">
        <v>1936</v>
      </c>
      <c r="Y86" s="1" t="s">
        <v>1937</v>
      </c>
      <c r="Z86" s="1" t="s">
        <v>1938</v>
      </c>
      <c r="AA86" s="1">
        <v>1</v>
      </c>
      <c r="AB86" s="1" t="s">
        <v>1939</v>
      </c>
      <c r="AC86" s="1" t="s">
        <v>1940</v>
      </c>
      <c r="AD86" s="1" t="s">
        <v>93</v>
      </c>
      <c r="AE86" s="1" t="s">
        <v>1941</v>
      </c>
      <c r="AF86" s="1" t="s">
        <v>1942</v>
      </c>
      <c r="AG86" s="1" t="s">
        <v>1943</v>
      </c>
      <c r="AH86" s="1" t="s">
        <v>82</v>
      </c>
      <c r="AI86" s="1" t="s">
        <v>1503</v>
      </c>
      <c r="AJ86" s="1" t="s">
        <v>1944</v>
      </c>
      <c r="AK86" s="1" t="s">
        <v>1945</v>
      </c>
      <c r="AL86" s="1" t="s">
        <v>1946</v>
      </c>
      <c r="AM86" s="1" t="s">
        <v>82</v>
      </c>
      <c r="AN86" s="1">
        <v>37</v>
      </c>
      <c r="AO86" s="1">
        <v>1</v>
      </c>
      <c r="AP86" s="1">
        <v>1</v>
      </c>
      <c r="AQ86" s="1">
        <v>11</v>
      </c>
      <c r="AR86" s="1">
        <v>15</v>
      </c>
      <c r="AS86" s="1" t="s">
        <v>479</v>
      </c>
      <c r="AT86" s="1" t="s">
        <v>480</v>
      </c>
      <c r="AU86" s="1" t="s">
        <v>481</v>
      </c>
      <c r="AV86" s="1" t="s">
        <v>1922</v>
      </c>
      <c r="AW86" s="1" t="s">
        <v>1923</v>
      </c>
      <c r="AX86" s="1" t="s">
        <v>82</v>
      </c>
      <c r="AY86" s="1" t="s">
        <v>1924</v>
      </c>
      <c r="AZ86" s="1" t="s">
        <v>1925</v>
      </c>
      <c r="BA86" s="1" t="s">
        <v>1947</v>
      </c>
      <c r="BB86" s="1">
        <v>2022</v>
      </c>
      <c r="BC86" s="1">
        <v>213</v>
      </c>
      <c r="BD86" s="1" t="s">
        <v>82</v>
      </c>
      <c r="BE86" s="1" t="s">
        <v>82</v>
      </c>
      <c r="BF86" s="1" t="s">
        <v>82</v>
      </c>
      <c r="BG86" s="1" t="s">
        <v>82</v>
      </c>
      <c r="BH86" s="1" t="s">
        <v>82</v>
      </c>
      <c r="BI86" s="1">
        <v>328</v>
      </c>
      <c r="BJ86" s="1">
        <v>338</v>
      </c>
      <c r="BK86" s="1" t="s">
        <v>82</v>
      </c>
      <c r="BL86" s="1" t="s">
        <v>1948</v>
      </c>
      <c r="BM86" s="1" t="str">
        <f>HYPERLINK("http://dx.doi.org/10.1016/j.ijbiomac.2022.05.098","http://dx.doi.org/10.1016/j.ijbiomac.2022.05.098")</f>
        <v>http://dx.doi.org/10.1016/j.ijbiomac.2022.05.098</v>
      </c>
      <c r="BN86" s="1" t="s">
        <v>82</v>
      </c>
      <c r="BO86" s="1" t="s">
        <v>1298</v>
      </c>
      <c r="BP86" s="1">
        <v>11</v>
      </c>
      <c r="BQ86" s="1" t="s">
        <v>1929</v>
      </c>
      <c r="BR86" s="1" t="s">
        <v>104</v>
      </c>
      <c r="BS86" s="1" t="s">
        <v>1930</v>
      </c>
      <c r="BT86" s="1" t="s">
        <v>1949</v>
      </c>
      <c r="BU86" s="1">
        <v>35594938</v>
      </c>
      <c r="BV86" s="1" t="s">
        <v>82</v>
      </c>
      <c r="BW86" s="1" t="s">
        <v>82</v>
      </c>
      <c r="BX86" s="1" t="s">
        <v>82</v>
      </c>
      <c r="BY86" s="1" t="s">
        <v>108</v>
      </c>
      <c r="BZ86" s="1" t="s">
        <v>1950</v>
      </c>
      <c r="CA86" s="1" t="str">
        <f>HYPERLINK("https%3A%2F%2Fwww.webofscience.com%2Fwos%2Fwoscc%2Ffull-record%2FWOS:000832874400005","View Full Record in Web of Science")</f>
        <v>View Full Record in Web of Science</v>
      </c>
    </row>
    <row r="87" s="1" customFormat="1" ht="14.4" spans="1:79">
      <c r="A87">
        <v>86</v>
      </c>
      <c r="B87" s="2" t="s">
        <v>79</v>
      </c>
      <c r="C87" s="1" t="s">
        <v>80</v>
      </c>
      <c r="D87" s="1" t="s">
        <v>1951</v>
      </c>
      <c r="E87" s="1" t="s">
        <v>82</v>
      </c>
      <c r="F87" s="1" t="s">
        <v>82</v>
      </c>
      <c r="G87" s="1" t="s">
        <v>82</v>
      </c>
      <c r="H87" s="1" t="s">
        <v>1952</v>
      </c>
      <c r="I87" s="1" t="s">
        <v>82</v>
      </c>
      <c r="J87" s="1" t="s">
        <v>82</v>
      </c>
      <c r="K87" s="1" t="s">
        <v>1953</v>
      </c>
      <c r="L87" s="1" t="s">
        <v>1910</v>
      </c>
      <c r="M87" s="1">
        <v>8.025</v>
      </c>
      <c r="O87" s="1" t="s">
        <v>82</v>
      </c>
      <c r="P87" s="1" t="s">
        <v>82</v>
      </c>
      <c r="Q87" s="1" t="s">
        <v>87</v>
      </c>
      <c r="R87" s="1" t="s">
        <v>115</v>
      </c>
      <c r="S87" s="1" t="s">
        <v>82</v>
      </c>
      <c r="T87" s="1" t="s">
        <v>82</v>
      </c>
      <c r="U87" s="1" t="s">
        <v>82</v>
      </c>
      <c r="V87" s="1" t="s">
        <v>82</v>
      </c>
      <c r="W87" s="1" t="s">
        <v>82</v>
      </c>
      <c r="X87" s="1" t="s">
        <v>1954</v>
      </c>
      <c r="Y87" s="1" t="s">
        <v>1955</v>
      </c>
      <c r="Z87" s="1" t="s">
        <v>1956</v>
      </c>
      <c r="AA87" s="1">
        <v>1</v>
      </c>
      <c r="AB87" s="1" t="s">
        <v>1957</v>
      </c>
      <c r="AC87" s="1" t="s">
        <v>1958</v>
      </c>
      <c r="AD87" s="1" t="s">
        <v>93</v>
      </c>
      <c r="AE87" s="1" t="s">
        <v>1959</v>
      </c>
      <c r="AF87" s="1" t="s">
        <v>1960</v>
      </c>
      <c r="AG87" s="1" t="s">
        <v>1961</v>
      </c>
      <c r="AH87" s="1" t="s">
        <v>82</v>
      </c>
      <c r="AI87" s="1" t="s">
        <v>1503</v>
      </c>
      <c r="AJ87" s="1" t="s">
        <v>1962</v>
      </c>
      <c r="AK87" s="1" t="s">
        <v>1963</v>
      </c>
      <c r="AL87" s="1" t="s">
        <v>1964</v>
      </c>
      <c r="AM87" s="1" t="s">
        <v>82</v>
      </c>
      <c r="AN87" s="1">
        <v>39</v>
      </c>
      <c r="AO87" s="1">
        <v>5</v>
      </c>
      <c r="AP87" s="1">
        <v>5</v>
      </c>
      <c r="AQ87" s="1">
        <v>26</v>
      </c>
      <c r="AR87" s="1">
        <v>51</v>
      </c>
      <c r="AS87" s="1" t="s">
        <v>479</v>
      </c>
      <c r="AT87" s="1" t="s">
        <v>480</v>
      </c>
      <c r="AU87" s="1" t="s">
        <v>481</v>
      </c>
      <c r="AV87" s="1" t="s">
        <v>1922</v>
      </c>
      <c r="AW87" s="1" t="s">
        <v>1923</v>
      </c>
      <c r="AX87" s="1" t="s">
        <v>82</v>
      </c>
      <c r="AY87" s="1" t="s">
        <v>1924</v>
      </c>
      <c r="AZ87" s="1" t="s">
        <v>1925</v>
      </c>
      <c r="BA87" s="1" t="s">
        <v>1947</v>
      </c>
      <c r="BB87" s="1">
        <v>2022</v>
      </c>
      <c r="BC87" s="1">
        <v>213</v>
      </c>
      <c r="BD87" s="1" t="s">
        <v>82</v>
      </c>
      <c r="BE87" s="1" t="s">
        <v>82</v>
      </c>
      <c r="BF87" s="1" t="s">
        <v>82</v>
      </c>
      <c r="BG87" s="1" t="s">
        <v>82</v>
      </c>
      <c r="BH87" s="1" t="s">
        <v>82</v>
      </c>
      <c r="BI87" s="1">
        <v>394</v>
      </c>
      <c r="BJ87" s="1">
        <v>403</v>
      </c>
      <c r="BK87" s="1" t="s">
        <v>82</v>
      </c>
      <c r="BL87" s="1" t="s">
        <v>1965</v>
      </c>
      <c r="BM87" s="1" t="str">
        <f>HYPERLINK("http://dx.doi.org/10.1016/j.ijbiomac.2022.05.096","http://dx.doi.org/10.1016/j.ijbiomac.2022.05.096")</f>
        <v>http://dx.doi.org/10.1016/j.ijbiomac.2022.05.096</v>
      </c>
      <c r="BN87" s="1" t="s">
        <v>82</v>
      </c>
      <c r="BO87" s="1" t="s">
        <v>1298</v>
      </c>
      <c r="BP87" s="1">
        <v>10</v>
      </c>
      <c r="BQ87" s="1" t="s">
        <v>1929</v>
      </c>
      <c r="BR87" s="1" t="s">
        <v>104</v>
      </c>
      <c r="BS87" s="1" t="s">
        <v>1930</v>
      </c>
      <c r="BT87" s="1" t="s">
        <v>1966</v>
      </c>
      <c r="BU87" s="1">
        <v>35588979</v>
      </c>
      <c r="BV87" s="1" t="s">
        <v>82</v>
      </c>
      <c r="BW87" s="1" t="s">
        <v>82</v>
      </c>
      <c r="BX87" s="1" t="s">
        <v>82</v>
      </c>
      <c r="BY87" s="1" t="s">
        <v>108</v>
      </c>
      <c r="BZ87" s="1" t="s">
        <v>1967</v>
      </c>
      <c r="CA87" s="1" t="str">
        <f>HYPERLINK("https%3A%2F%2Fwww.webofscience.com%2Fwos%2Fwoscc%2Ffull-record%2FWOS:000809834400005","View Full Record in Web of Science")</f>
        <v>View Full Record in Web of Science</v>
      </c>
    </row>
    <row r="88" s="1" customFormat="1" ht="14.4" spans="1:79">
      <c r="A88">
        <v>87</v>
      </c>
      <c r="B88" s="2" t="s">
        <v>110</v>
      </c>
      <c r="C88" s="1" t="s">
        <v>80</v>
      </c>
      <c r="D88" s="1" t="s">
        <v>1968</v>
      </c>
      <c r="E88" s="1" t="s">
        <v>82</v>
      </c>
      <c r="F88" s="1" t="s">
        <v>82</v>
      </c>
      <c r="G88" s="1" t="s">
        <v>82</v>
      </c>
      <c r="H88" s="1" t="s">
        <v>1969</v>
      </c>
      <c r="I88" s="1" t="s">
        <v>82</v>
      </c>
      <c r="J88" s="1" t="s">
        <v>82</v>
      </c>
      <c r="K88" s="1" t="s">
        <v>1970</v>
      </c>
      <c r="L88" s="1" t="s">
        <v>1971</v>
      </c>
      <c r="M88" s="1">
        <v>8.022</v>
      </c>
      <c r="O88" s="1" t="s">
        <v>82</v>
      </c>
      <c r="P88" s="1" t="s">
        <v>82</v>
      </c>
      <c r="Q88" s="1" t="s">
        <v>87</v>
      </c>
      <c r="R88" s="1" t="s">
        <v>200</v>
      </c>
      <c r="S88" s="1" t="s">
        <v>82</v>
      </c>
      <c r="T88" s="1" t="s">
        <v>82</v>
      </c>
      <c r="U88" s="1" t="s">
        <v>82</v>
      </c>
      <c r="V88" s="1" t="s">
        <v>82</v>
      </c>
      <c r="W88" s="1" t="s">
        <v>82</v>
      </c>
      <c r="X88" s="1" t="s">
        <v>1972</v>
      </c>
      <c r="Y88" s="1" t="s">
        <v>1973</v>
      </c>
      <c r="Z88" s="1" t="s">
        <v>1974</v>
      </c>
      <c r="AA88" s="1">
        <v>1</v>
      </c>
      <c r="AB88" s="1" t="s">
        <v>1975</v>
      </c>
      <c r="AC88" s="1" t="s">
        <v>1976</v>
      </c>
      <c r="AD88" s="1" t="s">
        <v>93</v>
      </c>
      <c r="AE88" s="1" t="s">
        <v>1630</v>
      </c>
      <c r="AF88" s="1" t="s">
        <v>1977</v>
      </c>
      <c r="AG88" s="1" t="s">
        <v>1978</v>
      </c>
      <c r="AH88" s="1" t="s">
        <v>82</v>
      </c>
      <c r="AI88" s="1" t="s">
        <v>82</v>
      </c>
      <c r="AJ88" s="1" t="s">
        <v>1979</v>
      </c>
      <c r="AK88" s="1" t="s">
        <v>1980</v>
      </c>
      <c r="AL88" s="1" t="s">
        <v>1981</v>
      </c>
      <c r="AM88" s="1" t="s">
        <v>82</v>
      </c>
      <c r="AN88" s="1">
        <v>125</v>
      </c>
      <c r="AO88" s="1">
        <v>1</v>
      </c>
      <c r="AP88" s="1">
        <v>1</v>
      </c>
      <c r="AQ88" s="1">
        <v>38</v>
      </c>
      <c r="AR88" s="1">
        <v>43</v>
      </c>
      <c r="AS88" s="1" t="s">
        <v>1982</v>
      </c>
      <c r="AT88" s="1" t="s">
        <v>975</v>
      </c>
      <c r="AU88" s="1" t="s">
        <v>1983</v>
      </c>
      <c r="AV88" s="1" t="s">
        <v>82</v>
      </c>
      <c r="AW88" s="1" t="s">
        <v>1984</v>
      </c>
      <c r="AX88" s="1" t="s">
        <v>82</v>
      </c>
      <c r="AY88" s="1" t="s">
        <v>1985</v>
      </c>
      <c r="AZ88" s="1" t="s">
        <v>1986</v>
      </c>
      <c r="BA88" s="1" t="s">
        <v>222</v>
      </c>
      <c r="BB88" s="1">
        <v>2022</v>
      </c>
      <c r="BC88" s="1">
        <v>11</v>
      </c>
      <c r="BD88" s="1">
        <v>5</v>
      </c>
      <c r="BE88" s="1" t="s">
        <v>82</v>
      </c>
      <c r="BF88" s="1" t="s">
        <v>82</v>
      </c>
      <c r="BG88" s="1" t="s">
        <v>82</v>
      </c>
      <c r="BH88" s="1" t="s">
        <v>82</v>
      </c>
      <c r="BI88" s="1">
        <v>1087</v>
      </c>
      <c r="BJ88" s="1">
        <v>1100</v>
      </c>
      <c r="BK88" s="1" t="s">
        <v>82</v>
      </c>
      <c r="BL88" s="1" t="s">
        <v>1987</v>
      </c>
      <c r="BM88" s="1" t="str">
        <f>HYPERLINK("http://dx.doi.org/10.1016/j.fshw.2022.04.001","http://dx.doi.org/10.1016/j.fshw.2022.04.001")</f>
        <v>http://dx.doi.org/10.1016/j.fshw.2022.04.001</v>
      </c>
      <c r="BN88" s="1" t="s">
        <v>82</v>
      </c>
      <c r="BO88" s="1" t="s">
        <v>1298</v>
      </c>
      <c r="BP88" s="1">
        <v>14</v>
      </c>
      <c r="BQ88" s="1" t="s">
        <v>1988</v>
      </c>
      <c r="BR88" s="1" t="s">
        <v>104</v>
      </c>
      <c r="BS88" s="1" t="s">
        <v>1988</v>
      </c>
      <c r="BT88" s="1" t="s">
        <v>1989</v>
      </c>
      <c r="BU88" s="1" t="s">
        <v>82</v>
      </c>
      <c r="BV88" s="1" t="s">
        <v>808</v>
      </c>
      <c r="BW88" s="1" t="s">
        <v>82</v>
      </c>
      <c r="BX88" s="1" t="s">
        <v>82</v>
      </c>
      <c r="BY88" s="1" t="s">
        <v>108</v>
      </c>
      <c r="BZ88" s="1" t="s">
        <v>1990</v>
      </c>
      <c r="CA88" s="1" t="str">
        <f>HYPERLINK("https%3A%2F%2Fwww.webofscience.com%2Fwos%2Fwoscc%2Ffull-record%2FWOS:000819122400001","View Full Record in Web of Science")</f>
        <v>View Full Record in Web of Science</v>
      </c>
    </row>
    <row r="89" s="1" customFormat="1" ht="14.4" spans="1:79">
      <c r="A89">
        <v>88</v>
      </c>
      <c r="B89" s="2" t="s">
        <v>79</v>
      </c>
      <c r="C89" s="1" t="s">
        <v>80</v>
      </c>
      <c r="D89" s="1" t="s">
        <v>1991</v>
      </c>
      <c r="E89" s="1" t="s">
        <v>82</v>
      </c>
      <c r="F89" s="1" t="s">
        <v>82</v>
      </c>
      <c r="G89" s="1" t="s">
        <v>82</v>
      </c>
      <c r="H89" s="1" t="s">
        <v>1992</v>
      </c>
      <c r="I89" s="1" t="s">
        <v>82</v>
      </c>
      <c r="J89" s="1" t="s">
        <v>82</v>
      </c>
      <c r="K89" s="1" t="s">
        <v>1993</v>
      </c>
      <c r="L89" s="1" t="s">
        <v>1994</v>
      </c>
      <c r="M89" s="1">
        <v>8.008</v>
      </c>
      <c r="O89" s="1" t="s">
        <v>82</v>
      </c>
      <c r="P89" s="1" t="s">
        <v>82</v>
      </c>
      <c r="Q89" s="1" t="s">
        <v>87</v>
      </c>
      <c r="R89" s="1" t="s">
        <v>115</v>
      </c>
      <c r="S89" s="1" t="s">
        <v>82</v>
      </c>
      <c r="T89" s="1" t="s">
        <v>82</v>
      </c>
      <c r="U89" s="1" t="s">
        <v>82</v>
      </c>
      <c r="V89" s="1" t="s">
        <v>82</v>
      </c>
      <c r="W89" s="1" t="s">
        <v>82</v>
      </c>
      <c r="X89" s="1" t="s">
        <v>82</v>
      </c>
      <c r="Y89" s="1" t="s">
        <v>1995</v>
      </c>
      <c r="Z89" s="1" t="s">
        <v>1996</v>
      </c>
      <c r="AB89" s="1" t="s">
        <v>1997</v>
      </c>
      <c r="AC89" s="1" t="s">
        <v>1998</v>
      </c>
      <c r="AD89" s="1" t="s">
        <v>120</v>
      </c>
      <c r="AE89" s="1" t="s">
        <v>1999</v>
      </c>
      <c r="AF89" s="1" t="s">
        <v>2000</v>
      </c>
      <c r="AG89" s="1" t="s">
        <v>2001</v>
      </c>
      <c r="AH89" s="1" t="s">
        <v>82</v>
      </c>
      <c r="AI89" s="1" t="s">
        <v>2002</v>
      </c>
      <c r="AJ89" s="1" t="s">
        <v>2003</v>
      </c>
      <c r="AK89" s="1" t="s">
        <v>2004</v>
      </c>
      <c r="AL89" s="1" t="s">
        <v>2005</v>
      </c>
      <c r="AM89" s="1" t="s">
        <v>82</v>
      </c>
      <c r="AN89" s="1">
        <v>43</v>
      </c>
      <c r="AO89" s="1">
        <v>1</v>
      </c>
      <c r="AP89" s="1">
        <v>1</v>
      </c>
      <c r="AQ89" s="1">
        <v>5</v>
      </c>
      <c r="AR89" s="1">
        <v>14</v>
      </c>
      <c r="AS89" s="1" t="s">
        <v>862</v>
      </c>
      <c r="AT89" s="1" t="s">
        <v>129</v>
      </c>
      <c r="AU89" s="1" t="s">
        <v>863</v>
      </c>
      <c r="AV89" s="1" t="s">
        <v>2006</v>
      </c>
      <c r="AW89" s="1" t="s">
        <v>2007</v>
      </c>
      <c r="AX89" s="1" t="s">
        <v>82</v>
      </c>
      <c r="AY89" s="1" t="s">
        <v>2008</v>
      </c>
      <c r="AZ89" s="1" t="s">
        <v>2009</v>
      </c>
      <c r="BA89" s="1" t="s">
        <v>2010</v>
      </c>
      <c r="BB89" s="1">
        <v>2022</v>
      </c>
      <c r="BC89" s="1">
        <v>94</v>
      </c>
      <c r="BD89" s="1">
        <v>3</v>
      </c>
      <c r="BE89" s="1" t="s">
        <v>82</v>
      </c>
      <c r="BF89" s="1" t="s">
        <v>82</v>
      </c>
      <c r="BG89" s="1" t="s">
        <v>82</v>
      </c>
      <c r="BH89" s="1" t="s">
        <v>82</v>
      </c>
      <c r="BI89" s="1">
        <v>1661</v>
      </c>
      <c r="BJ89" s="1">
        <v>1668</v>
      </c>
      <c r="BK89" s="1" t="s">
        <v>82</v>
      </c>
      <c r="BL89" s="1" t="s">
        <v>2011</v>
      </c>
      <c r="BM89" s="1" t="str">
        <f>HYPERLINK("http://dx.doi.org/10.1021/acs.analchem.1c04181","http://dx.doi.org/10.1021/acs.analchem.1c04181")</f>
        <v>http://dx.doi.org/10.1021/acs.analchem.1c04181</v>
      </c>
      <c r="BN89" s="1" t="s">
        <v>82</v>
      </c>
      <c r="BO89" s="1" t="s">
        <v>315</v>
      </c>
      <c r="BP89" s="1">
        <v>8</v>
      </c>
      <c r="BQ89" s="1" t="s">
        <v>2012</v>
      </c>
      <c r="BR89" s="1" t="s">
        <v>104</v>
      </c>
      <c r="BS89" s="1" t="s">
        <v>706</v>
      </c>
      <c r="BT89" s="1" t="s">
        <v>2013</v>
      </c>
      <c r="BU89" s="1">
        <v>35029371</v>
      </c>
      <c r="BV89" s="1" t="s">
        <v>82</v>
      </c>
      <c r="BW89" s="1" t="s">
        <v>82</v>
      </c>
      <c r="BX89" s="1" t="s">
        <v>82</v>
      </c>
      <c r="BY89" s="1" t="s">
        <v>108</v>
      </c>
      <c r="BZ89" s="1" t="s">
        <v>2014</v>
      </c>
      <c r="CA89" s="1" t="str">
        <f>HYPERLINK("https%3A%2F%2Fwww.webofscience.com%2Fwos%2Fwoscc%2Ffull-record%2FWOS:000768174600001","View Full Record in Web of Science")</f>
        <v>View Full Record in Web of Science</v>
      </c>
    </row>
    <row r="90" s="1" customFormat="1" ht="14.4" spans="1:79">
      <c r="A90">
        <v>89</v>
      </c>
      <c r="B90" s="2" t="s">
        <v>79</v>
      </c>
      <c r="C90" s="1" t="s">
        <v>80</v>
      </c>
      <c r="D90" s="1" t="s">
        <v>2015</v>
      </c>
      <c r="E90" s="1" t="s">
        <v>82</v>
      </c>
      <c r="F90" s="1" t="s">
        <v>82</v>
      </c>
      <c r="G90" s="1" t="s">
        <v>82</v>
      </c>
      <c r="H90" s="1" t="s">
        <v>2016</v>
      </c>
      <c r="I90" s="1" t="s">
        <v>82</v>
      </c>
      <c r="J90" s="1" t="s">
        <v>82</v>
      </c>
      <c r="K90" s="1" t="s">
        <v>2017</v>
      </c>
      <c r="L90" s="1" t="s">
        <v>2018</v>
      </c>
      <c r="M90" s="1">
        <v>8.005</v>
      </c>
      <c r="Q90" s="1" t="s">
        <v>87</v>
      </c>
      <c r="R90" s="1" t="s">
        <v>2019</v>
      </c>
      <c r="S90" s="1" t="s">
        <v>82</v>
      </c>
      <c r="T90" s="1" t="s">
        <v>82</v>
      </c>
      <c r="U90" s="1" t="s">
        <v>82</v>
      </c>
      <c r="V90" s="1" t="s">
        <v>82</v>
      </c>
      <c r="W90" s="1" t="s">
        <v>82</v>
      </c>
      <c r="X90" s="1" t="s">
        <v>82</v>
      </c>
      <c r="Y90" s="1" t="s">
        <v>82</v>
      </c>
      <c r="Z90" s="1" t="s">
        <v>82</v>
      </c>
      <c r="AA90" s="1">
        <v>1</v>
      </c>
      <c r="AB90" s="3" t="s">
        <v>2020</v>
      </c>
      <c r="AC90" s="3" t="s">
        <v>2021</v>
      </c>
      <c r="AD90" s="1" t="s">
        <v>93</v>
      </c>
      <c r="AE90" s="1" t="s">
        <v>2022</v>
      </c>
      <c r="AF90" s="1" t="s">
        <v>2023</v>
      </c>
      <c r="AG90" s="1" t="s">
        <v>2024</v>
      </c>
      <c r="AH90" s="1" t="s">
        <v>2025</v>
      </c>
      <c r="AI90" s="1" t="s">
        <v>2026</v>
      </c>
      <c r="AJ90" s="1" t="s">
        <v>2027</v>
      </c>
      <c r="AK90" s="1" t="s">
        <v>2028</v>
      </c>
      <c r="AL90" s="1" t="s">
        <v>2029</v>
      </c>
      <c r="AM90" s="1" t="s">
        <v>82</v>
      </c>
      <c r="AN90" s="1">
        <v>11</v>
      </c>
      <c r="AO90" s="1">
        <v>0</v>
      </c>
      <c r="AP90" s="1">
        <v>0</v>
      </c>
      <c r="AQ90" s="1">
        <v>0</v>
      </c>
      <c r="AR90" s="1">
        <v>0</v>
      </c>
      <c r="AS90" s="1" t="s">
        <v>1068</v>
      </c>
      <c r="AT90" s="1" t="s">
        <v>1069</v>
      </c>
      <c r="AU90" s="1" t="s">
        <v>1070</v>
      </c>
      <c r="AV90" s="1" t="s">
        <v>2030</v>
      </c>
      <c r="AW90" s="1" t="s">
        <v>2031</v>
      </c>
      <c r="AX90" s="1" t="s">
        <v>82</v>
      </c>
      <c r="AY90" s="1" t="s">
        <v>2032</v>
      </c>
      <c r="AZ90" s="1" t="s">
        <v>2033</v>
      </c>
      <c r="BA90" s="1" t="s">
        <v>82</v>
      </c>
      <c r="BB90" s="1" t="s">
        <v>82</v>
      </c>
      <c r="BC90" s="1" t="s">
        <v>82</v>
      </c>
      <c r="BD90" s="1" t="s">
        <v>82</v>
      </c>
      <c r="BE90" s="1" t="s">
        <v>82</v>
      </c>
      <c r="BF90" s="1" t="s">
        <v>82</v>
      </c>
      <c r="BG90" s="1" t="s">
        <v>82</v>
      </c>
      <c r="BH90" s="1" t="s">
        <v>82</v>
      </c>
      <c r="BI90" s="1" t="s">
        <v>82</v>
      </c>
      <c r="BJ90" s="1" t="s">
        <v>82</v>
      </c>
      <c r="BK90" s="1" t="s">
        <v>82</v>
      </c>
      <c r="BL90" s="1" t="s">
        <v>2034</v>
      </c>
      <c r="BM90" s="1" t="s">
        <v>2035</v>
      </c>
      <c r="BN90" s="1" t="s">
        <v>82</v>
      </c>
      <c r="BO90" s="1" t="s">
        <v>1618</v>
      </c>
      <c r="BP90" s="1">
        <v>5</v>
      </c>
      <c r="BQ90" s="1" t="s">
        <v>378</v>
      </c>
      <c r="BR90" s="1" t="s">
        <v>104</v>
      </c>
      <c r="BS90" s="1" t="s">
        <v>378</v>
      </c>
      <c r="BT90" s="1" t="s">
        <v>2036</v>
      </c>
      <c r="BU90" s="1">
        <v>36472533</v>
      </c>
      <c r="BV90" s="1" t="s">
        <v>2037</v>
      </c>
      <c r="BW90" s="1" t="s">
        <v>82</v>
      </c>
      <c r="BX90" s="1" t="s">
        <v>82</v>
      </c>
      <c r="BY90" s="1" t="s">
        <v>771</v>
      </c>
      <c r="BZ90" s="1" t="s">
        <v>2038</v>
      </c>
      <c r="CA90" s="1" t="s">
        <v>342</v>
      </c>
    </row>
    <row r="91" s="1" customFormat="1" ht="14.4" spans="1:79">
      <c r="A91">
        <v>90</v>
      </c>
      <c r="B91" s="2" t="s">
        <v>79</v>
      </c>
      <c r="C91" s="1" t="s">
        <v>80</v>
      </c>
      <c r="D91" s="1" t="s">
        <v>468</v>
      </c>
      <c r="E91" s="1" t="s">
        <v>82</v>
      </c>
      <c r="F91" s="1" t="s">
        <v>82</v>
      </c>
      <c r="G91" s="1" t="s">
        <v>82</v>
      </c>
      <c r="H91" s="1" t="s">
        <v>469</v>
      </c>
      <c r="I91" s="1" t="s">
        <v>82</v>
      </c>
      <c r="J91" s="1" t="s">
        <v>82</v>
      </c>
      <c r="K91" s="1" t="s">
        <v>2039</v>
      </c>
      <c r="L91" s="1" t="s">
        <v>2018</v>
      </c>
      <c r="M91" s="1">
        <v>8.005</v>
      </c>
      <c r="O91" s="1" t="s">
        <v>82</v>
      </c>
      <c r="P91" s="1" t="s">
        <v>82</v>
      </c>
      <c r="Q91" s="1" t="s">
        <v>87</v>
      </c>
      <c r="R91" s="1" t="s">
        <v>88</v>
      </c>
      <c r="S91" s="1" t="s">
        <v>82</v>
      </c>
      <c r="T91" s="1" t="s">
        <v>82</v>
      </c>
      <c r="U91" s="1" t="s">
        <v>82</v>
      </c>
      <c r="V91" s="1" t="s">
        <v>82</v>
      </c>
      <c r="W91" s="1" t="s">
        <v>82</v>
      </c>
      <c r="X91" s="1" t="s">
        <v>82</v>
      </c>
      <c r="Y91" s="1" t="s">
        <v>82</v>
      </c>
      <c r="Z91" s="1" t="s">
        <v>82</v>
      </c>
      <c r="AA91" s="1">
        <v>1</v>
      </c>
      <c r="AB91" s="1" t="s">
        <v>469</v>
      </c>
      <c r="AC91" s="1" t="s">
        <v>473</v>
      </c>
      <c r="AD91" s="1" t="s">
        <v>93</v>
      </c>
      <c r="AE91" s="1" t="s">
        <v>94</v>
      </c>
      <c r="AF91" s="1" t="s">
        <v>474</v>
      </c>
      <c r="AG91" s="1" t="s">
        <v>1065</v>
      </c>
      <c r="AH91" s="1" t="s">
        <v>82</v>
      </c>
      <c r="AI91" s="1" t="s">
        <v>476</v>
      </c>
      <c r="AJ91" s="1" t="s">
        <v>2040</v>
      </c>
      <c r="AK91" s="1" t="s">
        <v>2040</v>
      </c>
      <c r="AL91" s="1" t="s">
        <v>2041</v>
      </c>
      <c r="AM91" s="1" t="s">
        <v>82</v>
      </c>
      <c r="AN91" s="1">
        <v>6</v>
      </c>
      <c r="AO91" s="1">
        <v>0</v>
      </c>
      <c r="AP91" s="1">
        <v>0</v>
      </c>
      <c r="AQ91" s="1">
        <v>8</v>
      </c>
      <c r="AR91" s="1">
        <v>8</v>
      </c>
      <c r="AS91" s="1" t="s">
        <v>1068</v>
      </c>
      <c r="AT91" s="1" t="s">
        <v>1069</v>
      </c>
      <c r="AU91" s="1" t="s">
        <v>1070</v>
      </c>
      <c r="AV91" s="1" t="s">
        <v>2030</v>
      </c>
      <c r="AW91" s="1" t="s">
        <v>2031</v>
      </c>
      <c r="AX91" s="1" t="s">
        <v>82</v>
      </c>
      <c r="AY91" s="1" t="s">
        <v>2032</v>
      </c>
      <c r="AZ91" s="1" t="s">
        <v>2033</v>
      </c>
      <c r="BA91" s="1" t="s">
        <v>1074</v>
      </c>
      <c r="BB91" s="1">
        <v>2022</v>
      </c>
      <c r="BC91" s="1">
        <v>190</v>
      </c>
      <c r="BD91" s="1">
        <v>3</v>
      </c>
      <c r="BE91" s="1" t="s">
        <v>82</v>
      </c>
      <c r="BF91" s="1" t="s">
        <v>82</v>
      </c>
      <c r="BG91" s="1" t="s">
        <v>82</v>
      </c>
      <c r="BH91" s="1" t="s">
        <v>82</v>
      </c>
      <c r="BI91" s="1">
        <v>1559</v>
      </c>
      <c r="BJ91" s="1">
        <v>1561</v>
      </c>
      <c r="BK91" s="1" t="s">
        <v>82</v>
      </c>
      <c r="BL91" s="1" t="s">
        <v>2042</v>
      </c>
      <c r="BM91" s="1" t="str">
        <f>HYPERLINK("http://dx.doi.org/10.1093/plphys/kiac367","http://dx.doi.org/10.1093/plphys/kiac367")</f>
        <v>http://dx.doi.org/10.1093/plphys/kiac367</v>
      </c>
      <c r="BN91" s="1" t="s">
        <v>82</v>
      </c>
      <c r="BO91" s="1" t="s">
        <v>424</v>
      </c>
      <c r="BP91" s="1">
        <v>3</v>
      </c>
      <c r="BQ91" s="1" t="s">
        <v>378</v>
      </c>
      <c r="BR91" s="1" t="s">
        <v>104</v>
      </c>
      <c r="BS91" s="1" t="s">
        <v>378</v>
      </c>
      <c r="BT91" s="1" t="s">
        <v>2043</v>
      </c>
      <c r="BU91" s="1">
        <v>35961049</v>
      </c>
      <c r="BV91" s="1" t="s">
        <v>107</v>
      </c>
      <c r="BW91" s="1" t="s">
        <v>82</v>
      </c>
      <c r="BX91" s="1" t="s">
        <v>82</v>
      </c>
      <c r="BY91" s="1" t="s">
        <v>108</v>
      </c>
      <c r="BZ91" s="1" t="s">
        <v>2044</v>
      </c>
      <c r="CA91" s="1" t="str">
        <f>HYPERLINK("https%3A%2F%2Fwww.webofscience.com%2Fwos%2Fwoscc%2Ffull-record%2FWOS:000840812300001","View Full Record in Web of Science")</f>
        <v>View Full Record in Web of Science</v>
      </c>
    </row>
    <row r="92" s="1" customFormat="1" ht="14.4" spans="1:79">
      <c r="A92">
        <v>91</v>
      </c>
      <c r="B92" s="2" t="s">
        <v>110</v>
      </c>
      <c r="C92" s="1" t="s">
        <v>80</v>
      </c>
      <c r="D92" s="1" t="s">
        <v>2045</v>
      </c>
      <c r="E92" s="1" t="s">
        <v>82</v>
      </c>
      <c r="F92" s="1" t="s">
        <v>82</v>
      </c>
      <c r="G92" s="1" t="s">
        <v>82</v>
      </c>
      <c r="H92" s="1" t="s">
        <v>2046</v>
      </c>
      <c r="I92" s="1" t="s">
        <v>82</v>
      </c>
      <c r="J92" s="1" t="s">
        <v>82</v>
      </c>
      <c r="K92" s="1" t="s">
        <v>2047</v>
      </c>
      <c r="L92" s="1" t="s">
        <v>2018</v>
      </c>
      <c r="M92" s="1">
        <v>8.005</v>
      </c>
      <c r="O92" s="1" t="s">
        <v>82</v>
      </c>
      <c r="P92" s="1" t="s">
        <v>82</v>
      </c>
      <c r="Q92" s="1" t="s">
        <v>87</v>
      </c>
      <c r="R92" s="1" t="s">
        <v>115</v>
      </c>
      <c r="S92" s="1" t="s">
        <v>82</v>
      </c>
      <c r="T92" s="1" t="s">
        <v>82</v>
      </c>
      <c r="U92" s="1" t="s">
        <v>82</v>
      </c>
      <c r="V92" s="1" t="s">
        <v>82</v>
      </c>
      <c r="W92" s="1" t="s">
        <v>82</v>
      </c>
      <c r="X92" s="1" t="s">
        <v>82</v>
      </c>
      <c r="Y92" s="1" t="s">
        <v>2048</v>
      </c>
      <c r="Z92" s="1" t="s">
        <v>2049</v>
      </c>
      <c r="AB92" s="1" t="s">
        <v>2050</v>
      </c>
      <c r="AC92" s="1" t="s">
        <v>2051</v>
      </c>
      <c r="AD92" s="1" t="s">
        <v>120</v>
      </c>
      <c r="AE92" s="1" t="s">
        <v>2052</v>
      </c>
      <c r="AF92" s="1" t="s">
        <v>2053</v>
      </c>
      <c r="AG92" s="1" t="s">
        <v>2054</v>
      </c>
      <c r="AH92" s="1" t="s">
        <v>2055</v>
      </c>
      <c r="AI92" s="1" t="s">
        <v>2056</v>
      </c>
      <c r="AJ92" s="1" t="s">
        <v>2057</v>
      </c>
      <c r="AK92" s="1" t="s">
        <v>2058</v>
      </c>
      <c r="AL92" s="1" t="s">
        <v>2059</v>
      </c>
      <c r="AM92" s="1" t="s">
        <v>82</v>
      </c>
      <c r="AN92" s="1">
        <v>46</v>
      </c>
      <c r="AO92" s="1">
        <v>7</v>
      </c>
      <c r="AP92" s="1">
        <v>7</v>
      </c>
      <c r="AQ92" s="1">
        <v>13</v>
      </c>
      <c r="AR92" s="1">
        <v>28</v>
      </c>
      <c r="AS92" s="1" t="s">
        <v>1068</v>
      </c>
      <c r="AT92" s="1" t="s">
        <v>1069</v>
      </c>
      <c r="AU92" s="1" t="s">
        <v>1070</v>
      </c>
      <c r="AV92" s="1" t="s">
        <v>2030</v>
      </c>
      <c r="AW92" s="1" t="s">
        <v>2031</v>
      </c>
      <c r="AX92" s="1" t="s">
        <v>82</v>
      </c>
      <c r="AY92" s="1" t="s">
        <v>2032</v>
      </c>
      <c r="AZ92" s="1" t="s">
        <v>2033</v>
      </c>
      <c r="BA92" s="1" t="s">
        <v>2060</v>
      </c>
      <c r="BB92" s="1">
        <v>2022</v>
      </c>
      <c r="BC92" s="1">
        <v>188</v>
      </c>
      <c r="BD92" s="1">
        <v>3</v>
      </c>
      <c r="BE92" s="1" t="s">
        <v>82</v>
      </c>
      <c r="BF92" s="1" t="s">
        <v>82</v>
      </c>
      <c r="BG92" s="1" t="s">
        <v>82</v>
      </c>
      <c r="BH92" s="1" t="s">
        <v>82</v>
      </c>
      <c r="BI92" s="1">
        <v>1496</v>
      </c>
      <c r="BJ92" s="1">
        <v>1506</v>
      </c>
      <c r="BK92" s="1" t="s">
        <v>82</v>
      </c>
      <c r="BL92" s="1" t="s">
        <v>2061</v>
      </c>
      <c r="BM92" s="1" t="str">
        <f>HYPERLINK("http://dx.doi.org/10.1093/plphys/kiab567","http://dx.doi.org/10.1093/plphys/kiab567")</f>
        <v>http://dx.doi.org/10.1093/plphys/kiab567</v>
      </c>
      <c r="BN92" s="1" t="s">
        <v>82</v>
      </c>
      <c r="BO92" s="1" t="s">
        <v>1462</v>
      </c>
      <c r="BP92" s="1">
        <v>11</v>
      </c>
      <c r="BQ92" s="1" t="s">
        <v>378</v>
      </c>
      <c r="BR92" s="1" t="s">
        <v>104</v>
      </c>
      <c r="BS92" s="1" t="s">
        <v>378</v>
      </c>
      <c r="BT92" s="1" t="s">
        <v>2062</v>
      </c>
      <c r="BU92" s="1">
        <v>34893909</v>
      </c>
      <c r="BV92" s="1" t="s">
        <v>227</v>
      </c>
      <c r="BW92" s="1" t="s">
        <v>82</v>
      </c>
      <c r="BX92" s="1" t="s">
        <v>82</v>
      </c>
      <c r="BY92" s="1" t="s">
        <v>108</v>
      </c>
      <c r="BZ92" s="1" t="s">
        <v>2063</v>
      </c>
      <c r="CA92" s="1" t="str">
        <f>HYPERLINK("https%3A%2F%2Fwww.webofscience.com%2Fwos%2Fwoscc%2Ffull-record%2FWOS:000764825700001","View Full Record in Web of Science")</f>
        <v>View Full Record in Web of Science</v>
      </c>
    </row>
    <row r="93" s="1" customFormat="1" ht="14.4" spans="1:79">
      <c r="A93">
        <v>92</v>
      </c>
      <c r="B93" s="2" t="s">
        <v>79</v>
      </c>
      <c r="C93" s="1" t="s">
        <v>80</v>
      </c>
      <c r="D93" s="1" t="s">
        <v>2064</v>
      </c>
      <c r="E93" s="1" t="s">
        <v>82</v>
      </c>
      <c r="F93" s="1" t="s">
        <v>82</v>
      </c>
      <c r="G93" s="1" t="s">
        <v>82</v>
      </c>
      <c r="H93" s="1" t="s">
        <v>2065</v>
      </c>
      <c r="I93" s="1" t="s">
        <v>82</v>
      </c>
      <c r="J93" s="1" t="s">
        <v>82</v>
      </c>
      <c r="K93" s="1" t="s">
        <v>2066</v>
      </c>
      <c r="L93" s="1" t="s">
        <v>2067</v>
      </c>
      <c r="M93" s="1">
        <v>7.947</v>
      </c>
      <c r="O93" s="1" t="s">
        <v>82</v>
      </c>
      <c r="P93" s="1" t="s">
        <v>82</v>
      </c>
      <c r="Q93" s="1" t="s">
        <v>87</v>
      </c>
      <c r="R93" s="1" t="s">
        <v>1624</v>
      </c>
      <c r="S93" s="1" t="s">
        <v>82</v>
      </c>
      <c r="T93" s="1" t="s">
        <v>82</v>
      </c>
      <c r="U93" s="1" t="s">
        <v>82</v>
      </c>
      <c r="V93" s="1" t="s">
        <v>82</v>
      </c>
      <c r="W93" s="1" t="s">
        <v>82</v>
      </c>
      <c r="X93" s="1" t="s">
        <v>2068</v>
      </c>
      <c r="Y93" s="1" t="s">
        <v>2069</v>
      </c>
      <c r="Z93" s="1" t="s">
        <v>2070</v>
      </c>
      <c r="AB93" s="1" t="s">
        <v>2071</v>
      </c>
      <c r="AC93" s="1" t="s">
        <v>2072</v>
      </c>
      <c r="AD93" s="1" t="s">
        <v>206</v>
      </c>
      <c r="AE93" s="1" t="s">
        <v>2073</v>
      </c>
      <c r="AF93" s="1" t="s">
        <v>2074</v>
      </c>
      <c r="AG93" s="1" t="s">
        <v>2075</v>
      </c>
      <c r="AH93" s="1" t="s">
        <v>82</v>
      </c>
      <c r="AI93" s="1" t="s">
        <v>2076</v>
      </c>
      <c r="AJ93" s="1" t="s">
        <v>2077</v>
      </c>
      <c r="AK93" s="1" t="s">
        <v>2078</v>
      </c>
      <c r="AL93" s="1" t="s">
        <v>2077</v>
      </c>
      <c r="AM93" s="1" t="s">
        <v>82</v>
      </c>
      <c r="AN93" s="1">
        <v>108</v>
      </c>
      <c r="AO93" s="1">
        <v>0</v>
      </c>
      <c r="AP93" s="1">
        <v>0</v>
      </c>
      <c r="AQ93" s="1">
        <v>26</v>
      </c>
      <c r="AR93" s="1">
        <v>26</v>
      </c>
      <c r="AS93" s="1" t="s">
        <v>1002</v>
      </c>
      <c r="AT93" s="1" t="s">
        <v>1003</v>
      </c>
      <c r="AU93" s="1" t="s">
        <v>1004</v>
      </c>
      <c r="AV93" s="1" t="s">
        <v>2079</v>
      </c>
      <c r="AW93" s="1" t="s">
        <v>2080</v>
      </c>
      <c r="AX93" s="1" t="s">
        <v>82</v>
      </c>
      <c r="AY93" s="1" t="s">
        <v>2081</v>
      </c>
      <c r="AZ93" s="1" t="s">
        <v>2082</v>
      </c>
      <c r="BA93" s="1" t="s">
        <v>82</v>
      </c>
      <c r="BB93" s="1" t="s">
        <v>82</v>
      </c>
      <c r="BC93" s="1" t="s">
        <v>82</v>
      </c>
      <c r="BD93" s="1" t="s">
        <v>82</v>
      </c>
      <c r="BE93" s="1" t="s">
        <v>82</v>
      </c>
      <c r="BF93" s="1" t="s">
        <v>82</v>
      </c>
      <c r="BG93" s="1" t="s">
        <v>82</v>
      </c>
      <c r="BH93" s="1" t="s">
        <v>82</v>
      </c>
      <c r="BI93" s="1" t="s">
        <v>82</v>
      </c>
      <c r="BJ93" s="1" t="s">
        <v>82</v>
      </c>
      <c r="BK93" s="1" t="s">
        <v>82</v>
      </c>
      <c r="BL93" s="1" t="s">
        <v>2083</v>
      </c>
      <c r="BM93" s="1" t="str">
        <f>HYPERLINK("http://dx.doi.org/10.1111/pce.14458","http://dx.doi.org/10.1111/pce.14458")</f>
        <v>http://dx.doi.org/10.1111/pce.14458</v>
      </c>
      <c r="BN93" s="1" t="s">
        <v>82</v>
      </c>
      <c r="BO93" s="1" t="s">
        <v>2084</v>
      </c>
      <c r="BP93" s="1">
        <v>18</v>
      </c>
      <c r="BQ93" s="1" t="s">
        <v>378</v>
      </c>
      <c r="BR93" s="1" t="s">
        <v>104</v>
      </c>
      <c r="BS93" s="1" t="s">
        <v>378</v>
      </c>
      <c r="BT93" s="1" t="s">
        <v>2085</v>
      </c>
      <c r="BU93" s="1">
        <v>36207806</v>
      </c>
      <c r="BV93" s="1" t="s">
        <v>82</v>
      </c>
      <c r="BW93" s="1" t="s">
        <v>82</v>
      </c>
      <c r="BX93" s="1" t="s">
        <v>82</v>
      </c>
      <c r="BY93" s="1" t="s">
        <v>108</v>
      </c>
      <c r="BZ93" s="1" t="s">
        <v>2086</v>
      </c>
      <c r="CA93" s="1" t="str">
        <f>HYPERLINK("https%3A%2F%2Fwww.webofscience.com%2Fwos%2Fwoscc%2Ffull-record%2FWOS:000868528900001","View Full Record in Web of Science")</f>
        <v>View Full Record in Web of Science</v>
      </c>
    </row>
    <row r="94" s="1" customFormat="1" ht="14.4" spans="1:79">
      <c r="A94">
        <v>93</v>
      </c>
      <c r="B94" s="2" t="s">
        <v>79</v>
      </c>
      <c r="C94" s="1" t="s">
        <v>80</v>
      </c>
      <c r="D94" s="1" t="s">
        <v>2087</v>
      </c>
      <c r="E94" s="1" t="s">
        <v>82</v>
      </c>
      <c r="F94" s="1" t="s">
        <v>82</v>
      </c>
      <c r="G94" s="1" t="s">
        <v>82</v>
      </c>
      <c r="H94" s="1" t="s">
        <v>2088</v>
      </c>
      <c r="I94" s="1" t="s">
        <v>82</v>
      </c>
      <c r="J94" s="1" t="s">
        <v>82</v>
      </c>
      <c r="K94" s="1" t="s">
        <v>2089</v>
      </c>
      <c r="L94" s="1" t="s">
        <v>2067</v>
      </c>
      <c r="M94" s="1">
        <v>7.947</v>
      </c>
      <c r="O94" s="1" t="s">
        <v>82</v>
      </c>
      <c r="P94" s="1" t="s">
        <v>82</v>
      </c>
      <c r="Q94" s="1" t="s">
        <v>87</v>
      </c>
      <c r="R94" s="1" t="s">
        <v>115</v>
      </c>
      <c r="S94" s="1" t="s">
        <v>82</v>
      </c>
      <c r="T94" s="1" t="s">
        <v>82</v>
      </c>
      <c r="U94" s="1" t="s">
        <v>82</v>
      </c>
      <c r="V94" s="1" t="s">
        <v>82</v>
      </c>
      <c r="W94" s="1" t="s">
        <v>82</v>
      </c>
      <c r="X94" s="1" t="s">
        <v>2090</v>
      </c>
      <c r="Y94" s="1" t="s">
        <v>2091</v>
      </c>
      <c r="Z94" s="1" t="s">
        <v>2092</v>
      </c>
      <c r="AB94" s="1" t="s">
        <v>2093</v>
      </c>
      <c r="AC94" s="1" t="s">
        <v>2094</v>
      </c>
      <c r="AD94" s="1" t="s">
        <v>206</v>
      </c>
      <c r="AE94" s="1" t="s">
        <v>2095</v>
      </c>
      <c r="AF94" s="1" t="s">
        <v>2096</v>
      </c>
      <c r="AG94" s="1" t="s">
        <v>2097</v>
      </c>
      <c r="AH94" s="1" t="s">
        <v>82</v>
      </c>
      <c r="AI94" s="1" t="s">
        <v>82</v>
      </c>
      <c r="AJ94" s="1" t="s">
        <v>2098</v>
      </c>
      <c r="AK94" s="1" t="s">
        <v>2099</v>
      </c>
      <c r="AL94" s="1" t="s">
        <v>2098</v>
      </c>
      <c r="AM94" s="1" t="s">
        <v>82</v>
      </c>
      <c r="AN94" s="1">
        <v>60</v>
      </c>
      <c r="AO94" s="1">
        <v>3</v>
      </c>
      <c r="AP94" s="1">
        <v>3</v>
      </c>
      <c r="AQ94" s="1">
        <v>45</v>
      </c>
      <c r="AR94" s="1">
        <v>45</v>
      </c>
      <c r="AS94" s="1" t="s">
        <v>1002</v>
      </c>
      <c r="AT94" s="1" t="s">
        <v>1003</v>
      </c>
      <c r="AU94" s="1" t="s">
        <v>1004</v>
      </c>
      <c r="AV94" s="1" t="s">
        <v>2079</v>
      </c>
      <c r="AW94" s="1" t="s">
        <v>2080</v>
      </c>
      <c r="AX94" s="1" t="s">
        <v>82</v>
      </c>
      <c r="AY94" s="1" t="s">
        <v>2081</v>
      </c>
      <c r="AZ94" s="1" t="s">
        <v>2082</v>
      </c>
      <c r="BA94" s="1" t="s">
        <v>1340</v>
      </c>
      <c r="BB94" s="1">
        <v>2022</v>
      </c>
      <c r="BC94" s="1">
        <v>45</v>
      </c>
      <c r="BD94" s="1">
        <v>10</v>
      </c>
      <c r="BE94" s="1" t="s">
        <v>82</v>
      </c>
      <c r="BF94" s="1" t="s">
        <v>82</v>
      </c>
      <c r="BG94" s="1" t="s">
        <v>82</v>
      </c>
      <c r="BH94" s="1" t="s">
        <v>82</v>
      </c>
      <c r="BI94" s="1">
        <v>3122</v>
      </c>
      <c r="BJ94" s="1">
        <v>3133</v>
      </c>
      <c r="BK94" s="1" t="s">
        <v>82</v>
      </c>
      <c r="BL94" s="1" t="s">
        <v>2100</v>
      </c>
      <c r="BM94" s="1" t="str">
        <f>HYPERLINK("http://dx.doi.org/10.1111/pce.14413","http://dx.doi.org/10.1111/pce.14413")</f>
        <v>http://dx.doi.org/10.1111/pce.14413</v>
      </c>
      <c r="BN94" s="1" t="s">
        <v>82</v>
      </c>
      <c r="BO94" s="1" t="s">
        <v>424</v>
      </c>
      <c r="BP94" s="1">
        <v>12</v>
      </c>
      <c r="BQ94" s="1" t="s">
        <v>378</v>
      </c>
      <c r="BR94" s="1" t="s">
        <v>104</v>
      </c>
      <c r="BS94" s="1" t="s">
        <v>378</v>
      </c>
      <c r="BT94" s="1" t="s">
        <v>2101</v>
      </c>
      <c r="BU94" s="1">
        <v>35909089</v>
      </c>
      <c r="BV94" s="1" t="s">
        <v>82</v>
      </c>
      <c r="BW94" s="1" t="s">
        <v>82</v>
      </c>
      <c r="BX94" s="1" t="s">
        <v>82</v>
      </c>
      <c r="BY94" s="1" t="s">
        <v>108</v>
      </c>
      <c r="BZ94" s="1" t="s">
        <v>2102</v>
      </c>
      <c r="CA94" s="1" t="str">
        <f>HYPERLINK("https%3A%2F%2Fwww.webofscience.com%2Fwos%2Fwoscc%2Ffull-record%2FWOS:000840758400001","View Full Record in Web of Science")</f>
        <v>View Full Record in Web of Science</v>
      </c>
    </row>
    <row r="95" s="1" customFormat="1" ht="14.4" spans="1:79">
      <c r="A95">
        <v>94</v>
      </c>
      <c r="B95" s="2" t="s">
        <v>79</v>
      </c>
      <c r="C95" s="1" t="s">
        <v>80</v>
      </c>
      <c r="D95" s="1" t="s">
        <v>2103</v>
      </c>
      <c r="E95" s="1" t="s">
        <v>82</v>
      </c>
      <c r="F95" s="1" t="s">
        <v>82</v>
      </c>
      <c r="G95" s="1" t="s">
        <v>82</v>
      </c>
      <c r="H95" s="1" t="s">
        <v>2104</v>
      </c>
      <c r="I95" s="1" t="s">
        <v>82</v>
      </c>
      <c r="J95" s="1" t="s">
        <v>82</v>
      </c>
      <c r="K95" s="1" t="s">
        <v>2105</v>
      </c>
      <c r="L95" s="1" t="s">
        <v>2106</v>
      </c>
      <c r="M95" s="1">
        <v>7.675</v>
      </c>
      <c r="O95" s="1" t="s">
        <v>82</v>
      </c>
      <c r="P95" s="1" t="s">
        <v>82</v>
      </c>
      <c r="Q95" s="1" t="s">
        <v>87</v>
      </c>
      <c r="R95" s="1" t="s">
        <v>115</v>
      </c>
      <c r="S95" s="1" t="s">
        <v>82</v>
      </c>
      <c r="T95" s="1" t="s">
        <v>82</v>
      </c>
      <c r="U95" s="1" t="s">
        <v>82</v>
      </c>
      <c r="V95" s="1" t="s">
        <v>82</v>
      </c>
      <c r="W95" s="1" t="s">
        <v>82</v>
      </c>
      <c r="X95" s="1" t="s">
        <v>2107</v>
      </c>
      <c r="Y95" s="1" t="s">
        <v>2108</v>
      </c>
      <c r="Z95" s="1" t="s">
        <v>2109</v>
      </c>
      <c r="AA95" s="1">
        <v>1</v>
      </c>
      <c r="AB95" s="1" t="s">
        <v>2110</v>
      </c>
      <c r="AC95" s="1" t="s">
        <v>2111</v>
      </c>
      <c r="AD95" s="1" t="s">
        <v>93</v>
      </c>
      <c r="AE95" s="1" t="s">
        <v>1630</v>
      </c>
      <c r="AF95" s="1" t="s">
        <v>2112</v>
      </c>
      <c r="AG95" s="1" t="s">
        <v>2113</v>
      </c>
      <c r="AH95" s="1" t="s">
        <v>82</v>
      </c>
      <c r="AI95" s="1" t="s">
        <v>82</v>
      </c>
      <c r="AJ95" s="1" t="s">
        <v>2114</v>
      </c>
      <c r="AK95" s="1" t="s">
        <v>2115</v>
      </c>
      <c r="AL95" s="1" t="s">
        <v>2116</v>
      </c>
      <c r="AM95" s="1" t="s">
        <v>82</v>
      </c>
      <c r="AN95" s="1">
        <v>66</v>
      </c>
      <c r="AO95" s="1">
        <v>0</v>
      </c>
      <c r="AP95" s="1">
        <v>0</v>
      </c>
      <c r="AQ95" s="1">
        <v>3</v>
      </c>
      <c r="AR95" s="1">
        <v>3</v>
      </c>
      <c r="AS95" s="1" t="s">
        <v>2117</v>
      </c>
      <c r="AT95" s="1" t="s">
        <v>2118</v>
      </c>
      <c r="AU95" s="1" t="s">
        <v>2119</v>
      </c>
      <c r="AV95" s="1" t="s">
        <v>82</v>
      </c>
      <c r="AW95" s="1" t="s">
        <v>2120</v>
      </c>
      <c r="AX95" s="1" t="s">
        <v>82</v>
      </c>
      <c r="AY95" s="1" t="s">
        <v>2121</v>
      </c>
      <c r="AZ95" s="1" t="s">
        <v>2122</v>
      </c>
      <c r="BA95" s="1" t="s">
        <v>2123</v>
      </c>
      <c r="BB95" s="1">
        <v>2022</v>
      </c>
      <c r="BC95" s="1">
        <v>11</v>
      </c>
      <c r="BD95" s="1">
        <v>12</v>
      </c>
      <c r="BE95" s="1" t="s">
        <v>82</v>
      </c>
      <c r="BF95" s="1" t="s">
        <v>82</v>
      </c>
      <c r="BG95" s="1" t="s">
        <v>82</v>
      </c>
      <c r="BH95" s="1" t="s">
        <v>82</v>
      </c>
      <c r="BI95" s="1" t="s">
        <v>82</v>
      </c>
      <c r="BJ95" s="1" t="s">
        <v>82</v>
      </c>
      <c r="BK95" s="1">
        <v>2325</v>
      </c>
      <c r="BL95" s="1" t="s">
        <v>2124</v>
      </c>
      <c r="BM95" s="1" t="str">
        <f>HYPERLINK("http://dx.doi.org/10.3390/antiox11122325","http://dx.doi.org/10.3390/antiox11122325")</f>
        <v>http://dx.doi.org/10.3390/antiox11122325</v>
      </c>
      <c r="BN95" s="1" t="s">
        <v>82</v>
      </c>
      <c r="BO95" s="1" t="s">
        <v>82</v>
      </c>
      <c r="BP95" s="1">
        <v>14</v>
      </c>
      <c r="BQ95" s="1" t="s">
        <v>2125</v>
      </c>
      <c r="BR95" s="1" t="s">
        <v>104</v>
      </c>
      <c r="BS95" s="1" t="s">
        <v>2126</v>
      </c>
      <c r="BT95" s="1" t="s">
        <v>2127</v>
      </c>
      <c r="BU95" s="1">
        <v>36552532</v>
      </c>
      <c r="BV95" s="1" t="s">
        <v>635</v>
      </c>
      <c r="BW95" s="1" t="s">
        <v>82</v>
      </c>
      <c r="BX95" s="1" t="s">
        <v>82</v>
      </c>
      <c r="BY95" s="1" t="s">
        <v>108</v>
      </c>
      <c r="BZ95" s="1" t="s">
        <v>2128</v>
      </c>
      <c r="CA95" s="1" t="str">
        <f>HYPERLINK("https%3A%2F%2Fwww.webofscience.com%2Fwos%2Fwoscc%2Ffull-record%2FWOS:000900411400001","View Full Record in Web of Science")</f>
        <v>View Full Record in Web of Science</v>
      </c>
    </row>
    <row r="96" s="1" customFormat="1" ht="14.4" spans="1:79">
      <c r="A96">
        <v>95</v>
      </c>
      <c r="B96" s="2" t="s">
        <v>79</v>
      </c>
      <c r="C96" s="1" t="s">
        <v>80</v>
      </c>
      <c r="D96" s="1" t="s">
        <v>2129</v>
      </c>
      <c r="E96" s="1" t="s">
        <v>82</v>
      </c>
      <c r="F96" s="1" t="s">
        <v>82</v>
      </c>
      <c r="G96" s="1" t="s">
        <v>82</v>
      </c>
      <c r="H96" s="1" t="s">
        <v>2130</v>
      </c>
      <c r="I96" s="1" t="s">
        <v>82</v>
      </c>
      <c r="J96" s="1" t="s">
        <v>82</v>
      </c>
      <c r="K96" s="1" t="s">
        <v>2131</v>
      </c>
      <c r="L96" s="1" t="s">
        <v>2106</v>
      </c>
      <c r="M96" s="1">
        <v>7.675</v>
      </c>
      <c r="O96" s="1" t="s">
        <v>82</v>
      </c>
      <c r="P96" s="1" t="s">
        <v>82</v>
      </c>
      <c r="Q96" s="1" t="s">
        <v>87</v>
      </c>
      <c r="R96" s="1" t="s">
        <v>115</v>
      </c>
      <c r="S96" s="1" t="s">
        <v>82</v>
      </c>
      <c r="T96" s="1" t="s">
        <v>82</v>
      </c>
      <c r="U96" s="1" t="s">
        <v>82</v>
      </c>
      <c r="V96" s="1" t="s">
        <v>82</v>
      </c>
      <c r="W96" s="1" t="s">
        <v>82</v>
      </c>
      <c r="X96" s="1" t="s">
        <v>2132</v>
      </c>
      <c r="Y96" s="1" t="s">
        <v>2133</v>
      </c>
      <c r="Z96" s="1" t="s">
        <v>2134</v>
      </c>
      <c r="AB96" s="1" t="s">
        <v>2135</v>
      </c>
      <c r="AC96" s="1" t="s">
        <v>2136</v>
      </c>
      <c r="AD96" s="1" t="s">
        <v>120</v>
      </c>
      <c r="AE96" s="1" t="s">
        <v>2137</v>
      </c>
      <c r="AF96" s="1" t="s">
        <v>2138</v>
      </c>
      <c r="AG96" s="1" t="s">
        <v>2139</v>
      </c>
      <c r="AH96" s="1" t="s">
        <v>2140</v>
      </c>
      <c r="AI96" s="1" t="s">
        <v>2141</v>
      </c>
      <c r="AJ96" s="1" t="s">
        <v>2142</v>
      </c>
      <c r="AK96" s="1" t="s">
        <v>2143</v>
      </c>
      <c r="AL96" s="1" t="s">
        <v>2144</v>
      </c>
      <c r="AM96" s="1" t="s">
        <v>82</v>
      </c>
      <c r="AN96" s="1">
        <v>83</v>
      </c>
      <c r="AO96" s="1">
        <v>3</v>
      </c>
      <c r="AP96" s="1">
        <v>3</v>
      </c>
      <c r="AQ96" s="1">
        <v>6</v>
      </c>
      <c r="AR96" s="1">
        <v>11</v>
      </c>
      <c r="AS96" s="1" t="s">
        <v>2117</v>
      </c>
      <c r="AT96" s="1" t="s">
        <v>2118</v>
      </c>
      <c r="AU96" s="1" t="s">
        <v>2119</v>
      </c>
      <c r="AV96" s="1" t="s">
        <v>82</v>
      </c>
      <c r="AW96" s="1" t="s">
        <v>2120</v>
      </c>
      <c r="AX96" s="1" t="s">
        <v>82</v>
      </c>
      <c r="AY96" s="1" t="s">
        <v>2121</v>
      </c>
      <c r="AZ96" s="1" t="s">
        <v>2122</v>
      </c>
      <c r="BA96" s="1" t="s">
        <v>2145</v>
      </c>
      <c r="BB96" s="1">
        <v>2022</v>
      </c>
      <c r="BC96" s="1">
        <v>11</v>
      </c>
      <c r="BD96" s="1">
        <v>3</v>
      </c>
      <c r="BE96" s="1" t="s">
        <v>82</v>
      </c>
      <c r="BF96" s="1" t="s">
        <v>82</v>
      </c>
      <c r="BG96" s="1" t="s">
        <v>82</v>
      </c>
      <c r="BH96" s="1" t="s">
        <v>82</v>
      </c>
      <c r="BI96" s="1" t="s">
        <v>82</v>
      </c>
      <c r="BJ96" s="1" t="s">
        <v>82</v>
      </c>
      <c r="BK96" s="1">
        <v>485</v>
      </c>
      <c r="BL96" s="1" t="s">
        <v>2146</v>
      </c>
      <c r="BM96" s="1" t="str">
        <f>HYPERLINK("http://dx.doi.org/10.3390/antiox11030485","http://dx.doi.org/10.3390/antiox11030485")</f>
        <v>http://dx.doi.org/10.3390/antiox11030485</v>
      </c>
      <c r="BN96" s="1" t="s">
        <v>82</v>
      </c>
      <c r="BO96" s="1" t="s">
        <v>82</v>
      </c>
      <c r="BP96" s="1">
        <v>22</v>
      </c>
      <c r="BQ96" s="1" t="s">
        <v>2125</v>
      </c>
      <c r="BR96" s="1" t="s">
        <v>104</v>
      </c>
      <c r="BS96" s="1" t="s">
        <v>2126</v>
      </c>
      <c r="BT96" s="1" t="s">
        <v>2147</v>
      </c>
      <c r="BU96" s="1">
        <v>35326136</v>
      </c>
      <c r="BV96" s="1" t="s">
        <v>592</v>
      </c>
      <c r="BW96" s="1" t="s">
        <v>82</v>
      </c>
      <c r="BX96" s="1" t="s">
        <v>82</v>
      </c>
      <c r="BY96" s="1" t="s">
        <v>108</v>
      </c>
      <c r="BZ96" s="1" t="s">
        <v>2148</v>
      </c>
      <c r="CA96" s="1" t="str">
        <f>HYPERLINK("https%3A%2F%2Fwww.webofscience.com%2Fwos%2Fwoscc%2Ffull-record%2FWOS:000776062700001","View Full Record in Web of Science")</f>
        <v>View Full Record in Web of Science</v>
      </c>
    </row>
    <row r="97" s="1" customFormat="1" ht="14.4" spans="1:79">
      <c r="A97">
        <v>96</v>
      </c>
      <c r="B97" s="2" t="s">
        <v>79</v>
      </c>
      <c r="C97" s="1" t="s">
        <v>80</v>
      </c>
      <c r="D97" s="1" t="s">
        <v>2149</v>
      </c>
      <c r="E97" s="1" t="s">
        <v>82</v>
      </c>
      <c r="F97" s="1" t="s">
        <v>82</v>
      </c>
      <c r="G97" s="1" t="s">
        <v>82</v>
      </c>
      <c r="H97" s="1" t="s">
        <v>2150</v>
      </c>
      <c r="I97" s="1" t="s">
        <v>82</v>
      </c>
      <c r="J97" s="1" t="s">
        <v>82</v>
      </c>
      <c r="K97" s="1" t="s">
        <v>2151</v>
      </c>
      <c r="L97" s="1" t="s">
        <v>2152</v>
      </c>
      <c r="M97" s="1">
        <v>7.666</v>
      </c>
      <c r="O97" s="1" t="s">
        <v>82</v>
      </c>
      <c r="P97" s="1" t="s">
        <v>82</v>
      </c>
      <c r="Q97" s="1" t="s">
        <v>87</v>
      </c>
      <c r="R97" s="1" t="s">
        <v>115</v>
      </c>
      <c r="S97" s="1" t="s">
        <v>82</v>
      </c>
      <c r="T97" s="1" t="s">
        <v>82</v>
      </c>
      <c r="U97" s="1" t="s">
        <v>82</v>
      </c>
      <c r="V97" s="1" t="s">
        <v>82</v>
      </c>
      <c r="W97" s="1" t="s">
        <v>82</v>
      </c>
      <c r="X97" s="1" t="s">
        <v>2153</v>
      </c>
      <c r="Y97" s="1" t="s">
        <v>2154</v>
      </c>
      <c r="Z97" s="1" t="s">
        <v>2155</v>
      </c>
      <c r="AA97" s="1">
        <v>1</v>
      </c>
      <c r="AB97" s="1" t="s">
        <v>2156</v>
      </c>
      <c r="AC97" s="1" t="s">
        <v>2157</v>
      </c>
      <c r="AD97" s="1" t="s">
        <v>93</v>
      </c>
      <c r="AE97" s="1" t="s">
        <v>1630</v>
      </c>
      <c r="AF97" s="1" t="s">
        <v>2158</v>
      </c>
      <c r="AG97" s="1" t="s">
        <v>2113</v>
      </c>
      <c r="AH97" s="1" t="s">
        <v>82</v>
      </c>
      <c r="AI97" s="1" t="s">
        <v>2159</v>
      </c>
      <c r="AJ97" s="1" t="s">
        <v>2160</v>
      </c>
      <c r="AK97" s="1" t="s">
        <v>442</v>
      </c>
      <c r="AL97" s="1" t="s">
        <v>2161</v>
      </c>
      <c r="AM97" s="1" t="s">
        <v>82</v>
      </c>
      <c r="AN97" s="1">
        <v>57</v>
      </c>
      <c r="AO97" s="1">
        <v>1</v>
      </c>
      <c r="AP97" s="1">
        <v>1</v>
      </c>
      <c r="AQ97" s="1">
        <v>8</v>
      </c>
      <c r="AR97" s="1">
        <v>8</v>
      </c>
      <c r="AS97" s="1" t="s">
        <v>2117</v>
      </c>
      <c r="AT97" s="1" t="s">
        <v>2118</v>
      </c>
      <c r="AU97" s="1" t="s">
        <v>2119</v>
      </c>
      <c r="AV97" s="1" t="s">
        <v>82</v>
      </c>
      <c r="AW97" s="1" t="s">
        <v>2162</v>
      </c>
      <c r="AX97" s="1" t="s">
        <v>82</v>
      </c>
      <c r="AY97" s="1" t="s">
        <v>2163</v>
      </c>
      <c r="AZ97" s="1" t="s">
        <v>2164</v>
      </c>
      <c r="BA97" s="1" t="s">
        <v>222</v>
      </c>
      <c r="BB97" s="1">
        <v>2022</v>
      </c>
      <c r="BC97" s="1">
        <v>11</v>
      </c>
      <c r="BD97" s="1">
        <v>17</v>
      </c>
      <c r="BE97" s="1" t="s">
        <v>82</v>
      </c>
      <c r="BF97" s="1" t="s">
        <v>82</v>
      </c>
      <c r="BG97" s="1" t="s">
        <v>82</v>
      </c>
      <c r="BH97" s="1" t="s">
        <v>82</v>
      </c>
      <c r="BI97" s="1" t="s">
        <v>82</v>
      </c>
      <c r="BJ97" s="1" t="s">
        <v>82</v>
      </c>
      <c r="BK97" s="1">
        <v>2768</v>
      </c>
      <c r="BL97" s="1" t="s">
        <v>2165</v>
      </c>
      <c r="BM97" s="1" t="str">
        <f>HYPERLINK("http://dx.doi.org/10.3390/cells11172768","http://dx.doi.org/10.3390/cells11172768")</f>
        <v>http://dx.doi.org/10.3390/cells11172768</v>
      </c>
      <c r="BN97" s="1" t="s">
        <v>82</v>
      </c>
      <c r="BO97" s="1" t="s">
        <v>82</v>
      </c>
      <c r="BP97" s="1">
        <v>13</v>
      </c>
      <c r="BQ97" s="1" t="s">
        <v>905</v>
      </c>
      <c r="BR97" s="1" t="s">
        <v>104</v>
      </c>
      <c r="BS97" s="1" t="s">
        <v>905</v>
      </c>
      <c r="BT97" s="1" t="s">
        <v>2166</v>
      </c>
      <c r="BU97" s="1">
        <v>36078176</v>
      </c>
      <c r="BV97" s="1" t="s">
        <v>635</v>
      </c>
      <c r="BW97" s="1" t="s">
        <v>82</v>
      </c>
      <c r="BX97" s="1" t="s">
        <v>82</v>
      </c>
      <c r="BY97" s="1" t="s">
        <v>108</v>
      </c>
      <c r="BZ97" s="1" t="s">
        <v>2167</v>
      </c>
      <c r="CA97" s="1" t="str">
        <f>HYPERLINK("https%3A%2F%2Fwww.webofscience.com%2Fwos%2Fwoscc%2Ffull-record%2FWOS:000851043500001","View Full Record in Web of Science")</f>
        <v>View Full Record in Web of Science</v>
      </c>
    </row>
    <row r="98" s="1" customFormat="1" ht="14.4" spans="1:79">
      <c r="A98">
        <v>97</v>
      </c>
      <c r="B98" s="2" t="s">
        <v>79</v>
      </c>
      <c r="C98" s="1" t="s">
        <v>80</v>
      </c>
      <c r="D98" s="1" t="s">
        <v>2168</v>
      </c>
      <c r="E98" s="1" t="s">
        <v>82</v>
      </c>
      <c r="F98" s="1" t="s">
        <v>82</v>
      </c>
      <c r="G98" s="1" t="s">
        <v>82</v>
      </c>
      <c r="H98" s="1" t="s">
        <v>2169</v>
      </c>
      <c r="I98" s="1" t="s">
        <v>82</v>
      </c>
      <c r="J98" s="1" t="s">
        <v>82</v>
      </c>
      <c r="K98" s="1" t="s">
        <v>2170</v>
      </c>
      <c r="L98" s="1" t="s">
        <v>2152</v>
      </c>
      <c r="M98" s="1">
        <v>7.666</v>
      </c>
      <c r="O98" s="1" t="s">
        <v>82</v>
      </c>
      <c r="P98" s="1" t="s">
        <v>82</v>
      </c>
      <c r="Q98" s="1" t="s">
        <v>87</v>
      </c>
      <c r="R98" s="1" t="s">
        <v>115</v>
      </c>
      <c r="S98" s="1" t="s">
        <v>82</v>
      </c>
      <c r="T98" s="1" t="s">
        <v>82</v>
      </c>
      <c r="U98" s="1" t="s">
        <v>82</v>
      </c>
      <c r="V98" s="1" t="s">
        <v>82</v>
      </c>
      <c r="W98" s="1" t="s">
        <v>82</v>
      </c>
      <c r="X98" s="1" t="s">
        <v>2171</v>
      </c>
      <c r="Y98" s="1" t="s">
        <v>2172</v>
      </c>
      <c r="Z98" s="1" t="s">
        <v>2173</v>
      </c>
      <c r="AA98" s="1">
        <v>1</v>
      </c>
      <c r="AB98" s="1" t="s">
        <v>1690</v>
      </c>
      <c r="AC98" s="1" t="s">
        <v>2174</v>
      </c>
      <c r="AD98" s="1" t="s">
        <v>93</v>
      </c>
      <c r="AE98" s="1" t="s">
        <v>2175</v>
      </c>
      <c r="AF98" s="1" t="s">
        <v>2176</v>
      </c>
      <c r="AG98" s="1" t="s">
        <v>2177</v>
      </c>
      <c r="AH98" s="1" t="s">
        <v>2178</v>
      </c>
      <c r="AI98" s="1" t="s">
        <v>2179</v>
      </c>
      <c r="AJ98" s="1" t="s">
        <v>1720</v>
      </c>
      <c r="AK98" s="1" t="s">
        <v>1721</v>
      </c>
      <c r="AL98" s="1" t="s">
        <v>2180</v>
      </c>
      <c r="AM98" s="1" t="s">
        <v>82</v>
      </c>
      <c r="AN98" s="1">
        <v>47</v>
      </c>
      <c r="AO98" s="1">
        <v>0</v>
      </c>
      <c r="AP98" s="1">
        <v>0</v>
      </c>
      <c r="AQ98" s="1">
        <v>5</v>
      </c>
      <c r="AR98" s="1">
        <v>7</v>
      </c>
      <c r="AS98" s="1" t="s">
        <v>2117</v>
      </c>
      <c r="AT98" s="1" t="s">
        <v>2118</v>
      </c>
      <c r="AU98" s="1" t="s">
        <v>2119</v>
      </c>
      <c r="AV98" s="1" t="s">
        <v>82</v>
      </c>
      <c r="AW98" s="1" t="s">
        <v>2162</v>
      </c>
      <c r="AX98" s="1" t="s">
        <v>82</v>
      </c>
      <c r="AY98" s="1" t="s">
        <v>2163</v>
      </c>
      <c r="AZ98" s="1" t="s">
        <v>2164</v>
      </c>
      <c r="BA98" s="1" t="s">
        <v>1146</v>
      </c>
      <c r="BB98" s="1">
        <v>2022</v>
      </c>
      <c r="BC98" s="1">
        <v>11</v>
      </c>
      <c r="BD98" s="1">
        <v>12</v>
      </c>
      <c r="BE98" s="1" t="s">
        <v>82</v>
      </c>
      <c r="BF98" s="1" t="s">
        <v>82</v>
      </c>
      <c r="BG98" s="1" t="s">
        <v>82</v>
      </c>
      <c r="BH98" s="1" t="s">
        <v>82</v>
      </c>
      <c r="BI98" s="1" t="s">
        <v>82</v>
      </c>
      <c r="BJ98" s="1" t="s">
        <v>82</v>
      </c>
      <c r="BK98" s="1">
        <v>1947</v>
      </c>
      <c r="BL98" s="1" t="s">
        <v>2181</v>
      </c>
      <c r="BM98" s="1" t="str">
        <f>HYPERLINK("http://dx.doi.org/10.3390/cells11121947","http://dx.doi.org/10.3390/cells11121947")</f>
        <v>http://dx.doi.org/10.3390/cells11121947</v>
      </c>
      <c r="BN98" s="1" t="s">
        <v>82</v>
      </c>
      <c r="BO98" s="1" t="s">
        <v>82</v>
      </c>
      <c r="BP98" s="1">
        <v>21</v>
      </c>
      <c r="BQ98" s="1" t="s">
        <v>905</v>
      </c>
      <c r="BR98" s="1" t="s">
        <v>104</v>
      </c>
      <c r="BS98" s="1" t="s">
        <v>905</v>
      </c>
      <c r="BT98" s="1" t="s">
        <v>2182</v>
      </c>
      <c r="BU98" s="1">
        <v>35741076</v>
      </c>
      <c r="BV98" s="1" t="s">
        <v>635</v>
      </c>
      <c r="BW98" s="1" t="s">
        <v>82</v>
      </c>
      <c r="BX98" s="1" t="s">
        <v>82</v>
      </c>
      <c r="BY98" s="1" t="s">
        <v>108</v>
      </c>
      <c r="BZ98" s="1" t="s">
        <v>2183</v>
      </c>
      <c r="CA98" s="1" t="str">
        <f>HYPERLINK("https%3A%2F%2Fwww.webofscience.com%2Fwos%2Fwoscc%2Ffull-record%2FWOS:000817497700001","View Full Record in Web of Science")</f>
        <v>View Full Record in Web of Science</v>
      </c>
    </row>
    <row r="99" s="1" customFormat="1" ht="14.4" spans="1:79">
      <c r="A99">
        <v>98</v>
      </c>
      <c r="B99" s="2" t="s">
        <v>79</v>
      </c>
      <c r="C99" s="1" t="s">
        <v>80</v>
      </c>
      <c r="D99" s="1" t="s">
        <v>2184</v>
      </c>
      <c r="E99" s="1" t="s">
        <v>82</v>
      </c>
      <c r="F99" s="1" t="s">
        <v>82</v>
      </c>
      <c r="G99" s="1" t="s">
        <v>82</v>
      </c>
      <c r="H99" s="1" t="s">
        <v>2185</v>
      </c>
      <c r="I99" s="1" t="s">
        <v>82</v>
      </c>
      <c r="J99" s="1" t="s">
        <v>82</v>
      </c>
      <c r="K99" s="1" t="s">
        <v>2186</v>
      </c>
      <c r="L99" s="1" t="s">
        <v>2152</v>
      </c>
      <c r="M99" s="1">
        <v>7.666</v>
      </c>
      <c r="O99" s="1" t="s">
        <v>82</v>
      </c>
      <c r="P99" s="1" t="s">
        <v>82</v>
      </c>
      <c r="Q99" s="1" t="s">
        <v>87</v>
      </c>
      <c r="R99" s="1" t="s">
        <v>115</v>
      </c>
      <c r="S99" s="1" t="s">
        <v>82</v>
      </c>
      <c r="T99" s="1" t="s">
        <v>82</v>
      </c>
      <c r="U99" s="1" t="s">
        <v>82</v>
      </c>
      <c r="V99" s="1" t="s">
        <v>82</v>
      </c>
      <c r="W99" s="1" t="s">
        <v>82</v>
      </c>
      <c r="X99" s="1" t="s">
        <v>2187</v>
      </c>
      <c r="Y99" s="1" t="s">
        <v>2188</v>
      </c>
      <c r="Z99" s="1" t="s">
        <v>2189</v>
      </c>
      <c r="AB99" s="1" t="s">
        <v>2190</v>
      </c>
      <c r="AC99" s="1" t="s">
        <v>2191</v>
      </c>
      <c r="AD99" s="1" t="s">
        <v>206</v>
      </c>
      <c r="AE99" s="1" t="s">
        <v>2192</v>
      </c>
      <c r="AF99" s="1" t="s">
        <v>2193</v>
      </c>
      <c r="AG99" s="1" t="s">
        <v>2194</v>
      </c>
      <c r="AH99" s="1" t="s">
        <v>82</v>
      </c>
      <c r="AI99" s="1" t="s">
        <v>2159</v>
      </c>
      <c r="AJ99" s="1" t="s">
        <v>2195</v>
      </c>
      <c r="AK99" s="1" t="s">
        <v>2196</v>
      </c>
      <c r="AL99" s="1" t="s">
        <v>2197</v>
      </c>
      <c r="AM99" s="1" t="s">
        <v>82</v>
      </c>
      <c r="AN99" s="1">
        <v>85</v>
      </c>
      <c r="AO99" s="1">
        <v>0</v>
      </c>
      <c r="AP99" s="1">
        <v>0</v>
      </c>
      <c r="AQ99" s="1">
        <v>9</v>
      </c>
      <c r="AR99" s="1">
        <v>11</v>
      </c>
      <c r="AS99" s="1" t="s">
        <v>2117</v>
      </c>
      <c r="AT99" s="1" t="s">
        <v>2118</v>
      </c>
      <c r="AU99" s="1" t="s">
        <v>2119</v>
      </c>
      <c r="AV99" s="1" t="s">
        <v>82</v>
      </c>
      <c r="AW99" s="1" t="s">
        <v>2162</v>
      </c>
      <c r="AX99" s="1" t="s">
        <v>82</v>
      </c>
      <c r="AY99" s="1" t="s">
        <v>2163</v>
      </c>
      <c r="AZ99" s="1" t="s">
        <v>2164</v>
      </c>
      <c r="BA99" s="1" t="s">
        <v>245</v>
      </c>
      <c r="BB99" s="1">
        <v>2022</v>
      </c>
      <c r="BC99" s="1">
        <v>11</v>
      </c>
      <c r="BD99" s="1">
        <v>10</v>
      </c>
      <c r="BE99" s="1" t="s">
        <v>82</v>
      </c>
      <c r="BF99" s="1" t="s">
        <v>82</v>
      </c>
      <c r="BG99" s="1" t="s">
        <v>82</v>
      </c>
      <c r="BH99" s="1" t="s">
        <v>82</v>
      </c>
      <c r="BI99" s="1" t="s">
        <v>82</v>
      </c>
      <c r="BJ99" s="1" t="s">
        <v>82</v>
      </c>
      <c r="BK99" s="1">
        <v>1647</v>
      </c>
      <c r="BL99" s="1" t="s">
        <v>2198</v>
      </c>
      <c r="BM99" s="1" t="str">
        <f>HYPERLINK("http://dx.doi.org/10.3390/cells11101647","http://dx.doi.org/10.3390/cells11101647")</f>
        <v>http://dx.doi.org/10.3390/cells11101647</v>
      </c>
      <c r="BN99" s="1" t="s">
        <v>82</v>
      </c>
      <c r="BO99" s="1" t="s">
        <v>82</v>
      </c>
      <c r="BP99" s="1">
        <v>13</v>
      </c>
      <c r="BQ99" s="1" t="s">
        <v>905</v>
      </c>
      <c r="BR99" s="1" t="s">
        <v>104</v>
      </c>
      <c r="BS99" s="1" t="s">
        <v>905</v>
      </c>
      <c r="BT99" s="1" t="s">
        <v>2199</v>
      </c>
      <c r="BU99" s="1">
        <v>35626684</v>
      </c>
      <c r="BV99" s="1" t="s">
        <v>592</v>
      </c>
      <c r="BW99" s="1" t="s">
        <v>82</v>
      </c>
      <c r="BX99" s="1" t="s">
        <v>82</v>
      </c>
      <c r="BY99" s="1" t="s">
        <v>108</v>
      </c>
      <c r="BZ99" s="1" t="s">
        <v>2200</v>
      </c>
      <c r="CA99" s="1" t="str">
        <f>HYPERLINK("https%3A%2F%2Fwww.webofscience.com%2Fwos%2Fwoscc%2Ffull-record%2FWOS:000803374000001","View Full Record in Web of Science")</f>
        <v>View Full Record in Web of Science</v>
      </c>
    </row>
    <row r="100" s="1" customFormat="1" ht="14.4" spans="1:79">
      <c r="A100">
        <v>99</v>
      </c>
      <c r="B100" s="2" t="s">
        <v>79</v>
      </c>
      <c r="C100" s="1" t="s">
        <v>80</v>
      </c>
      <c r="D100" s="1" t="s">
        <v>2201</v>
      </c>
      <c r="E100" s="1" t="s">
        <v>82</v>
      </c>
      <c r="F100" s="1" t="s">
        <v>82</v>
      </c>
      <c r="G100" s="1" t="s">
        <v>82</v>
      </c>
      <c r="H100" s="1" t="s">
        <v>2202</v>
      </c>
      <c r="I100" s="1" t="s">
        <v>82</v>
      </c>
      <c r="J100" s="1" t="s">
        <v>82</v>
      </c>
      <c r="K100" s="1" t="s">
        <v>2203</v>
      </c>
      <c r="L100" s="1" t="s">
        <v>2152</v>
      </c>
      <c r="M100" s="1">
        <v>7.666</v>
      </c>
      <c r="O100" s="1" t="s">
        <v>82</v>
      </c>
      <c r="P100" s="1" t="s">
        <v>82</v>
      </c>
      <c r="Q100" s="1" t="s">
        <v>87</v>
      </c>
      <c r="R100" s="1" t="s">
        <v>115</v>
      </c>
      <c r="S100" s="1" t="s">
        <v>82</v>
      </c>
      <c r="T100" s="1" t="s">
        <v>82</v>
      </c>
      <c r="U100" s="1" t="s">
        <v>82</v>
      </c>
      <c r="V100" s="1" t="s">
        <v>82</v>
      </c>
      <c r="W100" s="1" t="s">
        <v>82</v>
      </c>
      <c r="X100" s="1" t="s">
        <v>2204</v>
      </c>
      <c r="Y100" s="1" t="s">
        <v>2205</v>
      </c>
      <c r="Z100" s="1" t="s">
        <v>2206</v>
      </c>
      <c r="AA100" s="1">
        <v>1</v>
      </c>
      <c r="AB100" s="1" t="s">
        <v>2207</v>
      </c>
      <c r="AC100" s="1" t="s">
        <v>2208</v>
      </c>
      <c r="AD100" s="1" t="s">
        <v>93</v>
      </c>
      <c r="AE100" s="1" t="s">
        <v>1630</v>
      </c>
      <c r="AF100" s="1" t="s">
        <v>2158</v>
      </c>
      <c r="AG100" s="1" t="s">
        <v>2209</v>
      </c>
      <c r="AH100" s="1" t="s">
        <v>82</v>
      </c>
      <c r="AI100" s="1" t="s">
        <v>2159</v>
      </c>
      <c r="AJ100" s="1" t="s">
        <v>2210</v>
      </c>
      <c r="AK100" s="1" t="s">
        <v>2211</v>
      </c>
      <c r="AL100" s="1" t="s">
        <v>2212</v>
      </c>
      <c r="AM100" s="1" t="s">
        <v>82</v>
      </c>
      <c r="AN100" s="1">
        <v>65</v>
      </c>
      <c r="AO100" s="1">
        <v>1</v>
      </c>
      <c r="AP100" s="1">
        <v>1</v>
      </c>
      <c r="AQ100" s="1">
        <v>5</v>
      </c>
      <c r="AR100" s="1">
        <v>13</v>
      </c>
      <c r="AS100" s="1" t="s">
        <v>2117</v>
      </c>
      <c r="AT100" s="1" t="s">
        <v>2118</v>
      </c>
      <c r="AU100" s="1" t="s">
        <v>2119</v>
      </c>
      <c r="AV100" s="1" t="s">
        <v>82</v>
      </c>
      <c r="AW100" s="1" t="s">
        <v>2162</v>
      </c>
      <c r="AX100" s="1" t="s">
        <v>82</v>
      </c>
      <c r="AY100" s="1" t="s">
        <v>2163</v>
      </c>
      <c r="AZ100" s="1" t="s">
        <v>2164</v>
      </c>
      <c r="BA100" s="1" t="s">
        <v>1826</v>
      </c>
      <c r="BB100" s="1">
        <v>2022</v>
      </c>
      <c r="BC100" s="1">
        <v>11</v>
      </c>
      <c r="BD100" s="1">
        <v>2</v>
      </c>
      <c r="BE100" s="1" t="s">
        <v>82</v>
      </c>
      <c r="BF100" s="1" t="s">
        <v>82</v>
      </c>
      <c r="BG100" s="1" t="s">
        <v>82</v>
      </c>
      <c r="BH100" s="1" t="s">
        <v>82</v>
      </c>
      <c r="BI100" s="1" t="s">
        <v>82</v>
      </c>
      <c r="BJ100" s="1" t="s">
        <v>82</v>
      </c>
      <c r="BK100" s="1">
        <v>252</v>
      </c>
      <c r="BL100" s="1" t="s">
        <v>2213</v>
      </c>
      <c r="BM100" s="1" t="str">
        <f>HYPERLINK("http://dx.doi.org/10.3390/cells11020252","http://dx.doi.org/10.3390/cells11020252")</f>
        <v>http://dx.doi.org/10.3390/cells11020252</v>
      </c>
      <c r="BN100" s="1" t="s">
        <v>82</v>
      </c>
      <c r="BO100" s="1" t="s">
        <v>82</v>
      </c>
      <c r="BP100" s="1">
        <v>13</v>
      </c>
      <c r="BQ100" s="1" t="s">
        <v>905</v>
      </c>
      <c r="BR100" s="1" t="s">
        <v>104</v>
      </c>
      <c r="BS100" s="1" t="s">
        <v>905</v>
      </c>
      <c r="BT100" s="1" t="s">
        <v>2214</v>
      </c>
      <c r="BU100" s="1">
        <v>35053368</v>
      </c>
      <c r="BV100" s="1" t="s">
        <v>635</v>
      </c>
      <c r="BW100" s="1" t="s">
        <v>82</v>
      </c>
      <c r="BX100" s="1" t="s">
        <v>82</v>
      </c>
      <c r="BY100" s="1" t="s">
        <v>108</v>
      </c>
      <c r="BZ100" s="1" t="s">
        <v>2215</v>
      </c>
      <c r="CA100" s="1" t="str">
        <f>HYPERLINK("https%3A%2F%2Fwww.webofscience.com%2Fwos%2Fwoscc%2Ffull-record%2FWOS:000748169700001","View Full Record in Web of Science")</f>
        <v>View Full Record in Web of Science</v>
      </c>
    </row>
    <row r="101" s="1" customFormat="1" ht="14.4" spans="1:79">
      <c r="A101">
        <v>100</v>
      </c>
      <c r="B101" s="2" t="s">
        <v>79</v>
      </c>
      <c r="C101" s="1" t="s">
        <v>80</v>
      </c>
      <c r="D101" s="1" t="s">
        <v>2216</v>
      </c>
      <c r="E101" s="1" t="s">
        <v>82</v>
      </c>
      <c r="F101" s="1" t="s">
        <v>82</v>
      </c>
      <c r="G101" s="1" t="s">
        <v>82</v>
      </c>
      <c r="H101" s="1" t="s">
        <v>2217</v>
      </c>
      <c r="I101" s="1" t="s">
        <v>82</v>
      </c>
      <c r="J101" s="1" t="s">
        <v>82</v>
      </c>
      <c r="K101" s="1" t="s">
        <v>2218</v>
      </c>
      <c r="L101" s="1" t="s">
        <v>2219</v>
      </c>
      <c r="M101" s="1">
        <v>7.497</v>
      </c>
      <c r="O101" s="1" t="s">
        <v>82</v>
      </c>
      <c r="P101" s="1" t="s">
        <v>82</v>
      </c>
      <c r="Q101" s="1" t="s">
        <v>87</v>
      </c>
      <c r="R101" s="1" t="s">
        <v>115</v>
      </c>
      <c r="S101" s="1" t="s">
        <v>82</v>
      </c>
      <c r="T101" s="1" t="s">
        <v>82</v>
      </c>
      <c r="U101" s="1" t="s">
        <v>82</v>
      </c>
      <c r="V101" s="1" t="s">
        <v>82</v>
      </c>
      <c r="W101" s="1" t="s">
        <v>82</v>
      </c>
      <c r="X101" s="1" t="s">
        <v>2220</v>
      </c>
      <c r="Y101" s="1" t="s">
        <v>2221</v>
      </c>
      <c r="Z101" s="1" t="s">
        <v>2222</v>
      </c>
      <c r="AB101" s="1" t="s">
        <v>2223</v>
      </c>
      <c r="AC101" s="1" t="s">
        <v>2224</v>
      </c>
      <c r="AD101" s="1" t="s">
        <v>120</v>
      </c>
      <c r="AE101" s="1" t="s">
        <v>2225</v>
      </c>
      <c r="AF101" s="1" t="s">
        <v>2226</v>
      </c>
      <c r="AG101" s="1" t="s">
        <v>2227</v>
      </c>
      <c r="AH101" s="1" t="s">
        <v>82</v>
      </c>
      <c r="AI101" s="1" t="s">
        <v>82</v>
      </c>
      <c r="AJ101" s="1" t="s">
        <v>2228</v>
      </c>
      <c r="AK101" s="1" t="s">
        <v>2228</v>
      </c>
      <c r="AL101" s="1" t="s">
        <v>2229</v>
      </c>
      <c r="AM101" s="1" t="s">
        <v>82</v>
      </c>
      <c r="AN101" s="1">
        <v>117</v>
      </c>
      <c r="AO101" s="1">
        <v>14</v>
      </c>
      <c r="AP101" s="1">
        <v>14</v>
      </c>
      <c r="AQ101" s="1">
        <v>11</v>
      </c>
      <c r="AR101" s="1">
        <v>12</v>
      </c>
      <c r="AS101" s="1" t="s">
        <v>508</v>
      </c>
      <c r="AT101" s="1" t="s">
        <v>329</v>
      </c>
      <c r="AU101" s="1" t="s">
        <v>509</v>
      </c>
      <c r="AV101" s="1" t="s">
        <v>2230</v>
      </c>
      <c r="AW101" s="1" t="s">
        <v>2231</v>
      </c>
      <c r="AX101" s="1" t="s">
        <v>82</v>
      </c>
      <c r="AY101" s="1" t="s">
        <v>2232</v>
      </c>
      <c r="AZ101" s="1" t="s">
        <v>2233</v>
      </c>
      <c r="BA101" s="1" t="s">
        <v>397</v>
      </c>
      <c r="BB101" s="1">
        <v>2022</v>
      </c>
      <c r="BC101" s="1">
        <v>266</v>
      </c>
      <c r="BD101" s="1" t="s">
        <v>82</v>
      </c>
      <c r="BE101" s="1" t="s">
        <v>82</v>
      </c>
      <c r="BF101" s="1" t="s">
        <v>82</v>
      </c>
      <c r="BG101" s="1" t="s">
        <v>82</v>
      </c>
      <c r="BH101" s="1" t="s">
        <v>82</v>
      </c>
      <c r="BI101" s="1" t="s">
        <v>82</v>
      </c>
      <c r="BJ101" s="1" t="s">
        <v>82</v>
      </c>
      <c r="BK101" s="1">
        <v>109440</v>
      </c>
      <c r="BL101" s="1" t="s">
        <v>2234</v>
      </c>
      <c r="BM101" s="1" t="str">
        <f>HYPERLINK("http://dx.doi.org/10.1016/j.biocon.2021.109440","http://dx.doi.org/10.1016/j.biocon.2021.109440")</f>
        <v>http://dx.doi.org/10.1016/j.biocon.2021.109440</v>
      </c>
      <c r="BN101" s="1" t="s">
        <v>82</v>
      </c>
      <c r="BO101" s="1" t="s">
        <v>82</v>
      </c>
      <c r="BP101" s="1">
        <v>8</v>
      </c>
      <c r="BQ101" s="1" t="s">
        <v>1010</v>
      </c>
      <c r="BR101" s="1" t="s">
        <v>104</v>
      </c>
      <c r="BS101" s="1" t="s">
        <v>1011</v>
      </c>
      <c r="BT101" s="1" t="s">
        <v>2235</v>
      </c>
      <c r="BU101" s="1" t="s">
        <v>82</v>
      </c>
      <c r="BV101" s="1" t="s">
        <v>268</v>
      </c>
      <c r="BW101" s="1" t="s">
        <v>82</v>
      </c>
      <c r="BX101" s="1" t="s">
        <v>82</v>
      </c>
      <c r="BY101" s="1" t="s">
        <v>108</v>
      </c>
      <c r="BZ101" s="1" t="s">
        <v>2236</v>
      </c>
      <c r="CA101" s="1" t="str">
        <f>HYPERLINK("https%3A%2F%2Fwww.webofscience.com%2Fwos%2Fwoscc%2Ffull-record%2FWOS:000819461000002","View Full Record in Web of Science")</f>
        <v>View Full Record in Web of Science</v>
      </c>
    </row>
    <row r="102" s="1" customFormat="1" ht="14.4" spans="1:79">
      <c r="A102">
        <v>101</v>
      </c>
      <c r="B102" s="2" t="s">
        <v>79</v>
      </c>
      <c r="C102" s="1" t="s">
        <v>80</v>
      </c>
      <c r="D102" s="1" t="s">
        <v>2237</v>
      </c>
      <c r="E102" s="1" t="s">
        <v>82</v>
      </c>
      <c r="F102" s="1" t="s">
        <v>82</v>
      </c>
      <c r="G102" s="1" t="s">
        <v>82</v>
      </c>
      <c r="H102" s="1" t="s">
        <v>2238</v>
      </c>
      <c r="I102" s="1" t="s">
        <v>82</v>
      </c>
      <c r="J102" s="1" t="s">
        <v>82</v>
      </c>
      <c r="K102" s="1" t="s">
        <v>2239</v>
      </c>
      <c r="L102" s="1" t="s">
        <v>2219</v>
      </c>
      <c r="M102" s="1">
        <v>7.497</v>
      </c>
      <c r="O102" s="1" t="s">
        <v>82</v>
      </c>
      <c r="P102" s="1" t="s">
        <v>82</v>
      </c>
      <c r="Q102" s="1" t="s">
        <v>87</v>
      </c>
      <c r="R102" s="1" t="s">
        <v>115</v>
      </c>
      <c r="S102" s="1" t="s">
        <v>82</v>
      </c>
      <c r="T102" s="1" t="s">
        <v>82</v>
      </c>
      <c r="U102" s="1" t="s">
        <v>82</v>
      </c>
      <c r="V102" s="1" t="s">
        <v>82</v>
      </c>
      <c r="W102" s="1" t="s">
        <v>82</v>
      </c>
      <c r="X102" s="1" t="s">
        <v>2240</v>
      </c>
      <c r="Y102" s="1" t="s">
        <v>82</v>
      </c>
      <c r="Z102" s="1" t="s">
        <v>2241</v>
      </c>
      <c r="AB102" s="1" t="s">
        <v>2223</v>
      </c>
      <c r="AC102" s="1" t="s">
        <v>2242</v>
      </c>
      <c r="AD102" s="1" t="s">
        <v>120</v>
      </c>
      <c r="AE102" s="1" t="s">
        <v>2243</v>
      </c>
      <c r="AF102" s="1" t="s">
        <v>2226</v>
      </c>
      <c r="AG102" s="1" t="s">
        <v>2244</v>
      </c>
      <c r="AH102" s="1" t="s">
        <v>82</v>
      </c>
      <c r="AI102" s="1" t="s">
        <v>82</v>
      </c>
      <c r="AJ102" s="1" t="s">
        <v>2245</v>
      </c>
      <c r="AK102" s="1" t="s">
        <v>2246</v>
      </c>
      <c r="AL102" s="1" t="s">
        <v>2247</v>
      </c>
      <c r="AM102" s="1" t="s">
        <v>82</v>
      </c>
      <c r="AN102" s="1">
        <v>34</v>
      </c>
      <c r="AO102" s="1">
        <v>7</v>
      </c>
      <c r="AP102" s="1">
        <v>7</v>
      </c>
      <c r="AQ102" s="1">
        <v>5</v>
      </c>
      <c r="AR102" s="1">
        <v>6</v>
      </c>
      <c r="AS102" s="1" t="s">
        <v>508</v>
      </c>
      <c r="AT102" s="1" t="s">
        <v>329</v>
      </c>
      <c r="AU102" s="1" t="s">
        <v>509</v>
      </c>
      <c r="AV102" s="1" t="s">
        <v>2230</v>
      </c>
      <c r="AW102" s="1" t="s">
        <v>2231</v>
      </c>
      <c r="AX102" s="1" t="s">
        <v>82</v>
      </c>
      <c r="AY102" s="1" t="s">
        <v>2232</v>
      </c>
      <c r="AZ102" s="1" t="s">
        <v>2233</v>
      </c>
      <c r="BA102" s="1" t="s">
        <v>397</v>
      </c>
      <c r="BB102" s="1">
        <v>2022</v>
      </c>
      <c r="BC102" s="1">
        <v>266</v>
      </c>
      <c r="BD102" s="1" t="s">
        <v>82</v>
      </c>
      <c r="BE102" s="1" t="s">
        <v>82</v>
      </c>
      <c r="BF102" s="1" t="s">
        <v>82</v>
      </c>
      <c r="BG102" s="1" t="s">
        <v>82</v>
      </c>
      <c r="BH102" s="1" t="s">
        <v>82</v>
      </c>
      <c r="BI102" s="1" t="s">
        <v>82</v>
      </c>
      <c r="BJ102" s="1" t="s">
        <v>82</v>
      </c>
      <c r="BK102" s="1">
        <v>109439</v>
      </c>
      <c r="BL102" s="1" t="s">
        <v>2248</v>
      </c>
      <c r="BM102" s="1" t="str">
        <f>HYPERLINK("http://dx.doi.org/10.1016/j.biocon.2021.109439","http://dx.doi.org/10.1016/j.biocon.2021.109439")</f>
        <v>http://dx.doi.org/10.1016/j.biocon.2021.109439</v>
      </c>
      <c r="BN102" s="1" t="s">
        <v>82</v>
      </c>
      <c r="BO102" s="1" t="s">
        <v>82</v>
      </c>
      <c r="BP102" s="1">
        <v>9</v>
      </c>
      <c r="BQ102" s="1" t="s">
        <v>1010</v>
      </c>
      <c r="BR102" s="1" t="s">
        <v>104</v>
      </c>
      <c r="BS102" s="1" t="s">
        <v>1011</v>
      </c>
      <c r="BT102" s="1" t="s">
        <v>2235</v>
      </c>
      <c r="BU102" s="1" t="s">
        <v>82</v>
      </c>
      <c r="BV102" s="1" t="s">
        <v>268</v>
      </c>
      <c r="BW102" s="1" t="s">
        <v>82</v>
      </c>
      <c r="BX102" s="1" t="s">
        <v>82</v>
      </c>
      <c r="BY102" s="1" t="s">
        <v>108</v>
      </c>
      <c r="BZ102" s="1" t="s">
        <v>2249</v>
      </c>
      <c r="CA102" s="1" t="str">
        <f>HYPERLINK("https%3A%2F%2Fwww.webofscience.com%2Fwos%2Fwoscc%2Ffull-record%2FWOS:000819461000001","View Full Record in Web of Science")</f>
        <v>View Full Record in Web of Science</v>
      </c>
    </row>
    <row r="103" s="1" customFormat="1" ht="14.4" spans="1:79">
      <c r="A103">
        <v>102</v>
      </c>
      <c r="B103" s="2" t="s">
        <v>79</v>
      </c>
      <c r="C103" s="1" t="s">
        <v>80</v>
      </c>
      <c r="D103" s="1" t="s">
        <v>2250</v>
      </c>
      <c r="E103" s="1" t="s">
        <v>82</v>
      </c>
      <c r="F103" s="1" t="s">
        <v>82</v>
      </c>
      <c r="G103" s="1" t="s">
        <v>82</v>
      </c>
      <c r="H103" s="1" t="s">
        <v>2251</v>
      </c>
      <c r="I103" s="1" t="s">
        <v>82</v>
      </c>
      <c r="J103" s="1" t="s">
        <v>82</v>
      </c>
      <c r="K103" s="1" t="s">
        <v>2252</v>
      </c>
      <c r="L103" s="1" t="s">
        <v>2253</v>
      </c>
      <c r="M103" s="1">
        <v>7.422</v>
      </c>
      <c r="O103" s="1" t="s">
        <v>82</v>
      </c>
      <c r="P103" s="1" t="s">
        <v>82</v>
      </c>
      <c r="Q103" s="1" t="s">
        <v>87</v>
      </c>
      <c r="R103" s="1" t="s">
        <v>115</v>
      </c>
      <c r="S103" s="1" t="s">
        <v>82</v>
      </c>
      <c r="T103" s="1" t="s">
        <v>82</v>
      </c>
      <c r="U103" s="1" t="s">
        <v>82</v>
      </c>
      <c r="V103" s="1" t="s">
        <v>82</v>
      </c>
      <c r="W103" s="1" t="s">
        <v>82</v>
      </c>
      <c r="X103" s="1" t="s">
        <v>2254</v>
      </c>
      <c r="Y103" s="1" t="s">
        <v>2255</v>
      </c>
      <c r="Z103" s="1" t="s">
        <v>2256</v>
      </c>
      <c r="AB103" s="1" t="s">
        <v>2093</v>
      </c>
      <c r="AC103" s="1" t="s">
        <v>2257</v>
      </c>
      <c r="AD103" s="1" t="s">
        <v>120</v>
      </c>
      <c r="AE103" s="1" t="s">
        <v>2258</v>
      </c>
      <c r="AF103" s="1" t="s">
        <v>2259</v>
      </c>
      <c r="AG103" s="1" t="s">
        <v>2097</v>
      </c>
      <c r="AH103" s="1" t="s">
        <v>82</v>
      </c>
      <c r="AI103" s="1" t="s">
        <v>82</v>
      </c>
      <c r="AJ103" s="1" t="s">
        <v>2260</v>
      </c>
      <c r="AK103" s="1" t="s">
        <v>2261</v>
      </c>
      <c r="AL103" s="1" t="s">
        <v>2262</v>
      </c>
      <c r="AM103" s="1" t="s">
        <v>82</v>
      </c>
      <c r="AN103" s="1">
        <v>73</v>
      </c>
      <c r="AO103" s="1">
        <v>1</v>
      </c>
      <c r="AP103" s="1">
        <v>1</v>
      </c>
      <c r="AQ103" s="1">
        <v>6</v>
      </c>
      <c r="AR103" s="1">
        <v>6</v>
      </c>
      <c r="AS103" s="1" t="s">
        <v>479</v>
      </c>
      <c r="AT103" s="1" t="s">
        <v>480</v>
      </c>
      <c r="AU103" s="1" t="s">
        <v>481</v>
      </c>
      <c r="AV103" s="1" t="s">
        <v>2263</v>
      </c>
      <c r="AW103" s="1" t="s">
        <v>2264</v>
      </c>
      <c r="AX103" s="1" t="s">
        <v>82</v>
      </c>
      <c r="AY103" s="1" t="s">
        <v>2253</v>
      </c>
      <c r="AZ103" s="1" t="s">
        <v>2265</v>
      </c>
      <c r="BA103" s="1" t="s">
        <v>1193</v>
      </c>
      <c r="BB103" s="1">
        <v>2022</v>
      </c>
      <c r="BC103" s="1">
        <v>428</v>
      </c>
      <c r="BD103" s="1" t="s">
        <v>82</v>
      </c>
      <c r="BE103" s="1" t="s">
        <v>82</v>
      </c>
      <c r="BF103" s="1" t="s">
        <v>82</v>
      </c>
      <c r="BG103" s="1" t="s">
        <v>82</v>
      </c>
      <c r="BH103" s="1" t="s">
        <v>82</v>
      </c>
      <c r="BI103" s="1" t="s">
        <v>82</v>
      </c>
      <c r="BJ103" s="1" t="s">
        <v>82</v>
      </c>
      <c r="BK103" s="1">
        <v>116160</v>
      </c>
      <c r="BL103" s="1" t="s">
        <v>2266</v>
      </c>
      <c r="BM103" s="1" t="str">
        <f>HYPERLINK("http://dx.doi.org/10.1016/j.geoderma.2022.116160","http://dx.doi.org/10.1016/j.geoderma.2022.116160")</f>
        <v>http://dx.doi.org/10.1016/j.geoderma.2022.116160</v>
      </c>
      <c r="BN103" s="1" t="s">
        <v>82</v>
      </c>
      <c r="BO103" s="1" t="s">
        <v>82</v>
      </c>
      <c r="BP103" s="1">
        <v>9</v>
      </c>
      <c r="BQ103" s="1" t="s">
        <v>1880</v>
      </c>
      <c r="BR103" s="1" t="s">
        <v>104</v>
      </c>
      <c r="BS103" s="1" t="s">
        <v>1881</v>
      </c>
      <c r="BT103" s="1" t="s">
        <v>2267</v>
      </c>
      <c r="BU103" s="1" t="s">
        <v>82</v>
      </c>
      <c r="BV103" s="1" t="s">
        <v>268</v>
      </c>
      <c r="BW103" s="1" t="s">
        <v>82</v>
      </c>
      <c r="BX103" s="1" t="s">
        <v>82</v>
      </c>
      <c r="BY103" s="1" t="s">
        <v>108</v>
      </c>
      <c r="BZ103" s="1" t="s">
        <v>2268</v>
      </c>
      <c r="CA103" s="1" t="str">
        <f>HYPERLINK("https%3A%2F%2Fwww.webofscience.com%2Fwos%2Fwoscc%2Ffull-record%2FWOS:000887169200001","View Full Record in Web of Science")</f>
        <v>View Full Record in Web of Science</v>
      </c>
    </row>
    <row r="104" s="1" customFormat="1" ht="14.4" spans="1:79">
      <c r="A104">
        <v>103</v>
      </c>
      <c r="B104" s="2" t="s">
        <v>110</v>
      </c>
      <c r="C104" s="1" t="s">
        <v>80</v>
      </c>
      <c r="D104" s="1" t="s">
        <v>2269</v>
      </c>
      <c r="E104" s="1" t="s">
        <v>82</v>
      </c>
      <c r="F104" s="1" t="s">
        <v>82</v>
      </c>
      <c r="G104" s="1" t="s">
        <v>82</v>
      </c>
      <c r="H104" s="1" t="s">
        <v>2270</v>
      </c>
      <c r="I104" s="1" t="s">
        <v>82</v>
      </c>
      <c r="J104" s="1" t="s">
        <v>82</v>
      </c>
      <c r="K104" s="1" t="s">
        <v>2271</v>
      </c>
      <c r="L104" s="1" t="s">
        <v>2272</v>
      </c>
      <c r="M104" s="1">
        <v>7.419</v>
      </c>
      <c r="O104" s="1" t="s">
        <v>82</v>
      </c>
      <c r="P104" s="1" t="s">
        <v>82</v>
      </c>
      <c r="Q104" s="1" t="s">
        <v>87</v>
      </c>
      <c r="R104" s="1" t="s">
        <v>115</v>
      </c>
      <c r="S104" s="1" t="s">
        <v>82</v>
      </c>
      <c r="T104" s="1" t="s">
        <v>82</v>
      </c>
      <c r="U104" s="1" t="s">
        <v>82</v>
      </c>
      <c r="V104" s="1" t="s">
        <v>82</v>
      </c>
      <c r="W104" s="1" t="s">
        <v>82</v>
      </c>
      <c r="X104" s="1" t="s">
        <v>2273</v>
      </c>
      <c r="Y104" s="1" t="s">
        <v>2274</v>
      </c>
      <c r="Z104" s="1" t="s">
        <v>2275</v>
      </c>
      <c r="AB104" s="1" t="s">
        <v>2276</v>
      </c>
      <c r="AC104" s="1" t="s">
        <v>2277</v>
      </c>
      <c r="AD104" s="1" t="s">
        <v>120</v>
      </c>
      <c r="AE104" s="1" t="s">
        <v>1650</v>
      </c>
      <c r="AF104" s="1" t="s">
        <v>2278</v>
      </c>
      <c r="AG104" s="1" t="s">
        <v>2279</v>
      </c>
      <c r="AH104" s="1" t="s">
        <v>82</v>
      </c>
      <c r="AI104" s="1" t="s">
        <v>82</v>
      </c>
      <c r="AJ104" s="1" t="s">
        <v>2280</v>
      </c>
      <c r="AK104" s="1" t="s">
        <v>2281</v>
      </c>
      <c r="AL104" s="1" t="s">
        <v>2282</v>
      </c>
      <c r="AM104" s="1" t="s">
        <v>82</v>
      </c>
      <c r="AN104" s="1">
        <v>42</v>
      </c>
      <c r="AO104" s="1">
        <v>1</v>
      </c>
      <c r="AP104" s="1">
        <v>1</v>
      </c>
      <c r="AQ104" s="1">
        <v>15</v>
      </c>
      <c r="AR104" s="1">
        <v>34</v>
      </c>
      <c r="AS104" s="1" t="s">
        <v>2283</v>
      </c>
      <c r="AT104" s="1" t="s">
        <v>2284</v>
      </c>
      <c r="AU104" s="1" t="s">
        <v>2285</v>
      </c>
      <c r="AV104" s="1" t="s">
        <v>2286</v>
      </c>
      <c r="AW104" s="1" t="s">
        <v>2287</v>
      </c>
      <c r="AX104" s="1" t="s">
        <v>82</v>
      </c>
      <c r="AY104" s="1" t="s">
        <v>2288</v>
      </c>
      <c r="AZ104" s="1" t="s">
        <v>2289</v>
      </c>
      <c r="BA104" s="1" t="s">
        <v>657</v>
      </c>
      <c r="BB104" s="1">
        <v>2022</v>
      </c>
      <c r="BC104" s="1">
        <v>148</v>
      </c>
      <c r="BD104" s="1" t="s">
        <v>82</v>
      </c>
      <c r="BE104" s="1" t="s">
        <v>82</v>
      </c>
      <c r="BF104" s="1" t="s">
        <v>82</v>
      </c>
      <c r="BG104" s="1" t="s">
        <v>82</v>
      </c>
      <c r="BH104" s="1" t="s">
        <v>82</v>
      </c>
      <c r="BI104" s="1" t="s">
        <v>82</v>
      </c>
      <c r="BJ104" s="1" t="s">
        <v>82</v>
      </c>
      <c r="BK104" s="1">
        <v>112758</v>
      </c>
      <c r="BL104" s="1" t="s">
        <v>2290</v>
      </c>
      <c r="BM104" s="1" t="str">
        <f>HYPERLINK("http://dx.doi.org/10.1016/j.biopha.2022.112758","http://dx.doi.org/10.1016/j.biopha.2022.112758")</f>
        <v>http://dx.doi.org/10.1016/j.biopha.2022.112758</v>
      </c>
      <c r="BN104" s="1" t="s">
        <v>82</v>
      </c>
      <c r="BO104" s="1" t="s">
        <v>296</v>
      </c>
      <c r="BP104" s="1">
        <v>10</v>
      </c>
      <c r="BQ104" s="1" t="s">
        <v>2291</v>
      </c>
      <c r="BR104" s="1" t="s">
        <v>104</v>
      </c>
      <c r="BS104" s="1" t="s">
        <v>2292</v>
      </c>
      <c r="BT104" s="1" t="s">
        <v>2293</v>
      </c>
      <c r="BU104" s="1">
        <v>35240520</v>
      </c>
      <c r="BV104" s="1" t="s">
        <v>808</v>
      </c>
      <c r="BW104" s="1" t="s">
        <v>82</v>
      </c>
      <c r="BX104" s="1" t="s">
        <v>82</v>
      </c>
      <c r="BY104" s="1" t="s">
        <v>108</v>
      </c>
      <c r="BZ104" s="1" t="s">
        <v>2294</v>
      </c>
      <c r="CA104" s="1" t="str">
        <f>HYPERLINK("https%3A%2F%2Fwww.webofscience.com%2Fwos%2Fwoscc%2Ffull-record%2FWOS:000819837400003","View Full Record in Web of Science")</f>
        <v>View Full Record in Web of Science</v>
      </c>
    </row>
    <row r="105" s="1" customFormat="1" ht="14.4" spans="1:79">
      <c r="A105">
        <v>104</v>
      </c>
      <c r="B105" s="2" t="s">
        <v>79</v>
      </c>
      <c r="C105" s="1" t="s">
        <v>80</v>
      </c>
      <c r="D105" s="1" t="s">
        <v>2295</v>
      </c>
      <c r="E105" s="1" t="s">
        <v>82</v>
      </c>
      <c r="F105" s="1" t="s">
        <v>82</v>
      </c>
      <c r="G105" s="1" t="s">
        <v>82</v>
      </c>
      <c r="H105" s="1" t="s">
        <v>2296</v>
      </c>
      <c r="I105" s="1" t="s">
        <v>82</v>
      </c>
      <c r="J105" s="1" t="s">
        <v>82</v>
      </c>
      <c r="K105" s="1" t="s">
        <v>2297</v>
      </c>
      <c r="L105" s="1" t="s">
        <v>2298</v>
      </c>
      <c r="M105" s="1">
        <v>7.364</v>
      </c>
      <c r="O105" s="1" t="s">
        <v>82</v>
      </c>
      <c r="P105" s="1" t="s">
        <v>82</v>
      </c>
      <c r="Q105" s="1" t="s">
        <v>87</v>
      </c>
      <c r="R105" s="1" t="s">
        <v>115</v>
      </c>
      <c r="S105" s="1" t="s">
        <v>82</v>
      </c>
      <c r="T105" s="1" t="s">
        <v>82</v>
      </c>
      <c r="U105" s="1" t="s">
        <v>82</v>
      </c>
      <c r="V105" s="1" t="s">
        <v>82</v>
      </c>
      <c r="W105" s="1" t="s">
        <v>82</v>
      </c>
      <c r="X105" s="1" t="s">
        <v>2299</v>
      </c>
      <c r="Y105" s="1" t="s">
        <v>2300</v>
      </c>
      <c r="Z105" s="1" t="s">
        <v>2301</v>
      </c>
      <c r="AA105" s="1">
        <v>1</v>
      </c>
      <c r="AB105" s="1" t="s">
        <v>2302</v>
      </c>
      <c r="AC105" s="1" t="s">
        <v>2303</v>
      </c>
      <c r="AD105" s="1" t="s">
        <v>93</v>
      </c>
      <c r="AE105" s="1" t="s">
        <v>2304</v>
      </c>
      <c r="AF105" s="1" t="s">
        <v>2305</v>
      </c>
      <c r="AG105" s="1" t="s">
        <v>2306</v>
      </c>
      <c r="AH105" s="1" t="s">
        <v>2307</v>
      </c>
      <c r="AI105" s="1" t="s">
        <v>2308</v>
      </c>
      <c r="AJ105" s="1" t="s">
        <v>2309</v>
      </c>
      <c r="AK105" s="1" t="s">
        <v>2310</v>
      </c>
      <c r="AL105" s="1" t="s">
        <v>2311</v>
      </c>
      <c r="AM105" s="1" t="s">
        <v>82</v>
      </c>
      <c r="AN105" s="1">
        <v>82</v>
      </c>
      <c r="AO105" s="1">
        <v>0</v>
      </c>
      <c r="AP105" s="1">
        <v>0</v>
      </c>
      <c r="AQ105" s="1">
        <v>4</v>
      </c>
      <c r="AR105" s="1">
        <v>19</v>
      </c>
      <c r="AS105" s="1" t="s">
        <v>563</v>
      </c>
      <c r="AT105" s="1" t="s">
        <v>371</v>
      </c>
      <c r="AU105" s="1" t="s">
        <v>564</v>
      </c>
      <c r="AV105" s="1" t="s">
        <v>82</v>
      </c>
      <c r="AW105" s="1" t="s">
        <v>2312</v>
      </c>
      <c r="AX105" s="1" t="s">
        <v>82</v>
      </c>
      <c r="AY105" s="1" t="s">
        <v>2313</v>
      </c>
      <c r="AZ105" s="1" t="s">
        <v>2314</v>
      </c>
      <c r="BA105" s="1" t="s">
        <v>2315</v>
      </c>
      <c r="BB105" s="1">
        <v>2022</v>
      </c>
      <c r="BC105" s="1">
        <v>20</v>
      </c>
      <c r="BD105" s="1">
        <v>1</v>
      </c>
      <c r="BE105" s="1" t="s">
        <v>82</v>
      </c>
      <c r="BF105" s="1" t="s">
        <v>82</v>
      </c>
      <c r="BG105" s="1" t="s">
        <v>82</v>
      </c>
      <c r="BH105" s="1" t="s">
        <v>82</v>
      </c>
      <c r="BI105" s="1" t="s">
        <v>82</v>
      </c>
      <c r="BJ105" s="1" t="s">
        <v>82</v>
      </c>
      <c r="BK105" s="1">
        <v>57</v>
      </c>
      <c r="BL105" s="1" t="s">
        <v>2316</v>
      </c>
      <c r="BM105" s="1" t="str">
        <f>HYPERLINK("http://dx.doi.org/10.1186/s12915-022-01259-6","http://dx.doi.org/10.1186/s12915-022-01259-6")</f>
        <v>http://dx.doi.org/10.1186/s12915-022-01259-6</v>
      </c>
      <c r="BN105" s="1" t="s">
        <v>82</v>
      </c>
      <c r="BO105" s="1" t="s">
        <v>82</v>
      </c>
      <c r="BP105" s="1">
        <v>18</v>
      </c>
      <c r="BQ105" s="1" t="s">
        <v>2317</v>
      </c>
      <c r="BR105" s="1" t="s">
        <v>104</v>
      </c>
      <c r="BS105" s="1" t="s">
        <v>2318</v>
      </c>
      <c r="BT105" s="1" t="s">
        <v>2319</v>
      </c>
      <c r="BU105" s="1">
        <v>35227267</v>
      </c>
      <c r="BV105" s="1" t="s">
        <v>635</v>
      </c>
      <c r="BW105" s="1" t="s">
        <v>82</v>
      </c>
      <c r="BX105" s="1" t="s">
        <v>82</v>
      </c>
      <c r="BY105" s="1" t="s">
        <v>108</v>
      </c>
      <c r="BZ105" s="1" t="s">
        <v>2320</v>
      </c>
      <c r="CA105" s="1" t="str">
        <f>HYPERLINK("https%3A%2F%2Fwww.webofscience.com%2Fwos%2Fwoscc%2Ffull-record%2FWOS:000762413400002","View Full Record in Web of Science")</f>
        <v>View Full Record in Web of Science</v>
      </c>
    </row>
    <row r="106" s="1" customFormat="1" ht="14.4" spans="1:79">
      <c r="A106">
        <v>105</v>
      </c>
      <c r="B106" s="2" t="s">
        <v>79</v>
      </c>
      <c r="C106" s="1" t="s">
        <v>80</v>
      </c>
      <c r="D106" s="1" t="s">
        <v>2321</v>
      </c>
      <c r="E106" s="1" t="s">
        <v>82</v>
      </c>
      <c r="F106" s="1" t="s">
        <v>82</v>
      </c>
      <c r="G106" s="1" t="s">
        <v>82</v>
      </c>
      <c r="H106" s="1" t="s">
        <v>2322</v>
      </c>
      <c r="I106" s="1" t="s">
        <v>82</v>
      </c>
      <c r="J106" s="1" t="s">
        <v>82</v>
      </c>
      <c r="K106" s="1" t="s">
        <v>2323</v>
      </c>
      <c r="L106" s="1" t="s">
        <v>2324</v>
      </c>
      <c r="M106" s="1">
        <v>7.298</v>
      </c>
      <c r="O106" s="1" t="s">
        <v>82</v>
      </c>
      <c r="P106" s="1" t="s">
        <v>82</v>
      </c>
      <c r="Q106" s="1" t="s">
        <v>87</v>
      </c>
      <c r="R106" s="1" t="s">
        <v>1624</v>
      </c>
      <c r="S106" s="1" t="s">
        <v>82</v>
      </c>
      <c r="T106" s="1" t="s">
        <v>82</v>
      </c>
      <c r="U106" s="1" t="s">
        <v>82</v>
      </c>
      <c r="V106" s="1" t="s">
        <v>82</v>
      </c>
      <c r="W106" s="1" t="s">
        <v>82</v>
      </c>
      <c r="X106" s="1" t="s">
        <v>2325</v>
      </c>
      <c r="Y106" s="1" t="s">
        <v>2326</v>
      </c>
      <c r="Z106" s="1" t="s">
        <v>2327</v>
      </c>
      <c r="AB106" s="1" t="s">
        <v>2328</v>
      </c>
      <c r="AC106" s="1" t="s">
        <v>2329</v>
      </c>
      <c r="AD106" s="1" t="s">
        <v>206</v>
      </c>
      <c r="AE106" s="1" t="s">
        <v>2330</v>
      </c>
      <c r="AF106" s="1" t="s">
        <v>2331</v>
      </c>
      <c r="AG106" s="1" t="s">
        <v>2332</v>
      </c>
      <c r="AH106" s="1" t="s">
        <v>82</v>
      </c>
      <c r="AI106" s="1" t="s">
        <v>82</v>
      </c>
      <c r="AJ106" s="1" t="s">
        <v>2333</v>
      </c>
      <c r="AK106" s="1" t="s">
        <v>2334</v>
      </c>
      <c r="AL106" s="1" t="s">
        <v>2335</v>
      </c>
      <c r="AM106" s="1" t="s">
        <v>82</v>
      </c>
      <c r="AN106" s="1">
        <v>71</v>
      </c>
      <c r="AO106" s="1">
        <v>0</v>
      </c>
      <c r="AP106" s="1">
        <v>0</v>
      </c>
      <c r="AQ106" s="1">
        <v>5</v>
      </c>
      <c r="AR106" s="1">
        <v>5</v>
      </c>
      <c r="AS106" s="1" t="s">
        <v>328</v>
      </c>
      <c r="AT106" s="1" t="s">
        <v>329</v>
      </c>
      <c r="AU106" s="1" t="s">
        <v>330</v>
      </c>
      <c r="AV106" s="1" t="s">
        <v>2336</v>
      </c>
      <c r="AW106" s="1" t="s">
        <v>2337</v>
      </c>
      <c r="AX106" s="1" t="s">
        <v>82</v>
      </c>
      <c r="AY106" s="1" t="s">
        <v>2338</v>
      </c>
      <c r="AZ106" s="1" t="s">
        <v>2339</v>
      </c>
      <c r="BA106" s="1" t="s">
        <v>82</v>
      </c>
      <c r="BB106" s="1" t="s">
        <v>82</v>
      </c>
      <c r="BC106" s="1" t="s">
        <v>82</v>
      </c>
      <c r="BD106" s="1" t="s">
        <v>82</v>
      </c>
      <c r="BE106" s="1" t="s">
        <v>82</v>
      </c>
      <c r="BF106" s="1" t="s">
        <v>82</v>
      </c>
      <c r="BG106" s="1" t="s">
        <v>82</v>
      </c>
      <c r="BH106" s="1" t="s">
        <v>82</v>
      </c>
      <c r="BI106" s="1" t="s">
        <v>82</v>
      </c>
      <c r="BJ106" s="1" t="s">
        <v>82</v>
      </c>
      <c r="BK106" s="1" t="s">
        <v>82</v>
      </c>
      <c r="BL106" s="1" t="s">
        <v>2340</v>
      </c>
      <c r="BM106" s="1" t="str">
        <f>HYPERLINK("http://dx.doi.org/10.1093/jxb/erac479","http://dx.doi.org/10.1093/jxb/erac479")</f>
        <v>http://dx.doi.org/10.1093/jxb/erac479</v>
      </c>
      <c r="BN106" s="1" t="s">
        <v>82</v>
      </c>
      <c r="BO106" s="1" t="s">
        <v>1618</v>
      </c>
      <c r="BP106" s="1">
        <v>17</v>
      </c>
      <c r="BQ106" s="1" t="s">
        <v>378</v>
      </c>
      <c r="BR106" s="1" t="s">
        <v>104</v>
      </c>
      <c r="BS106" s="1" t="s">
        <v>378</v>
      </c>
      <c r="BT106" s="1" t="s">
        <v>2341</v>
      </c>
      <c r="BU106" s="1">
        <v>36462194</v>
      </c>
      <c r="BV106" s="1" t="s">
        <v>82</v>
      </c>
      <c r="BW106" s="1" t="s">
        <v>82</v>
      </c>
      <c r="BX106" s="1" t="s">
        <v>82</v>
      </c>
      <c r="BY106" s="1" t="s">
        <v>108</v>
      </c>
      <c r="BZ106" s="1" t="s">
        <v>2342</v>
      </c>
      <c r="CA106" s="1" t="str">
        <f>HYPERLINK("https%3A%2F%2Fwww.webofscience.com%2Fwos%2Fwoscc%2Ffull-record%2FWOS:000905791200001","View Full Record in Web of Science")</f>
        <v>View Full Record in Web of Science</v>
      </c>
    </row>
    <row r="107" s="1" customFormat="1" ht="14.4" spans="1:79">
      <c r="A107">
        <v>106</v>
      </c>
      <c r="B107" s="2" t="s">
        <v>79</v>
      </c>
      <c r="C107" s="1" t="s">
        <v>80</v>
      </c>
      <c r="D107" s="1" t="s">
        <v>2343</v>
      </c>
      <c r="E107" s="1" t="s">
        <v>82</v>
      </c>
      <c r="F107" s="1" t="s">
        <v>82</v>
      </c>
      <c r="G107" s="1" t="s">
        <v>82</v>
      </c>
      <c r="H107" s="1" t="s">
        <v>2344</v>
      </c>
      <c r="I107" s="1" t="s">
        <v>82</v>
      </c>
      <c r="J107" s="1" t="s">
        <v>82</v>
      </c>
      <c r="K107" s="1" t="s">
        <v>2345</v>
      </c>
      <c r="L107" s="1" t="s">
        <v>2324</v>
      </c>
      <c r="M107" s="1">
        <v>7.298</v>
      </c>
      <c r="O107" s="1" t="s">
        <v>82</v>
      </c>
      <c r="P107" s="1" t="s">
        <v>82</v>
      </c>
      <c r="Q107" s="1" t="s">
        <v>87</v>
      </c>
      <c r="R107" s="1" t="s">
        <v>115</v>
      </c>
      <c r="S107" s="1" t="s">
        <v>82</v>
      </c>
      <c r="T107" s="1" t="s">
        <v>82</v>
      </c>
      <c r="U107" s="1" t="s">
        <v>82</v>
      </c>
      <c r="V107" s="1" t="s">
        <v>82</v>
      </c>
      <c r="W107" s="1" t="s">
        <v>82</v>
      </c>
      <c r="X107" s="1" t="s">
        <v>2346</v>
      </c>
      <c r="Y107" s="1" t="s">
        <v>2347</v>
      </c>
      <c r="Z107" s="1" t="s">
        <v>2348</v>
      </c>
      <c r="AA107" s="1">
        <v>1</v>
      </c>
      <c r="AB107" s="1" t="s">
        <v>2349</v>
      </c>
      <c r="AC107" s="1" t="s">
        <v>2350</v>
      </c>
      <c r="AD107" s="1" t="s">
        <v>93</v>
      </c>
      <c r="AE107" s="1" t="s">
        <v>2351</v>
      </c>
      <c r="AF107" s="1" t="s">
        <v>2352</v>
      </c>
      <c r="AG107" s="1" t="s">
        <v>412</v>
      </c>
      <c r="AH107" s="1" t="s">
        <v>413</v>
      </c>
      <c r="AI107" s="1" t="s">
        <v>2353</v>
      </c>
      <c r="AJ107" s="1" t="s">
        <v>2354</v>
      </c>
      <c r="AK107" s="1" t="s">
        <v>2355</v>
      </c>
      <c r="AL107" s="1" t="s">
        <v>2356</v>
      </c>
      <c r="AM107" s="1" t="s">
        <v>82</v>
      </c>
      <c r="AN107" s="1">
        <v>53</v>
      </c>
      <c r="AO107" s="1">
        <v>1</v>
      </c>
      <c r="AP107" s="1">
        <v>1</v>
      </c>
      <c r="AQ107" s="1">
        <v>15</v>
      </c>
      <c r="AR107" s="1">
        <v>15</v>
      </c>
      <c r="AS107" s="1" t="s">
        <v>328</v>
      </c>
      <c r="AT107" s="1" t="s">
        <v>329</v>
      </c>
      <c r="AU107" s="1" t="s">
        <v>330</v>
      </c>
      <c r="AV107" s="1" t="s">
        <v>2336</v>
      </c>
      <c r="AW107" s="1" t="s">
        <v>2337</v>
      </c>
      <c r="AX107" s="1" t="s">
        <v>82</v>
      </c>
      <c r="AY107" s="1" t="s">
        <v>2338</v>
      </c>
      <c r="AZ107" s="1" t="s">
        <v>2339</v>
      </c>
      <c r="BA107" s="1" t="s">
        <v>2357</v>
      </c>
      <c r="BB107" s="1">
        <v>2022</v>
      </c>
      <c r="BC107" s="1">
        <v>73</v>
      </c>
      <c r="BD107" s="1">
        <v>22</v>
      </c>
      <c r="BE107" s="1" t="s">
        <v>82</v>
      </c>
      <c r="BF107" s="1" t="s">
        <v>82</v>
      </c>
      <c r="BG107" s="1" t="s">
        <v>82</v>
      </c>
      <c r="BH107" s="1" t="s">
        <v>82</v>
      </c>
      <c r="BI107" s="1">
        <v>7611</v>
      </c>
      <c r="BJ107" s="1">
        <v>7627</v>
      </c>
      <c r="BK107" s="1" t="s">
        <v>82</v>
      </c>
      <c r="BL107" s="1" t="s">
        <v>2358</v>
      </c>
      <c r="BM107" s="1" t="str">
        <f>HYPERLINK("http://dx.doi.org/10.1093/jxb/erac399","http://dx.doi.org/10.1093/jxb/erac399")</f>
        <v>http://dx.doi.org/10.1093/jxb/erac399</v>
      </c>
      <c r="BN107" s="1" t="s">
        <v>82</v>
      </c>
      <c r="BO107" s="1" t="s">
        <v>2084</v>
      </c>
      <c r="BP107" s="1">
        <v>17</v>
      </c>
      <c r="BQ107" s="1" t="s">
        <v>378</v>
      </c>
      <c r="BR107" s="1" t="s">
        <v>104</v>
      </c>
      <c r="BS107" s="1" t="s">
        <v>378</v>
      </c>
      <c r="BT107" s="1" t="s">
        <v>2359</v>
      </c>
      <c r="BU107" s="1">
        <v>36214841</v>
      </c>
      <c r="BV107" s="1" t="s">
        <v>1124</v>
      </c>
      <c r="BW107" s="1" t="s">
        <v>82</v>
      </c>
      <c r="BX107" s="1" t="s">
        <v>82</v>
      </c>
      <c r="BY107" s="1" t="s">
        <v>108</v>
      </c>
      <c r="BZ107" s="1" t="s">
        <v>2360</v>
      </c>
      <c r="CA107" s="1" t="str">
        <f>HYPERLINK("https%3A%2F%2Fwww.webofscience.com%2Fwos%2Fwoscc%2Ffull-record%2FWOS:000879103500001","View Full Record in Web of Science")</f>
        <v>View Full Record in Web of Science</v>
      </c>
    </row>
    <row r="108" s="1" customFormat="1" ht="14.4" spans="1:79">
      <c r="A108">
        <v>107</v>
      </c>
      <c r="B108" s="2" t="s">
        <v>79</v>
      </c>
      <c r="C108" s="1" t="s">
        <v>80</v>
      </c>
      <c r="D108" s="1" t="s">
        <v>2361</v>
      </c>
      <c r="E108" s="1" t="s">
        <v>82</v>
      </c>
      <c r="F108" s="1" t="s">
        <v>82</v>
      </c>
      <c r="G108" s="1" t="s">
        <v>82</v>
      </c>
      <c r="H108" s="1" t="s">
        <v>2362</v>
      </c>
      <c r="I108" s="1" t="s">
        <v>82</v>
      </c>
      <c r="J108" s="1" t="s">
        <v>82</v>
      </c>
      <c r="K108" s="1" t="s">
        <v>2363</v>
      </c>
      <c r="L108" s="1" t="s">
        <v>2324</v>
      </c>
      <c r="M108" s="1">
        <v>7.298</v>
      </c>
      <c r="O108" s="1" t="s">
        <v>82</v>
      </c>
      <c r="P108" s="1" t="s">
        <v>82</v>
      </c>
      <c r="Q108" s="1" t="s">
        <v>87</v>
      </c>
      <c r="R108" s="1" t="s">
        <v>115</v>
      </c>
      <c r="S108" s="1" t="s">
        <v>82</v>
      </c>
      <c r="T108" s="1" t="s">
        <v>82</v>
      </c>
      <c r="U108" s="1" t="s">
        <v>82</v>
      </c>
      <c r="V108" s="1" t="s">
        <v>82</v>
      </c>
      <c r="W108" s="1" t="s">
        <v>82</v>
      </c>
      <c r="X108" s="1" t="s">
        <v>2364</v>
      </c>
      <c r="Y108" s="1" t="s">
        <v>2365</v>
      </c>
      <c r="Z108" s="1" t="s">
        <v>2366</v>
      </c>
      <c r="AB108" s="1" t="s">
        <v>2367</v>
      </c>
      <c r="AC108" s="1" t="s">
        <v>2368</v>
      </c>
      <c r="AD108" s="1" t="s">
        <v>120</v>
      </c>
      <c r="AE108" s="1" t="s">
        <v>2369</v>
      </c>
      <c r="AF108" s="1" t="s">
        <v>2370</v>
      </c>
      <c r="AG108" s="1" t="s">
        <v>2371</v>
      </c>
      <c r="AH108" s="1" t="s">
        <v>2372</v>
      </c>
      <c r="AI108" s="1" t="s">
        <v>82</v>
      </c>
      <c r="AJ108" s="1" t="s">
        <v>2373</v>
      </c>
      <c r="AK108" s="1" t="s">
        <v>2374</v>
      </c>
      <c r="AL108" s="1" t="s">
        <v>2375</v>
      </c>
      <c r="AM108" s="1" t="s">
        <v>82</v>
      </c>
      <c r="AN108" s="1">
        <v>45</v>
      </c>
      <c r="AO108" s="1">
        <v>7</v>
      </c>
      <c r="AP108" s="1">
        <v>8</v>
      </c>
      <c r="AQ108" s="1">
        <v>12</v>
      </c>
      <c r="AR108" s="1">
        <v>24</v>
      </c>
      <c r="AS108" s="1" t="s">
        <v>328</v>
      </c>
      <c r="AT108" s="1" t="s">
        <v>329</v>
      </c>
      <c r="AU108" s="1" t="s">
        <v>330</v>
      </c>
      <c r="AV108" s="1" t="s">
        <v>2336</v>
      </c>
      <c r="AW108" s="1" t="s">
        <v>2337</v>
      </c>
      <c r="AX108" s="1" t="s">
        <v>82</v>
      </c>
      <c r="AY108" s="1" t="s">
        <v>2338</v>
      </c>
      <c r="AZ108" s="1" t="s">
        <v>2339</v>
      </c>
      <c r="BA108" s="1" t="s">
        <v>1826</v>
      </c>
      <c r="BB108" s="1">
        <v>2022</v>
      </c>
      <c r="BC108" s="1">
        <v>73</v>
      </c>
      <c r="BD108" s="1">
        <v>1</v>
      </c>
      <c r="BE108" s="1" t="s">
        <v>82</v>
      </c>
      <c r="BF108" s="1" t="s">
        <v>82</v>
      </c>
      <c r="BG108" s="1" t="s">
        <v>82</v>
      </c>
      <c r="BH108" s="1" t="s">
        <v>82</v>
      </c>
      <c r="BI108" s="1">
        <v>182</v>
      </c>
      <c r="BJ108" s="1">
        <v>196</v>
      </c>
      <c r="BK108" s="1" t="s">
        <v>82</v>
      </c>
      <c r="BL108" s="1" t="s">
        <v>2376</v>
      </c>
      <c r="BM108" s="1" t="str">
        <f>HYPERLINK("http://dx.doi.org/10.1093/jxb/erab391","http://dx.doi.org/10.1093/jxb/erab391")</f>
        <v>http://dx.doi.org/10.1093/jxb/erab391</v>
      </c>
      <c r="BN108" s="1" t="s">
        <v>82</v>
      </c>
      <c r="BO108" s="1" t="s">
        <v>1828</v>
      </c>
      <c r="BP108" s="1">
        <v>15</v>
      </c>
      <c r="BQ108" s="1" t="s">
        <v>378</v>
      </c>
      <c r="BR108" s="1" t="s">
        <v>104</v>
      </c>
      <c r="BS108" s="1" t="s">
        <v>378</v>
      </c>
      <c r="BT108" s="1" t="s">
        <v>2377</v>
      </c>
      <c r="BU108" s="1">
        <v>34435636</v>
      </c>
      <c r="BV108" s="1" t="s">
        <v>1124</v>
      </c>
      <c r="BW108" s="1" t="s">
        <v>82</v>
      </c>
      <c r="BX108" s="1" t="s">
        <v>82</v>
      </c>
      <c r="BY108" s="1" t="s">
        <v>108</v>
      </c>
      <c r="BZ108" s="1" t="s">
        <v>2378</v>
      </c>
      <c r="CA108" s="1" t="str">
        <f>HYPERLINK("https%3A%2F%2Fwww.webofscience.com%2Fwos%2Fwoscc%2Ffull-record%2FWOS:000747681600016","View Full Record in Web of Science")</f>
        <v>View Full Record in Web of Science</v>
      </c>
    </row>
    <row r="109" s="1" customFormat="1" ht="14.4" spans="1:79">
      <c r="A109">
        <v>108</v>
      </c>
      <c r="B109" s="2" t="s">
        <v>79</v>
      </c>
      <c r="C109" s="1" t="s">
        <v>80</v>
      </c>
      <c r="D109" s="1" t="s">
        <v>2379</v>
      </c>
      <c r="E109" s="1" t="s">
        <v>82</v>
      </c>
      <c r="F109" s="1" t="s">
        <v>82</v>
      </c>
      <c r="G109" s="1" t="s">
        <v>82</v>
      </c>
      <c r="H109" s="1" t="s">
        <v>2380</v>
      </c>
      <c r="I109" s="1" t="s">
        <v>82</v>
      </c>
      <c r="J109" s="1" t="s">
        <v>82</v>
      </c>
      <c r="K109" s="1" t="s">
        <v>2381</v>
      </c>
      <c r="L109" s="1" t="s">
        <v>2382</v>
      </c>
      <c r="M109" s="1">
        <v>7.291</v>
      </c>
      <c r="O109" s="1" t="s">
        <v>82</v>
      </c>
      <c r="P109" s="1" t="s">
        <v>82</v>
      </c>
      <c r="Q109" s="1" t="s">
        <v>87</v>
      </c>
      <c r="R109" s="1" t="s">
        <v>2383</v>
      </c>
      <c r="S109" s="1" t="s">
        <v>82</v>
      </c>
      <c r="T109" s="1" t="s">
        <v>82</v>
      </c>
      <c r="U109" s="1" t="s">
        <v>82</v>
      </c>
      <c r="V109" s="1" t="s">
        <v>82</v>
      </c>
      <c r="W109" s="1" t="s">
        <v>82</v>
      </c>
      <c r="X109" s="1" t="s">
        <v>82</v>
      </c>
      <c r="Y109" s="1" t="s">
        <v>2384</v>
      </c>
      <c r="Z109" s="1" t="s">
        <v>82</v>
      </c>
      <c r="AA109" s="1">
        <v>1</v>
      </c>
      <c r="AB109" s="1" t="s">
        <v>2385</v>
      </c>
      <c r="AC109" s="1" t="s">
        <v>2386</v>
      </c>
      <c r="AD109" s="1" t="s">
        <v>93</v>
      </c>
      <c r="AE109" s="1" t="s">
        <v>1673</v>
      </c>
      <c r="AF109" s="1" t="s">
        <v>2387</v>
      </c>
      <c r="AG109" s="1" t="s">
        <v>2388</v>
      </c>
      <c r="AH109" s="1" t="s">
        <v>2389</v>
      </c>
      <c r="AI109" s="1" t="s">
        <v>82</v>
      </c>
      <c r="AJ109" s="1" t="s">
        <v>2390</v>
      </c>
      <c r="AK109" s="1" t="s">
        <v>2391</v>
      </c>
      <c r="AL109" s="1" t="s">
        <v>2392</v>
      </c>
      <c r="AM109" s="1" t="s">
        <v>82</v>
      </c>
      <c r="AN109" s="1">
        <v>10</v>
      </c>
      <c r="AO109" s="1">
        <v>0</v>
      </c>
      <c r="AP109" s="1">
        <v>0</v>
      </c>
      <c r="AQ109" s="1">
        <v>7</v>
      </c>
      <c r="AR109" s="1">
        <v>9</v>
      </c>
      <c r="AS109" s="1" t="s">
        <v>1068</v>
      </c>
      <c r="AT109" s="1" t="s">
        <v>1069</v>
      </c>
      <c r="AU109" s="1" t="s">
        <v>1070</v>
      </c>
      <c r="AV109" s="1" t="s">
        <v>2393</v>
      </c>
      <c r="AW109" s="1" t="s">
        <v>2394</v>
      </c>
      <c r="AX109" s="1" t="s">
        <v>82</v>
      </c>
      <c r="AY109" s="1" t="s">
        <v>2395</v>
      </c>
      <c r="AZ109" s="1" t="s">
        <v>2396</v>
      </c>
      <c r="BA109" s="1" t="s">
        <v>2397</v>
      </c>
      <c r="BB109" s="1">
        <v>2022</v>
      </c>
      <c r="BC109" s="1">
        <v>9</v>
      </c>
      <c r="BD109" s="1" t="s">
        <v>82</v>
      </c>
      <c r="BE109" s="1" t="s">
        <v>82</v>
      </c>
      <c r="BF109" s="1" t="s">
        <v>82</v>
      </c>
      <c r="BG109" s="1" t="s">
        <v>82</v>
      </c>
      <c r="BH109" s="1" t="s">
        <v>82</v>
      </c>
      <c r="BI109" s="1" t="s">
        <v>82</v>
      </c>
      <c r="BJ109" s="1" t="s">
        <v>82</v>
      </c>
      <c r="BK109" s="1" t="s">
        <v>2398</v>
      </c>
      <c r="BL109" s="1" t="s">
        <v>2399</v>
      </c>
      <c r="BM109" s="1" t="str">
        <f>HYPERLINK("http://dx.doi.org/10.1093/hr/uhac059","http://dx.doi.org/10.1093/hr/uhac059")</f>
        <v>http://dx.doi.org/10.1093/hr/uhac059</v>
      </c>
      <c r="BN109" s="1" t="s">
        <v>82</v>
      </c>
      <c r="BO109" s="1" t="s">
        <v>82</v>
      </c>
      <c r="BP109" s="1">
        <v>4</v>
      </c>
      <c r="BQ109" s="1" t="s">
        <v>2400</v>
      </c>
      <c r="BR109" s="1" t="s">
        <v>104</v>
      </c>
      <c r="BS109" s="1" t="s">
        <v>2401</v>
      </c>
      <c r="BT109" s="1" t="s">
        <v>2402</v>
      </c>
      <c r="BU109" s="1">
        <v>35591929</v>
      </c>
      <c r="BV109" s="1" t="s">
        <v>592</v>
      </c>
      <c r="BW109" s="1" t="s">
        <v>82</v>
      </c>
      <c r="BX109" s="1" t="s">
        <v>82</v>
      </c>
      <c r="BY109" s="1" t="s">
        <v>108</v>
      </c>
      <c r="BZ109" s="1" t="s">
        <v>2403</v>
      </c>
      <c r="CA109" s="1" t="str">
        <f>HYPERLINK("https%3A%2F%2Fwww.webofscience.com%2Fwos%2Fwoscc%2Ffull-record%2FWOS:000828691700039","View Full Record in Web of Science")</f>
        <v>View Full Record in Web of Science</v>
      </c>
    </row>
    <row r="110" s="1" customFormat="1" ht="14.4" spans="1:79">
      <c r="A110">
        <v>109</v>
      </c>
      <c r="B110" s="2" t="s">
        <v>79</v>
      </c>
      <c r="C110" s="1" t="s">
        <v>80</v>
      </c>
      <c r="D110" s="1" t="s">
        <v>2404</v>
      </c>
      <c r="E110" s="1" t="s">
        <v>82</v>
      </c>
      <c r="F110" s="1" t="s">
        <v>82</v>
      </c>
      <c r="G110" s="1" t="s">
        <v>82</v>
      </c>
      <c r="H110" s="1" t="s">
        <v>2405</v>
      </c>
      <c r="I110" s="1" t="s">
        <v>82</v>
      </c>
      <c r="J110" s="1" t="s">
        <v>82</v>
      </c>
      <c r="K110" s="1" t="s">
        <v>2406</v>
      </c>
      <c r="L110" s="1" t="s">
        <v>2382</v>
      </c>
      <c r="M110" s="1">
        <v>7.291</v>
      </c>
      <c r="O110" s="1" t="s">
        <v>82</v>
      </c>
      <c r="P110" s="1" t="s">
        <v>82</v>
      </c>
      <c r="Q110" s="1" t="s">
        <v>87</v>
      </c>
      <c r="R110" s="1" t="s">
        <v>115</v>
      </c>
      <c r="S110" s="1" t="s">
        <v>82</v>
      </c>
      <c r="T110" s="1" t="s">
        <v>82</v>
      </c>
      <c r="U110" s="1" t="s">
        <v>82</v>
      </c>
      <c r="V110" s="1" t="s">
        <v>82</v>
      </c>
      <c r="W110" s="1" t="s">
        <v>82</v>
      </c>
      <c r="X110" s="1" t="s">
        <v>82</v>
      </c>
      <c r="Y110" s="1" t="s">
        <v>2407</v>
      </c>
      <c r="Z110" s="1" t="s">
        <v>2408</v>
      </c>
      <c r="AA110" s="1">
        <v>1</v>
      </c>
      <c r="AB110" s="1" t="s">
        <v>2409</v>
      </c>
      <c r="AC110" s="1" t="s">
        <v>2410</v>
      </c>
      <c r="AD110" s="1" t="s">
        <v>93</v>
      </c>
      <c r="AE110" s="1" t="s">
        <v>2411</v>
      </c>
      <c r="AF110" s="1" t="s">
        <v>2412</v>
      </c>
      <c r="AG110" s="1" t="s">
        <v>2413</v>
      </c>
      <c r="AH110" s="1" t="s">
        <v>82</v>
      </c>
      <c r="AI110" s="1" t="s">
        <v>2414</v>
      </c>
      <c r="AJ110" s="1" t="s">
        <v>2415</v>
      </c>
      <c r="AK110" s="1" t="s">
        <v>2416</v>
      </c>
      <c r="AL110" s="1" t="s">
        <v>2417</v>
      </c>
      <c r="AM110" s="1" t="s">
        <v>82</v>
      </c>
      <c r="AN110" s="1">
        <v>85</v>
      </c>
      <c r="AO110" s="1">
        <v>1</v>
      </c>
      <c r="AP110" s="1">
        <v>1</v>
      </c>
      <c r="AQ110" s="1">
        <v>56</v>
      </c>
      <c r="AR110" s="1">
        <v>65</v>
      </c>
      <c r="AS110" s="1" t="s">
        <v>1068</v>
      </c>
      <c r="AT110" s="1" t="s">
        <v>1069</v>
      </c>
      <c r="AU110" s="1" t="s">
        <v>1070</v>
      </c>
      <c r="AV110" s="1" t="s">
        <v>2393</v>
      </c>
      <c r="AW110" s="1" t="s">
        <v>2394</v>
      </c>
      <c r="AX110" s="1" t="s">
        <v>82</v>
      </c>
      <c r="AY110" s="1" t="s">
        <v>2395</v>
      </c>
      <c r="AZ110" s="1" t="s">
        <v>2396</v>
      </c>
      <c r="BA110" s="1" t="s">
        <v>2397</v>
      </c>
      <c r="BB110" s="1">
        <v>2022</v>
      </c>
      <c r="BC110" s="1">
        <v>9</v>
      </c>
      <c r="BD110" s="1" t="s">
        <v>82</v>
      </c>
      <c r="BE110" s="1" t="s">
        <v>82</v>
      </c>
      <c r="BF110" s="1" t="s">
        <v>82</v>
      </c>
      <c r="BG110" s="1" t="s">
        <v>82</v>
      </c>
      <c r="BH110" s="1" t="s">
        <v>82</v>
      </c>
      <c r="BI110" s="1" t="s">
        <v>82</v>
      </c>
      <c r="BJ110" s="1" t="s">
        <v>82</v>
      </c>
      <c r="BK110" s="1" t="s">
        <v>2418</v>
      </c>
      <c r="BL110" s="1" t="s">
        <v>2419</v>
      </c>
      <c r="BM110" s="1" t="str">
        <f>HYPERLINK("http://dx.doi.org/10.1093/hr/uhac102","http://dx.doi.org/10.1093/hr/uhac102")</f>
        <v>http://dx.doi.org/10.1093/hr/uhac102</v>
      </c>
      <c r="BN110" s="1" t="s">
        <v>82</v>
      </c>
      <c r="BO110" s="1" t="s">
        <v>82</v>
      </c>
      <c r="BP110" s="1">
        <v>16</v>
      </c>
      <c r="BQ110" s="1" t="s">
        <v>2400</v>
      </c>
      <c r="BR110" s="1" t="s">
        <v>104</v>
      </c>
      <c r="BS110" s="1" t="s">
        <v>2401</v>
      </c>
      <c r="BT110" s="1" t="s">
        <v>2402</v>
      </c>
      <c r="BU110" s="1">
        <v>35795388</v>
      </c>
      <c r="BV110" s="1" t="s">
        <v>592</v>
      </c>
      <c r="BW110" s="1" t="s">
        <v>82</v>
      </c>
      <c r="BX110" s="1" t="s">
        <v>82</v>
      </c>
      <c r="BY110" s="1" t="s">
        <v>108</v>
      </c>
      <c r="BZ110" s="1" t="s">
        <v>2420</v>
      </c>
      <c r="CA110" s="1" t="str">
        <f>HYPERLINK("https%3A%2F%2Fwww.webofscience.com%2Fwos%2Fwoscc%2Ffull-record%2FWOS:000828691700036","View Full Record in Web of Science")</f>
        <v>View Full Record in Web of Science</v>
      </c>
    </row>
    <row r="111" s="1" customFormat="1" ht="14.4" spans="1:79">
      <c r="A111">
        <v>110</v>
      </c>
      <c r="B111" s="2" t="s">
        <v>79</v>
      </c>
      <c r="C111" s="1" t="s">
        <v>80</v>
      </c>
      <c r="D111" s="1" t="s">
        <v>2421</v>
      </c>
      <c r="E111" s="1" t="s">
        <v>82</v>
      </c>
      <c r="F111" s="1" t="s">
        <v>82</v>
      </c>
      <c r="G111" s="1" t="s">
        <v>82</v>
      </c>
      <c r="H111" s="1" t="s">
        <v>2422</v>
      </c>
      <c r="I111" s="1" t="s">
        <v>82</v>
      </c>
      <c r="J111" s="1" t="s">
        <v>82</v>
      </c>
      <c r="K111" s="1" t="s">
        <v>2423</v>
      </c>
      <c r="L111" s="1" t="s">
        <v>2382</v>
      </c>
      <c r="M111" s="1">
        <v>7.291</v>
      </c>
      <c r="O111" s="1" t="s">
        <v>82</v>
      </c>
      <c r="P111" s="1" t="s">
        <v>82</v>
      </c>
      <c r="Q111" s="1" t="s">
        <v>87</v>
      </c>
      <c r="R111" s="1" t="s">
        <v>2383</v>
      </c>
      <c r="S111" s="1" t="s">
        <v>82</v>
      </c>
      <c r="T111" s="1" t="s">
        <v>82</v>
      </c>
      <c r="U111" s="1" t="s">
        <v>82</v>
      </c>
      <c r="V111" s="1" t="s">
        <v>82</v>
      </c>
      <c r="W111" s="1" t="s">
        <v>82</v>
      </c>
      <c r="X111" s="1" t="s">
        <v>82</v>
      </c>
      <c r="Y111" s="1" t="s">
        <v>2424</v>
      </c>
      <c r="Z111" s="1" t="s">
        <v>82</v>
      </c>
      <c r="AA111" s="1">
        <v>1</v>
      </c>
      <c r="AB111" s="1" t="s">
        <v>2425</v>
      </c>
      <c r="AC111" s="1" t="s">
        <v>2426</v>
      </c>
      <c r="AD111" s="1" t="s">
        <v>93</v>
      </c>
      <c r="AE111" s="1" t="s">
        <v>2427</v>
      </c>
      <c r="AF111" s="1" t="s">
        <v>2428</v>
      </c>
      <c r="AG111" s="1" t="s">
        <v>2429</v>
      </c>
      <c r="AH111" s="1" t="s">
        <v>2430</v>
      </c>
      <c r="AI111" s="1" t="s">
        <v>82</v>
      </c>
      <c r="AJ111" s="1" t="s">
        <v>2431</v>
      </c>
      <c r="AK111" s="1" t="s">
        <v>2432</v>
      </c>
      <c r="AL111" s="1" t="s">
        <v>2433</v>
      </c>
      <c r="AM111" s="1" t="s">
        <v>82</v>
      </c>
      <c r="AN111" s="1">
        <v>10</v>
      </c>
      <c r="AO111" s="1">
        <v>10</v>
      </c>
      <c r="AP111" s="1">
        <v>10</v>
      </c>
      <c r="AQ111" s="1">
        <v>2</v>
      </c>
      <c r="AR111" s="1">
        <v>6</v>
      </c>
      <c r="AS111" s="1" t="s">
        <v>1068</v>
      </c>
      <c r="AT111" s="1" t="s">
        <v>1069</v>
      </c>
      <c r="AU111" s="1" t="s">
        <v>1070</v>
      </c>
      <c r="AV111" s="1" t="s">
        <v>2393</v>
      </c>
      <c r="AW111" s="1" t="s">
        <v>2394</v>
      </c>
      <c r="AX111" s="1" t="s">
        <v>82</v>
      </c>
      <c r="AY111" s="1" t="s">
        <v>2395</v>
      </c>
      <c r="AZ111" s="1" t="s">
        <v>2396</v>
      </c>
      <c r="BA111" s="1" t="s">
        <v>2397</v>
      </c>
      <c r="BB111" s="1">
        <v>2022</v>
      </c>
      <c r="BC111" s="1">
        <v>9</v>
      </c>
      <c r="BD111" s="1" t="s">
        <v>82</v>
      </c>
      <c r="BE111" s="1" t="s">
        <v>82</v>
      </c>
      <c r="BF111" s="1" t="s">
        <v>82</v>
      </c>
      <c r="BG111" s="1" t="s">
        <v>82</v>
      </c>
      <c r="BH111" s="1" t="s">
        <v>82</v>
      </c>
      <c r="BI111" s="1" t="s">
        <v>82</v>
      </c>
      <c r="BJ111" s="1" t="s">
        <v>82</v>
      </c>
      <c r="BK111" s="1" t="s">
        <v>2434</v>
      </c>
      <c r="BL111" s="1" t="s">
        <v>2435</v>
      </c>
      <c r="BM111" s="1" t="str">
        <f>HYPERLINK("http://dx.doi.org/10.1093/hr/uhac017","http://dx.doi.org/10.1093/hr/uhac017")</f>
        <v>http://dx.doi.org/10.1093/hr/uhac017</v>
      </c>
      <c r="BN111" s="1" t="s">
        <v>82</v>
      </c>
      <c r="BO111" s="1" t="s">
        <v>82</v>
      </c>
      <c r="BP111" s="1">
        <v>4</v>
      </c>
      <c r="BQ111" s="1" t="s">
        <v>2400</v>
      </c>
      <c r="BR111" s="1" t="s">
        <v>104</v>
      </c>
      <c r="BS111" s="1" t="s">
        <v>2401</v>
      </c>
      <c r="BT111" s="1" t="s">
        <v>2402</v>
      </c>
      <c r="BU111" s="1">
        <v>35184178</v>
      </c>
      <c r="BV111" s="1" t="s">
        <v>2436</v>
      </c>
      <c r="BW111" s="1" t="s">
        <v>82</v>
      </c>
      <c r="BX111" s="1" t="s">
        <v>82</v>
      </c>
      <c r="BY111" s="1" t="s">
        <v>108</v>
      </c>
      <c r="BZ111" s="1" t="s">
        <v>2437</v>
      </c>
      <c r="CA111" s="1" t="str">
        <f>HYPERLINK("https%3A%2F%2Fwww.webofscience.com%2Fwos%2Fwoscc%2Ffull-record%2FWOS:000828691700016","View Full Record in Web of Science")</f>
        <v>View Full Record in Web of Science</v>
      </c>
    </row>
    <row r="112" s="1" customFormat="1" ht="14.4" spans="1:79">
      <c r="A112">
        <v>111</v>
      </c>
      <c r="B112" s="2" t="s">
        <v>79</v>
      </c>
      <c r="C112" s="1" t="s">
        <v>80</v>
      </c>
      <c r="D112" s="1" t="s">
        <v>2438</v>
      </c>
      <c r="E112" s="1" t="s">
        <v>82</v>
      </c>
      <c r="F112" s="1" t="s">
        <v>82</v>
      </c>
      <c r="G112" s="1" t="s">
        <v>82</v>
      </c>
      <c r="H112" s="1" t="s">
        <v>2439</v>
      </c>
      <c r="I112" s="1" t="s">
        <v>82</v>
      </c>
      <c r="J112" s="1" t="s">
        <v>82</v>
      </c>
      <c r="K112" s="1" t="s">
        <v>2440</v>
      </c>
      <c r="L112" s="1" t="s">
        <v>2382</v>
      </c>
      <c r="M112" s="1">
        <v>7.291</v>
      </c>
      <c r="O112" s="1" t="s">
        <v>82</v>
      </c>
      <c r="P112" s="1" t="s">
        <v>82</v>
      </c>
      <c r="Q112" s="1" t="s">
        <v>87</v>
      </c>
      <c r="R112" s="1" t="s">
        <v>115</v>
      </c>
      <c r="S112" s="1" t="s">
        <v>82</v>
      </c>
      <c r="T112" s="1" t="s">
        <v>82</v>
      </c>
      <c r="U112" s="1" t="s">
        <v>82</v>
      </c>
      <c r="V112" s="1" t="s">
        <v>82</v>
      </c>
      <c r="W112" s="1" t="s">
        <v>82</v>
      </c>
      <c r="X112" s="1" t="s">
        <v>82</v>
      </c>
      <c r="Y112" s="1" t="s">
        <v>2441</v>
      </c>
      <c r="Z112" s="1" t="s">
        <v>2442</v>
      </c>
      <c r="AA112" s="1">
        <v>1</v>
      </c>
      <c r="AB112" s="1" t="s">
        <v>2443</v>
      </c>
      <c r="AC112" s="1" t="s">
        <v>2444</v>
      </c>
      <c r="AD112" s="1" t="s">
        <v>93</v>
      </c>
      <c r="AE112" s="1" t="s">
        <v>1673</v>
      </c>
      <c r="AF112" s="1" t="s">
        <v>2445</v>
      </c>
      <c r="AG112" s="1" t="s">
        <v>2446</v>
      </c>
      <c r="AH112" s="1" t="s">
        <v>2447</v>
      </c>
      <c r="AI112" s="1" t="s">
        <v>82</v>
      </c>
      <c r="AJ112" s="1" t="s">
        <v>2448</v>
      </c>
      <c r="AK112" s="1" t="s">
        <v>2449</v>
      </c>
      <c r="AL112" s="1" t="s">
        <v>2450</v>
      </c>
      <c r="AM112" s="1" t="s">
        <v>82</v>
      </c>
      <c r="AN112" s="1">
        <v>92</v>
      </c>
      <c r="AO112" s="1">
        <v>2</v>
      </c>
      <c r="AP112" s="1">
        <v>2</v>
      </c>
      <c r="AQ112" s="1">
        <v>15</v>
      </c>
      <c r="AR112" s="1">
        <v>31</v>
      </c>
      <c r="AS112" s="1" t="s">
        <v>1068</v>
      </c>
      <c r="AT112" s="1" t="s">
        <v>1069</v>
      </c>
      <c r="AU112" s="1" t="s">
        <v>1070</v>
      </c>
      <c r="AV112" s="1" t="s">
        <v>2393</v>
      </c>
      <c r="AW112" s="1" t="s">
        <v>2394</v>
      </c>
      <c r="AX112" s="1" t="s">
        <v>82</v>
      </c>
      <c r="AY112" s="1" t="s">
        <v>2395</v>
      </c>
      <c r="AZ112" s="1" t="s">
        <v>2396</v>
      </c>
      <c r="BA112" s="1" t="s">
        <v>2397</v>
      </c>
      <c r="BB112" s="1">
        <v>2022</v>
      </c>
      <c r="BC112" s="1">
        <v>9</v>
      </c>
      <c r="BD112" s="1" t="s">
        <v>82</v>
      </c>
      <c r="BE112" s="1" t="s">
        <v>82</v>
      </c>
      <c r="BF112" s="1" t="s">
        <v>82</v>
      </c>
      <c r="BG112" s="1" t="s">
        <v>82</v>
      </c>
      <c r="BH112" s="1" t="s">
        <v>82</v>
      </c>
      <c r="BI112" s="1" t="s">
        <v>82</v>
      </c>
      <c r="BJ112" s="1" t="s">
        <v>82</v>
      </c>
      <c r="BK112" s="1" t="s">
        <v>2451</v>
      </c>
      <c r="BL112" s="1" t="s">
        <v>2452</v>
      </c>
      <c r="BM112" s="1" t="str">
        <f>HYPERLINK("http://dx.doi.org/10.1093/hr/uhab051","http://dx.doi.org/10.1093/hr/uhab051")</f>
        <v>http://dx.doi.org/10.1093/hr/uhab051</v>
      </c>
      <c r="BN112" s="1" t="s">
        <v>82</v>
      </c>
      <c r="BO112" s="1" t="s">
        <v>82</v>
      </c>
      <c r="BP112" s="1">
        <v>14</v>
      </c>
      <c r="BQ112" s="1" t="s">
        <v>2400</v>
      </c>
      <c r="BR112" s="1" t="s">
        <v>104</v>
      </c>
      <c r="BS112" s="1" t="s">
        <v>2401</v>
      </c>
      <c r="BT112" s="1" t="s">
        <v>2453</v>
      </c>
      <c r="BU112" s="1">
        <v>35031798</v>
      </c>
      <c r="BV112" s="1" t="s">
        <v>635</v>
      </c>
      <c r="BW112" s="1" t="s">
        <v>82</v>
      </c>
      <c r="BX112" s="1" t="s">
        <v>82</v>
      </c>
      <c r="BY112" s="1" t="s">
        <v>108</v>
      </c>
      <c r="BZ112" s="1" t="s">
        <v>2454</v>
      </c>
      <c r="CA112" s="1" t="str">
        <f>HYPERLINK("https%3A%2F%2Fwww.webofscience.com%2Fwos%2Fwoscc%2Ffull-record%2FWOS:000791049400011","View Full Record in Web of Science")</f>
        <v>View Full Record in Web of Science</v>
      </c>
    </row>
    <row r="113" s="1" customFormat="1" ht="14.4" spans="1:79">
      <c r="A113">
        <v>112</v>
      </c>
      <c r="B113" s="2" t="s">
        <v>110</v>
      </c>
      <c r="C113" s="1" t="s">
        <v>80</v>
      </c>
      <c r="D113" s="1" t="s">
        <v>2455</v>
      </c>
      <c r="E113" s="1" t="s">
        <v>82</v>
      </c>
      <c r="F113" s="1" t="s">
        <v>82</v>
      </c>
      <c r="G113" s="1" t="s">
        <v>82</v>
      </c>
      <c r="H113" s="1" t="s">
        <v>2456</v>
      </c>
      <c r="I113" s="1" t="s">
        <v>82</v>
      </c>
      <c r="J113" s="1" t="s">
        <v>82</v>
      </c>
      <c r="K113" s="1" t="s">
        <v>2457</v>
      </c>
      <c r="L113" s="1" t="s">
        <v>2458</v>
      </c>
      <c r="M113" s="1">
        <v>7.169</v>
      </c>
      <c r="O113" s="1" t="s">
        <v>82</v>
      </c>
      <c r="P113" s="1" t="s">
        <v>82</v>
      </c>
      <c r="Q113" s="1" t="s">
        <v>87</v>
      </c>
      <c r="R113" s="1" t="s">
        <v>115</v>
      </c>
      <c r="S113" s="1" t="s">
        <v>82</v>
      </c>
      <c r="T113" s="1" t="s">
        <v>82</v>
      </c>
      <c r="U113" s="1" t="s">
        <v>82</v>
      </c>
      <c r="V113" s="1" t="s">
        <v>82</v>
      </c>
      <c r="W113" s="1" t="s">
        <v>82</v>
      </c>
      <c r="X113" s="1" t="s">
        <v>2459</v>
      </c>
      <c r="Y113" s="1" t="s">
        <v>2460</v>
      </c>
      <c r="Z113" s="1" t="s">
        <v>2461</v>
      </c>
      <c r="AB113" s="1" t="s">
        <v>2462</v>
      </c>
      <c r="AC113" s="1" t="s">
        <v>2463</v>
      </c>
      <c r="AD113" s="1" t="s">
        <v>206</v>
      </c>
      <c r="AE113" s="1" t="s">
        <v>2464</v>
      </c>
      <c r="AF113" s="1" t="s">
        <v>2465</v>
      </c>
      <c r="AG113" s="1" t="s">
        <v>2466</v>
      </c>
      <c r="AH113" s="1" t="s">
        <v>82</v>
      </c>
      <c r="AI113" s="1" t="s">
        <v>2467</v>
      </c>
      <c r="AJ113" s="1" t="s">
        <v>2468</v>
      </c>
      <c r="AK113" s="1" t="s">
        <v>2469</v>
      </c>
      <c r="AL113" s="1" t="s">
        <v>2470</v>
      </c>
      <c r="AM113" s="1" t="s">
        <v>82</v>
      </c>
      <c r="AN113" s="1">
        <v>61</v>
      </c>
      <c r="AO113" s="1">
        <v>2</v>
      </c>
      <c r="AP113" s="1">
        <v>2</v>
      </c>
      <c r="AQ113" s="1">
        <v>3</v>
      </c>
      <c r="AR113" s="1">
        <v>14</v>
      </c>
      <c r="AS113" s="1" t="s">
        <v>2471</v>
      </c>
      <c r="AT113" s="1" t="s">
        <v>371</v>
      </c>
      <c r="AU113" s="1" t="s">
        <v>2472</v>
      </c>
      <c r="AV113" s="1" t="s">
        <v>2473</v>
      </c>
      <c r="AW113" s="1" t="s">
        <v>2474</v>
      </c>
      <c r="AX113" s="1" t="s">
        <v>82</v>
      </c>
      <c r="AY113" s="1" t="s">
        <v>2475</v>
      </c>
      <c r="AZ113" s="1" t="s">
        <v>2476</v>
      </c>
      <c r="BA113" s="1" t="s">
        <v>2145</v>
      </c>
      <c r="BB113" s="1">
        <v>2022</v>
      </c>
      <c r="BC113" s="1">
        <v>43</v>
      </c>
      <c r="BD113" s="1">
        <v>3</v>
      </c>
      <c r="BE113" s="1" t="s">
        <v>82</v>
      </c>
      <c r="BF113" s="1" t="s">
        <v>82</v>
      </c>
      <c r="BG113" s="1" t="s">
        <v>82</v>
      </c>
      <c r="BH113" s="1" t="s">
        <v>82</v>
      </c>
      <c r="BI113" s="1">
        <v>588</v>
      </c>
      <c r="BJ113" s="1">
        <v>601</v>
      </c>
      <c r="BK113" s="1" t="s">
        <v>82</v>
      </c>
      <c r="BL113" s="1" t="s">
        <v>2477</v>
      </c>
      <c r="BM113" s="1" t="str">
        <f>HYPERLINK("http://dx.doi.org/10.1038/s41401-021-00678-5","http://dx.doi.org/10.1038/s41401-021-00678-5")</f>
        <v>http://dx.doi.org/10.1038/s41401-021-00678-5</v>
      </c>
      <c r="BN113" s="1" t="s">
        <v>82</v>
      </c>
      <c r="BO113" s="1" t="s">
        <v>2478</v>
      </c>
      <c r="BP113" s="1">
        <v>14</v>
      </c>
      <c r="BQ113" s="1" t="s">
        <v>2479</v>
      </c>
      <c r="BR113" s="1" t="s">
        <v>104</v>
      </c>
      <c r="BS113" s="1" t="s">
        <v>2480</v>
      </c>
      <c r="BT113" s="1" t="s">
        <v>2481</v>
      </c>
      <c r="BU113" s="1">
        <v>33967278</v>
      </c>
      <c r="BV113" s="1" t="s">
        <v>82</v>
      </c>
      <c r="BW113" s="1" t="s">
        <v>82</v>
      </c>
      <c r="BX113" s="1" t="s">
        <v>82</v>
      </c>
      <c r="BY113" s="1" t="s">
        <v>108</v>
      </c>
      <c r="BZ113" s="1" t="s">
        <v>2482</v>
      </c>
      <c r="CA113" s="1" t="str">
        <f>HYPERLINK("https%3A%2F%2Fwww.webofscience.com%2Fwos%2Fwoscc%2Ffull-record%2FWOS:000648507200001","View Full Record in Web of Science")</f>
        <v>View Full Record in Web of Science</v>
      </c>
    </row>
    <row r="114" s="1" customFormat="1" ht="14.4" spans="1:79">
      <c r="A114">
        <v>113</v>
      </c>
      <c r="B114" s="2" t="s">
        <v>79</v>
      </c>
      <c r="C114" s="1" t="s">
        <v>80</v>
      </c>
      <c r="D114" s="1" t="s">
        <v>2483</v>
      </c>
      <c r="E114" s="1" t="s">
        <v>82</v>
      </c>
      <c r="F114" s="1" t="s">
        <v>82</v>
      </c>
      <c r="G114" s="1" t="s">
        <v>82</v>
      </c>
      <c r="H114" s="1" t="s">
        <v>2484</v>
      </c>
      <c r="I114" s="1" t="s">
        <v>82</v>
      </c>
      <c r="J114" s="1" t="s">
        <v>82</v>
      </c>
      <c r="K114" s="1" t="s">
        <v>2485</v>
      </c>
      <c r="L114" s="1" t="s">
        <v>2458</v>
      </c>
      <c r="M114" s="1">
        <v>7.169</v>
      </c>
      <c r="O114" s="1" t="s">
        <v>82</v>
      </c>
      <c r="P114" s="1" t="s">
        <v>82</v>
      </c>
      <c r="Q114" s="1" t="s">
        <v>87</v>
      </c>
      <c r="R114" s="1" t="s">
        <v>115</v>
      </c>
      <c r="S114" s="1" t="s">
        <v>82</v>
      </c>
      <c r="T114" s="1" t="s">
        <v>82</v>
      </c>
      <c r="U114" s="1" t="s">
        <v>82</v>
      </c>
      <c r="V114" s="1" t="s">
        <v>82</v>
      </c>
      <c r="W114" s="1" t="s">
        <v>82</v>
      </c>
      <c r="X114" s="1" t="s">
        <v>2486</v>
      </c>
      <c r="Y114" s="1" t="s">
        <v>82</v>
      </c>
      <c r="Z114" s="1" t="s">
        <v>2487</v>
      </c>
      <c r="AB114" s="1" t="s">
        <v>2488</v>
      </c>
      <c r="AC114" s="1" t="s">
        <v>2489</v>
      </c>
      <c r="AD114" s="1" t="s">
        <v>120</v>
      </c>
      <c r="AE114" s="1" t="s">
        <v>2490</v>
      </c>
      <c r="AF114" s="1" t="s">
        <v>2491</v>
      </c>
      <c r="AG114" s="1" t="s">
        <v>2492</v>
      </c>
      <c r="AH114" s="1" t="s">
        <v>82</v>
      </c>
      <c r="AI114" s="1" t="s">
        <v>82</v>
      </c>
      <c r="AJ114" s="1" t="s">
        <v>2493</v>
      </c>
      <c r="AK114" s="1" t="s">
        <v>2494</v>
      </c>
      <c r="AL114" s="1" t="s">
        <v>2495</v>
      </c>
      <c r="AM114" s="1" t="s">
        <v>82</v>
      </c>
      <c r="AN114" s="1">
        <v>49</v>
      </c>
      <c r="AO114" s="1">
        <v>7</v>
      </c>
      <c r="AP114" s="1">
        <v>7</v>
      </c>
      <c r="AQ114" s="1">
        <v>1</v>
      </c>
      <c r="AR114" s="1">
        <v>16</v>
      </c>
      <c r="AS114" s="1" t="s">
        <v>2471</v>
      </c>
      <c r="AT114" s="1" t="s">
        <v>371</v>
      </c>
      <c r="AU114" s="1" t="s">
        <v>2472</v>
      </c>
      <c r="AV114" s="1" t="s">
        <v>2473</v>
      </c>
      <c r="AW114" s="1" t="s">
        <v>2474</v>
      </c>
      <c r="AX114" s="1" t="s">
        <v>82</v>
      </c>
      <c r="AY114" s="1" t="s">
        <v>2475</v>
      </c>
      <c r="AZ114" s="1" t="s">
        <v>2476</v>
      </c>
      <c r="BA114" s="1" t="s">
        <v>1826</v>
      </c>
      <c r="BB114" s="1">
        <v>2022</v>
      </c>
      <c r="BC114" s="1">
        <v>43</v>
      </c>
      <c r="BD114" s="1">
        <v>1</v>
      </c>
      <c r="BE114" s="1" t="s">
        <v>82</v>
      </c>
      <c r="BF114" s="1" t="s">
        <v>82</v>
      </c>
      <c r="BG114" s="1" t="s">
        <v>82</v>
      </c>
      <c r="BH114" s="1" t="s">
        <v>82</v>
      </c>
      <c r="BI114" s="1">
        <v>146</v>
      </c>
      <c r="BJ114" s="1">
        <v>156</v>
      </c>
      <c r="BK114" s="1" t="s">
        <v>82</v>
      </c>
      <c r="BL114" s="1" t="s">
        <v>2496</v>
      </c>
      <c r="BM114" s="1" t="str">
        <f>HYPERLINK("http://dx.doi.org/10.1038/s41401-021-00633-4","http://dx.doi.org/10.1038/s41401-021-00633-4")</f>
        <v>http://dx.doi.org/10.1038/s41401-021-00633-4</v>
      </c>
      <c r="BN114" s="1" t="s">
        <v>82</v>
      </c>
      <c r="BO114" s="1" t="s">
        <v>2497</v>
      </c>
      <c r="BP114" s="1">
        <v>11</v>
      </c>
      <c r="BQ114" s="1" t="s">
        <v>2479</v>
      </c>
      <c r="BR114" s="1" t="s">
        <v>104</v>
      </c>
      <c r="BS114" s="1" t="s">
        <v>2480</v>
      </c>
      <c r="BT114" s="1" t="s">
        <v>2498</v>
      </c>
      <c r="BU114" s="1">
        <v>33782543</v>
      </c>
      <c r="BV114" s="1" t="s">
        <v>316</v>
      </c>
      <c r="BW114" s="1" t="s">
        <v>82</v>
      </c>
      <c r="BX114" s="1" t="s">
        <v>82</v>
      </c>
      <c r="BY114" s="1" t="s">
        <v>108</v>
      </c>
      <c r="BZ114" s="1" t="s">
        <v>2499</v>
      </c>
      <c r="CA114" s="1" t="str">
        <f>HYPERLINK("https%3A%2F%2Fwww.webofscience.com%2Fwos%2Fwoscc%2Ffull-record%2FWOS:000634685300001","View Full Record in Web of Science")</f>
        <v>View Full Record in Web of Science</v>
      </c>
    </row>
    <row r="115" s="1" customFormat="1" ht="14.4" spans="1:79">
      <c r="A115">
        <v>114</v>
      </c>
      <c r="B115" s="2" t="s">
        <v>79</v>
      </c>
      <c r="C115" s="1" t="s">
        <v>80</v>
      </c>
      <c r="D115" s="1" t="s">
        <v>2500</v>
      </c>
      <c r="E115" s="1" t="s">
        <v>82</v>
      </c>
      <c r="F115" s="1" t="s">
        <v>82</v>
      </c>
      <c r="G115" s="1" t="s">
        <v>82</v>
      </c>
      <c r="H115" s="1" t="s">
        <v>2501</v>
      </c>
      <c r="I115" s="1" t="s">
        <v>82</v>
      </c>
      <c r="J115" s="1" t="s">
        <v>82</v>
      </c>
      <c r="K115" s="1" t="s">
        <v>2502</v>
      </c>
      <c r="L115" s="1" t="s">
        <v>2503</v>
      </c>
      <c r="M115" s="1">
        <v>7.129</v>
      </c>
      <c r="O115" s="1" t="s">
        <v>82</v>
      </c>
      <c r="P115" s="1" t="s">
        <v>82</v>
      </c>
      <c r="Q115" s="1" t="s">
        <v>87</v>
      </c>
      <c r="R115" s="1" t="s">
        <v>115</v>
      </c>
      <c r="S115" s="1" t="s">
        <v>82</v>
      </c>
      <c r="T115" s="1" t="s">
        <v>82</v>
      </c>
      <c r="U115" s="1" t="s">
        <v>82</v>
      </c>
      <c r="V115" s="1" t="s">
        <v>82</v>
      </c>
      <c r="W115" s="1" t="s">
        <v>82</v>
      </c>
      <c r="X115" s="1" t="s">
        <v>2504</v>
      </c>
      <c r="Y115" s="1" t="s">
        <v>2505</v>
      </c>
      <c r="Z115" s="1" t="s">
        <v>2506</v>
      </c>
      <c r="AA115" s="1">
        <v>1</v>
      </c>
      <c r="AB115" s="1" t="s">
        <v>1690</v>
      </c>
      <c r="AC115" s="1" t="s">
        <v>2507</v>
      </c>
      <c r="AD115" s="1" t="s">
        <v>93</v>
      </c>
      <c r="AE115" s="1" t="s">
        <v>2508</v>
      </c>
      <c r="AF115" s="1" t="s">
        <v>2509</v>
      </c>
      <c r="AG115" s="1" t="s">
        <v>2510</v>
      </c>
      <c r="AH115" s="1" t="s">
        <v>82</v>
      </c>
      <c r="AI115" s="1" t="s">
        <v>82</v>
      </c>
      <c r="AJ115" s="1" t="s">
        <v>2511</v>
      </c>
      <c r="AK115" s="1" t="s">
        <v>2512</v>
      </c>
      <c r="AL115" s="1" t="s">
        <v>2513</v>
      </c>
      <c r="AM115" s="1" t="s">
        <v>82</v>
      </c>
      <c r="AN115" s="1">
        <v>79</v>
      </c>
      <c r="AO115" s="1">
        <v>2</v>
      </c>
      <c r="AP115" s="1">
        <v>2</v>
      </c>
      <c r="AQ115" s="1">
        <v>35</v>
      </c>
      <c r="AR115" s="1">
        <v>45</v>
      </c>
      <c r="AS115" s="1" t="s">
        <v>2514</v>
      </c>
      <c r="AT115" s="1" t="s">
        <v>2515</v>
      </c>
      <c r="AU115" s="1" t="s">
        <v>2516</v>
      </c>
      <c r="AV115" s="1" t="s">
        <v>2517</v>
      </c>
      <c r="AW115" s="1" t="s">
        <v>2518</v>
      </c>
      <c r="AX115" s="1" t="s">
        <v>82</v>
      </c>
      <c r="AY115" s="1" t="s">
        <v>2519</v>
      </c>
      <c r="AZ115" s="1" t="s">
        <v>2520</v>
      </c>
      <c r="BA115" s="1" t="s">
        <v>2521</v>
      </c>
      <c r="BB115" s="1">
        <v>2022</v>
      </c>
      <c r="BC115" s="1">
        <v>241</v>
      </c>
      <c r="BD115" s="1" t="s">
        <v>82</v>
      </c>
      <c r="BE115" s="1" t="s">
        <v>82</v>
      </c>
      <c r="BF115" s="1" t="s">
        <v>82</v>
      </c>
      <c r="BG115" s="1" t="s">
        <v>82</v>
      </c>
      <c r="BH115" s="1" t="s">
        <v>82</v>
      </c>
      <c r="BI115" s="1" t="s">
        <v>82</v>
      </c>
      <c r="BJ115" s="1" t="s">
        <v>82</v>
      </c>
      <c r="BK115" s="1">
        <v>113739</v>
      </c>
      <c r="BL115" s="1" t="s">
        <v>2522</v>
      </c>
      <c r="BM115" s="1" t="str">
        <f>HYPERLINK("http://dx.doi.org/10.1016/j.ecoenv.2022.113739","http://dx.doi.org/10.1016/j.ecoenv.2022.113739")</f>
        <v>http://dx.doi.org/10.1016/j.ecoenv.2022.113739</v>
      </c>
      <c r="BN115" s="1" t="s">
        <v>82</v>
      </c>
      <c r="BO115" s="1" t="s">
        <v>1298</v>
      </c>
      <c r="BP115" s="1">
        <v>12</v>
      </c>
      <c r="BQ115" s="1" t="s">
        <v>2523</v>
      </c>
      <c r="BR115" s="1" t="s">
        <v>104</v>
      </c>
      <c r="BS115" s="1" t="s">
        <v>2524</v>
      </c>
      <c r="BT115" s="1" t="s">
        <v>2525</v>
      </c>
      <c r="BU115" s="1">
        <v>35714481</v>
      </c>
      <c r="BV115" s="1" t="s">
        <v>808</v>
      </c>
      <c r="BW115" s="1" t="s">
        <v>82</v>
      </c>
      <c r="BX115" s="1" t="s">
        <v>82</v>
      </c>
      <c r="BY115" s="1" t="s">
        <v>108</v>
      </c>
      <c r="BZ115" s="1" t="s">
        <v>2526</v>
      </c>
      <c r="CA115" s="1" t="str">
        <f>HYPERLINK("https%3A%2F%2Fwww.webofscience.com%2Fwos%2Fwoscc%2Ffull-record%2FWOS:000832714500008","View Full Record in Web of Science")</f>
        <v>View Full Record in Web of Science</v>
      </c>
    </row>
    <row r="116" s="1" customFormat="1" ht="14.4" spans="1:79">
      <c r="A116">
        <v>115</v>
      </c>
      <c r="B116" s="2" t="s">
        <v>79</v>
      </c>
      <c r="C116" s="1" t="s">
        <v>80</v>
      </c>
      <c r="D116" s="1" t="s">
        <v>2527</v>
      </c>
      <c r="E116" s="1" t="s">
        <v>82</v>
      </c>
      <c r="F116" s="1" t="s">
        <v>82</v>
      </c>
      <c r="G116" s="1" t="s">
        <v>82</v>
      </c>
      <c r="H116" s="1" t="s">
        <v>2528</v>
      </c>
      <c r="I116" s="1" t="s">
        <v>82</v>
      </c>
      <c r="J116" s="1" t="s">
        <v>82</v>
      </c>
      <c r="K116" s="1" t="s">
        <v>2529</v>
      </c>
      <c r="L116" s="1" t="s">
        <v>2530</v>
      </c>
      <c r="M116" s="1">
        <v>7.088</v>
      </c>
      <c r="O116" s="1" t="s">
        <v>82</v>
      </c>
      <c r="P116" s="1" t="s">
        <v>82</v>
      </c>
      <c r="Q116" s="1" t="s">
        <v>87</v>
      </c>
      <c r="R116" s="1" t="s">
        <v>115</v>
      </c>
      <c r="S116" s="1" t="s">
        <v>82</v>
      </c>
      <c r="T116" s="1" t="s">
        <v>82</v>
      </c>
      <c r="U116" s="1" t="s">
        <v>82</v>
      </c>
      <c r="V116" s="1" t="s">
        <v>82</v>
      </c>
      <c r="W116" s="1" t="s">
        <v>82</v>
      </c>
      <c r="X116" s="1" t="s">
        <v>2531</v>
      </c>
      <c r="Y116" s="1" t="s">
        <v>2532</v>
      </c>
      <c r="Z116" s="1" t="s">
        <v>2533</v>
      </c>
      <c r="AA116" s="1">
        <v>1</v>
      </c>
      <c r="AB116" s="1" t="s">
        <v>2534</v>
      </c>
      <c r="AC116" s="1" t="s">
        <v>2535</v>
      </c>
      <c r="AD116" s="1" t="s">
        <v>93</v>
      </c>
      <c r="AE116" s="1" t="s">
        <v>1630</v>
      </c>
      <c r="AF116" s="1" t="s">
        <v>2536</v>
      </c>
      <c r="AG116" s="1" t="s">
        <v>2537</v>
      </c>
      <c r="AH116" s="1" t="s">
        <v>82</v>
      </c>
      <c r="AI116" s="1" t="s">
        <v>82</v>
      </c>
      <c r="AJ116" s="1" t="s">
        <v>2538</v>
      </c>
      <c r="AK116" s="1" t="s">
        <v>2539</v>
      </c>
      <c r="AL116" s="1" t="s">
        <v>2540</v>
      </c>
      <c r="AM116" s="1" t="s">
        <v>82</v>
      </c>
      <c r="AN116" s="1">
        <v>37</v>
      </c>
      <c r="AO116" s="1">
        <v>0</v>
      </c>
      <c r="AP116" s="1">
        <v>0</v>
      </c>
      <c r="AQ116" s="1">
        <v>9</v>
      </c>
      <c r="AR116" s="1">
        <v>9</v>
      </c>
      <c r="AS116" s="1" t="s">
        <v>2283</v>
      </c>
      <c r="AT116" s="1" t="s">
        <v>2284</v>
      </c>
      <c r="AU116" s="1" t="s">
        <v>2285</v>
      </c>
      <c r="AV116" s="1" t="s">
        <v>2541</v>
      </c>
      <c r="AW116" s="1" t="s">
        <v>2542</v>
      </c>
      <c r="AX116" s="1" t="s">
        <v>82</v>
      </c>
      <c r="AY116" s="1" t="s">
        <v>2543</v>
      </c>
      <c r="AZ116" s="1" t="s">
        <v>2544</v>
      </c>
      <c r="BA116" s="1" t="s">
        <v>1193</v>
      </c>
      <c r="BB116" s="1">
        <v>2022</v>
      </c>
      <c r="BC116" s="1">
        <v>244</v>
      </c>
      <c r="BD116" s="1" t="s">
        <v>82</v>
      </c>
      <c r="BE116" s="1" t="s">
        <v>82</v>
      </c>
      <c r="BF116" s="1" t="s">
        <v>82</v>
      </c>
      <c r="BG116" s="1" t="s">
        <v>82</v>
      </c>
      <c r="BH116" s="1" t="s">
        <v>82</v>
      </c>
      <c r="BI116" s="1" t="s">
        <v>82</v>
      </c>
      <c r="BJ116" s="1" t="s">
        <v>82</v>
      </c>
      <c r="BK116" s="1">
        <v>114844</v>
      </c>
      <c r="BL116" s="1" t="s">
        <v>2545</v>
      </c>
      <c r="BM116" s="1" t="str">
        <f>HYPERLINK("http://dx.doi.org/10.1016/j.ejmech.2022.114844","http://dx.doi.org/10.1016/j.ejmech.2022.114844")</f>
        <v>http://dx.doi.org/10.1016/j.ejmech.2022.114844</v>
      </c>
      <c r="BN116" s="1" t="s">
        <v>82</v>
      </c>
      <c r="BO116" s="1" t="s">
        <v>82</v>
      </c>
      <c r="BP116" s="1">
        <v>16</v>
      </c>
      <c r="BQ116" s="1" t="s">
        <v>2546</v>
      </c>
      <c r="BR116" s="1" t="s">
        <v>745</v>
      </c>
      <c r="BS116" s="1" t="s">
        <v>982</v>
      </c>
      <c r="BT116" s="1" t="s">
        <v>2547</v>
      </c>
      <c r="BU116" s="1">
        <v>36274275</v>
      </c>
      <c r="BV116" s="1" t="s">
        <v>82</v>
      </c>
      <c r="BW116" s="1" t="s">
        <v>82</v>
      </c>
      <c r="BX116" s="1" t="s">
        <v>82</v>
      </c>
      <c r="BY116" s="1" t="s">
        <v>108</v>
      </c>
      <c r="BZ116" s="1" t="s">
        <v>2548</v>
      </c>
      <c r="CA116" s="1" t="str">
        <f>HYPERLINK("https%3A%2F%2Fwww.webofscience.com%2Fwos%2Fwoscc%2Ffull-record%2FWOS:000877983000007","View Full Record in Web of Science")</f>
        <v>View Full Record in Web of Science</v>
      </c>
    </row>
    <row r="117" s="1" customFormat="1" ht="14.4" spans="1:79">
      <c r="A117">
        <v>116</v>
      </c>
      <c r="B117" s="2" t="s">
        <v>110</v>
      </c>
      <c r="C117" s="1" t="s">
        <v>80</v>
      </c>
      <c r="D117" s="1" t="s">
        <v>2549</v>
      </c>
      <c r="E117" s="1" t="s">
        <v>82</v>
      </c>
      <c r="F117" s="1" t="s">
        <v>82</v>
      </c>
      <c r="G117" s="1" t="s">
        <v>82</v>
      </c>
      <c r="H117" s="1" t="s">
        <v>2550</v>
      </c>
      <c r="I117" s="1" t="s">
        <v>82</v>
      </c>
      <c r="J117" s="1" t="s">
        <v>82</v>
      </c>
      <c r="K117" s="1" t="s">
        <v>2551</v>
      </c>
      <c r="L117" s="1" t="s">
        <v>2530</v>
      </c>
      <c r="M117" s="1">
        <v>7.088</v>
      </c>
      <c r="O117" s="1" t="s">
        <v>82</v>
      </c>
      <c r="P117" s="1" t="s">
        <v>82</v>
      </c>
      <c r="Q117" s="1" t="s">
        <v>87</v>
      </c>
      <c r="R117" s="1" t="s">
        <v>115</v>
      </c>
      <c r="S117" s="1" t="s">
        <v>82</v>
      </c>
      <c r="T117" s="1" t="s">
        <v>82</v>
      </c>
      <c r="U117" s="1" t="s">
        <v>82</v>
      </c>
      <c r="V117" s="1" t="s">
        <v>82</v>
      </c>
      <c r="W117" s="1" t="s">
        <v>82</v>
      </c>
      <c r="X117" s="1" t="s">
        <v>2552</v>
      </c>
      <c r="Y117" s="1" t="s">
        <v>2553</v>
      </c>
      <c r="Z117" s="1" t="s">
        <v>2554</v>
      </c>
      <c r="AA117" s="1">
        <v>1</v>
      </c>
      <c r="AB117" s="1" t="s">
        <v>2555</v>
      </c>
      <c r="AC117" s="1" t="s">
        <v>2556</v>
      </c>
      <c r="AD117" s="1" t="s">
        <v>93</v>
      </c>
      <c r="AE117" s="1" t="s">
        <v>2557</v>
      </c>
      <c r="AF117" s="1" t="s">
        <v>2558</v>
      </c>
      <c r="AG117" s="1" t="s">
        <v>2559</v>
      </c>
      <c r="AH117" s="1" t="s">
        <v>2560</v>
      </c>
      <c r="AI117" s="1" t="s">
        <v>2561</v>
      </c>
      <c r="AJ117" s="1" t="s">
        <v>2562</v>
      </c>
      <c r="AK117" s="1" t="s">
        <v>2563</v>
      </c>
      <c r="AL117" s="1" t="s">
        <v>2564</v>
      </c>
      <c r="AM117" s="1" t="s">
        <v>82</v>
      </c>
      <c r="AN117" s="1">
        <v>39</v>
      </c>
      <c r="AO117" s="1">
        <v>0</v>
      </c>
      <c r="AP117" s="1">
        <v>0</v>
      </c>
      <c r="AQ117" s="1">
        <v>13</v>
      </c>
      <c r="AR117" s="1">
        <v>18</v>
      </c>
      <c r="AS117" s="1" t="s">
        <v>2283</v>
      </c>
      <c r="AT117" s="1" t="s">
        <v>2284</v>
      </c>
      <c r="AU117" s="1" t="s">
        <v>2285</v>
      </c>
      <c r="AV117" s="1" t="s">
        <v>2541</v>
      </c>
      <c r="AW117" s="1" t="s">
        <v>2542</v>
      </c>
      <c r="AX117" s="1" t="s">
        <v>82</v>
      </c>
      <c r="AY117" s="1" t="s">
        <v>2543</v>
      </c>
      <c r="AZ117" s="1" t="s">
        <v>2544</v>
      </c>
      <c r="BA117" s="1" t="s">
        <v>2565</v>
      </c>
      <c r="BB117" s="1">
        <v>2022</v>
      </c>
      <c r="BC117" s="1">
        <v>239</v>
      </c>
      <c r="BD117" s="1" t="s">
        <v>82</v>
      </c>
      <c r="BE117" s="1" t="s">
        <v>82</v>
      </c>
      <c r="BF117" s="1" t="s">
        <v>82</v>
      </c>
      <c r="BG117" s="1" t="s">
        <v>82</v>
      </c>
      <c r="BH117" s="1" t="s">
        <v>82</v>
      </c>
      <c r="BI117" s="1" t="s">
        <v>82</v>
      </c>
      <c r="BJ117" s="1" t="s">
        <v>82</v>
      </c>
      <c r="BK117" s="1">
        <v>114532</v>
      </c>
      <c r="BL117" s="1" t="s">
        <v>2566</v>
      </c>
      <c r="BM117" s="1" t="str">
        <f>HYPERLINK("http://dx.doi.org/10.1016/j.ejmech.2022.114532","http://dx.doi.org/10.1016/j.ejmech.2022.114532")</f>
        <v>http://dx.doi.org/10.1016/j.ejmech.2022.114532</v>
      </c>
      <c r="BN117" s="1" t="s">
        <v>82</v>
      </c>
      <c r="BO117" s="1" t="s">
        <v>82</v>
      </c>
      <c r="BP117" s="1">
        <v>16</v>
      </c>
      <c r="BQ117" s="1" t="s">
        <v>2546</v>
      </c>
      <c r="BR117" s="1" t="s">
        <v>745</v>
      </c>
      <c r="BS117" s="1" t="s">
        <v>982</v>
      </c>
      <c r="BT117" s="1" t="s">
        <v>2567</v>
      </c>
      <c r="BU117" s="1">
        <v>35749988</v>
      </c>
      <c r="BV117" s="1" t="s">
        <v>82</v>
      </c>
      <c r="BW117" s="1" t="s">
        <v>82</v>
      </c>
      <c r="BX117" s="1" t="s">
        <v>82</v>
      </c>
      <c r="BY117" s="1" t="s">
        <v>108</v>
      </c>
      <c r="BZ117" s="1" t="s">
        <v>2568</v>
      </c>
      <c r="CA117" s="1" t="str">
        <f>HYPERLINK("https%3A%2F%2Fwww.webofscience.com%2Fwos%2Fwoscc%2Ffull-record%2FWOS:000833530200005","View Full Record in Web of Science")</f>
        <v>View Full Record in Web of Science</v>
      </c>
    </row>
    <row r="118" s="1" customFormat="1" ht="14.4" spans="1:79">
      <c r="A118">
        <v>117</v>
      </c>
      <c r="B118" s="2" t="s">
        <v>110</v>
      </c>
      <c r="C118" s="1" t="s">
        <v>80</v>
      </c>
      <c r="D118" s="1" t="s">
        <v>2569</v>
      </c>
      <c r="E118" s="1" t="s">
        <v>82</v>
      </c>
      <c r="F118" s="1" t="s">
        <v>82</v>
      </c>
      <c r="G118" s="1" t="s">
        <v>82</v>
      </c>
      <c r="H118" s="1" t="s">
        <v>2570</v>
      </c>
      <c r="I118" s="1" t="s">
        <v>82</v>
      </c>
      <c r="J118" s="1" t="s">
        <v>82</v>
      </c>
      <c r="K118" s="1" t="s">
        <v>2571</v>
      </c>
      <c r="L118" s="1" t="s">
        <v>2530</v>
      </c>
      <c r="M118" s="1">
        <v>7.088</v>
      </c>
      <c r="O118" s="1" t="s">
        <v>82</v>
      </c>
      <c r="P118" s="1" t="s">
        <v>82</v>
      </c>
      <c r="Q118" s="1" t="s">
        <v>87</v>
      </c>
      <c r="R118" s="1" t="s">
        <v>115</v>
      </c>
      <c r="S118" s="1" t="s">
        <v>82</v>
      </c>
      <c r="T118" s="1" t="s">
        <v>82</v>
      </c>
      <c r="U118" s="1" t="s">
        <v>82</v>
      </c>
      <c r="V118" s="1" t="s">
        <v>82</v>
      </c>
      <c r="W118" s="1" t="s">
        <v>82</v>
      </c>
      <c r="X118" s="1" t="s">
        <v>2572</v>
      </c>
      <c r="Y118" s="1" t="s">
        <v>2573</v>
      </c>
      <c r="Z118" s="1" t="s">
        <v>2574</v>
      </c>
      <c r="AB118" s="1" t="s">
        <v>2575</v>
      </c>
      <c r="AC118" s="1" t="s">
        <v>2576</v>
      </c>
      <c r="AD118" s="1" t="s">
        <v>120</v>
      </c>
      <c r="AE118" s="1" t="s">
        <v>2577</v>
      </c>
      <c r="AF118" s="1" t="s">
        <v>2578</v>
      </c>
      <c r="AG118" s="1" t="s">
        <v>2579</v>
      </c>
      <c r="AH118" s="1" t="s">
        <v>82</v>
      </c>
      <c r="AI118" s="1" t="s">
        <v>2580</v>
      </c>
      <c r="AJ118" s="1" t="s">
        <v>2581</v>
      </c>
      <c r="AK118" s="1" t="s">
        <v>2582</v>
      </c>
      <c r="AL118" s="1" t="s">
        <v>2583</v>
      </c>
      <c r="AM118" s="1" t="s">
        <v>82</v>
      </c>
      <c r="AN118" s="1">
        <v>60</v>
      </c>
      <c r="AO118" s="1">
        <v>0</v>
      </c>
      <c r="AP118" s="1">
        <v>0</v>
      </c>
      <c r="AQ118" s="1">
        <v>5</v>
      </c>
      <c r="AR118" s="1">
        <v>14</v>
      </c>
      <c r="AS118" s="1" t="s">
        <v>2283</v>
      </c>
      <c r="AT118" s="1" t="s">
        <v>2284</v>
      </c>
      <c r="AU118" s="1" t="s">
        <v>2285</v>
      </c>
      <c r="AV118" s="1" t="s">
        <v>2541</v>
      </c>
      <c r="AW118" s="1" t="s">
        <v>2542</v>
      </c>
      <c r="AX118" s="1" t="s">
        <v>82</v>
      </c>
      <c r="AY118" s="1" t="s">
        <v>2543</v>
      </c>
      <c r="AZ118" s="1" t="s">
        <v>2544</v>
      </c>
      <c r="BA118" s="1" t="s">
        <v>2584</v>
      </c>
      <c r="BB118" s="1">
        <v>2022</v>
      </c>
      <c r="BC118" s="1">
        <v>238</v>
      </c>
      <c r="BD118" s="1" t="s">
        <v>82</v>
      </c>
      <c r="BE118" s="1" t="s">
        <v>82</v>
      </c>
      <c r="BF118" s="1" t="s">
        <v>82</v>
      </c>
      <c r="BG118" s="1" t="s">
        <v>82</v>
      </c>
      <c r="BH118" s="1" t="s">
        <v>82</v>
      </c>
      <c r="BI118" s="1" t="s">
        <v>82</v>
      </c>
      <c r="BJ118" s="1" t="s">
        <v>82</v>
      </c>
      <c r="BK118" s="1">
        <v>114445</v>
      </c>
      <c r="BL118" s="1" t="s">
        <v>2585</v>
      </c>
      <c r="BM118" s="1" t="str">
        <f>HYPERLINK("http://dx.doi.org/10.1016/j.ejmech.2022.114445","http://dx.doi.org/10.1016/j.ejmech.2022.114445")</f>
        <v>http://dx.doi.org/10.1016/j.ejmech.2022.114445</v>
      </c>
      <c r="BN118" s="1" t="s">
        <v>82</v>
      </c>
      <c r="BO118" s="1" t="s">
        <v>247</v>
      </c>
      <c r="BP118" s="1">
        <v>15</v>
      </c>
      <c r="BQ118" s="1" t="s">
        <v>2546</v>
      </c>
      <c r="BR118" s="1" t="s">
        <v>104</v>
      </c>
      <c r="BS118" s="1" t="s">
        <v>982</v>
      </c>
      <c r="BT118" s="1" t="s">
        <v>2586</v>
      </c>
      <c r="BU118" s="1">
        <v>35580424</v>
      </c>
      <c r="BV118" s="1" t="s">
        <v>82</v>
      </c>
      <c r="BW118" s="1" t="s">
        <v>82</v>
      </c>
      <c r="BX118" s="1" t="s">
        <v>82</v>
      </c>
      <c r="BY118" s="1" t="s">
        <v>108</v>
      </c>
      <c r="BZ118" s="1" t="s">
        <v>2587</v>
      </c>
      <c r="CA118" s="1" t="str">
        <f>HYPERLINK("https%3A%2F%2Fwww.webofscience.com%2Fwos%2Fwoscc%2Ffull-record%2FWOS:000807163000001","View Full Record in Web of Science")</f>
        <v>View Full Record in Web of Science</v>
      </c>
    </row>
    <row r="119" s="1" customFormat="1" ht="14.4" spans="1:79">
      <c r="A119">
        <v>118</v>
      </c>
      <c r="B119" s="2" t="s">
        <v>110</v>
      </c>
      <c r="C119" s="1" t="s">
        <v>80</v>
      </c>
      <c r="D119" s="1" t="s">
        <v>2588</v>
      </c>
      <c r="E119" s="1" t="s">
        <v>82</v>
      </c>
      <c r="F119" s="1" t="s">
        <v>82</v>
      </c>
      <c r="G119" s="1" t="s">
        <v>82</v>
      </c>
      <c r="H119" s="1" t="s">
        <v>2589</v>
      </c>
      <c r="I119" s="1" t="s">
        <v>82</v>
      </c>
      <c r="J119" s="1" t="s">
        <v>82</v>
      </c>
      <c r="K119" s="1" t="s">
        <v>2590</v>
      </c>
      <c r="L119" s="1" t="s">
        <v>2530</v>
      </c>
      <c r="M119" s="1">
        <v>7.088</v>
      </c>
      <c r="O119" s="1" t="s">
        <v>82</v>
      </c>
      <c r="P119" s="1" t="s">
        <v>82</v>
      </c>
      <c r="Q119" s="1" t="s">
        <v>87</v>
      </c>
      <c r="R119" s="1" t="s">
        <v>115</v>
      </c>
      <c r="S119" s="1" t="s">
        <v>82</v>
      </c>
      <c r="T119" s="1" t="s">
        <v>82</v>
      </c>
      <c r="U119" s="1" t="s">
        <v>82</v>
      </c>
      <c r="V119" s="1" t="s">
        <v>82</v>
      </c>
      <c r="W119" s="1" t="s">
        <v>82</v>
      </c>
      <c r="X119" s="1" t="s">
        <v>2591</v>
      </c>
      <c r="Y119" s="1" t="s">
        <v>2592</v>
      </c>
      <c r="Z119" s="1" t="s">
        <v>2593</v>
      </c>
      <c r="AA119" s="1">
        <v>1</v>
      </c>
      <c r="AB119" s="1" t="s">
        <v>2594</v>
      </c>
      <c r="AC119" s="1" t="s">
        <v>2595</v>
      </c>
      <c r="AD119" s="1" t="s">
        <v>93</v>
      </c>
      <c r="AE119" s="1" t="s">
        <v>2596</v>
      </c>
      <c r="AF119" s="1" t="s">
        <v>2597</v>
      </c>
      <c r="AG119" s="1" t="s">
        <v>2598</v>
      </c>
      <c r="AH119" s="1" t="s">
        <v>82</v>
      </c>
      <c r="AI119" s="1" t="s">
        <v>2599</v>
      </c>
      <c r="AJ119" s="1" t="s">
        <v>2600</v>
      </c>
      <c r="AK119" s="1" t="s">
        <v>2601</v>
      </c>
      <c r="AL119" s="1" t="s">
        <v>2602</v>
      </c>
      <c r="AM119" s="1" t="s">
        <v>82</v>
      </c>
      <c r="AN119" s="1">
        <v>29</v>
      </c>
      <c r="AO119" s="1">
        <v>1</v>
      </c>
      <c r="AP119" s="1">
        <v>1</v>
      </c>
      <c r="AQ119" s="1">
        <v>7</v>
      </c>
      <c r="AR119" s="1">
        <v>13</v>
      </c>
      <c r="AS119" s="1" t="s">
        <v>2283</v>
      </c>
      <c r="AT119" s="1" t="s">
        <v>2284</v>
      </c>
      <c r="AU119" s="1" t="s">
        <v>2285</v>
      </c>
      <c r="AV119" s="1" t="s">
        <v>2541</v>
      </c>
      <c r="AW119" s="1" t="s">
        <v>2542</v>
      </c>
      <c r="AX119" s="1" t="s">
        <v>82</v>
      </c>
      <c r="AY119" s="1" t="s">
        <v>2543</v>
      </c>
      <c r="AZ119" s="1" t="s">
        <v>2544</v>
      </c>
      <c r="BA119" s="1" t="s">
        <v>2603</v>
      </c>
      <c r="BB119" s="1">
        <v>2022</v>
      </c>
      <c r="BC119" s="1">
        <v>236</v>
      </c>
      <c r="BD119" s="1" t="s">
        <v>82</v>
      </c>
      <c r="BE119" s="1" t="s">
        <v>82</v>
      </c>
      <c r="BF119" s="1" t="s">
        <v>82</v>
      </c>
      <c r="BG119" s="1" t="s">
        <v>82</v>
      </c>
      <c r="BH119" s="1" t="s">
        <v>82</v>
      </c>
      <c r="BI119" s="1" t="s">
        <v>82</v>
      </c>
      <c r="BJ119" s="1" t="s">
        <v>82</v>
      </c>
      <c r="BK119" s="1">
        <v>114355</v>
      </c>
      <c r="BL119" s="1" t="s">
        <v>2604</v>
      </c>
      <c r="BM119" s="1" t="str">
        <f>HYPERLINK("http://dx.doi.org/10.1016/j.ejmech.2022.114355","http://dx.doi.org/10.1016/j.ejmech.2022.114355")</f>
        <v>http://dx.doi.org/10.1016/j.ejmech.2022.114355</v>
      </c>
      <c r="BN119" s="1" t="s">
        <v>82</v>
      </c>
      <c r="BO119" s="1" t="s">
        <v>267</v>
      </c>
      <c r="BP119" s="1">
        <v>9</v>
      </c>
      <c r="BQ119" s="1" t="s">
        <v>2546</v>
      </c>
      <c r="BR119" s="1" t="s">
        <v>104</v>
      </c>
      <c r="BS119" s="1" t="s">
        <v>982</v>
      </c>
      <c r="BT119" s="1" t="s">
        <v>2605</v>
      </c>
      <c r="BU119" s="1">
        <v>35413617</v>
      </c>
      <c r="BV119" s="1" t="s">
        <v>82</v>
      </c>
      <c r="BW119" s="1" t="s">
        <v>82</v>
      </c>
      <c r="BX119" s="1" t="s">
        <v>82</v>
      </c>
      <c r="BY119" s="1" t="s">
        <v>108</v>
      </c>
      <c r="BZ119" s="1" t="s">
        <v>2606</v>
      </c>
      <c r="CA119" s="1" t="str">
        <f>HYPERLINK("https%3A%2F%2Fwww.webofscience.com%2Fwos%2Fwoscc%2Ffull-record%2FWOS:000806672800002","View Full Record in Web of Science")</f>
        <v>View Full Record in Web of Science</v>
      </c>
    </row>
    <row r="120" s="1" customFormat="1" ht="14.4" spans="1:79">
      <c r="A120">
        <v>119</v>
      </c>
      <c r="B120" s="2" t="s">
        <v>110</v>
      </c>
      <c r="C120" s="1" t="s">
        <v>80</v>
      </c>
      <c r="D120" s="1" t="s">
        <v>2607</v>
      </c>
      <c r="E120" s="1" t="s">
        <v>82</v>
      </c>
      <c r="F120" s="1" t="s">
        <v>82</v>
      </c>
      <c r="G120" s="1" t="s">
        <v>82</v>
      </c>
      <c r="H120" s="1" t="s">
        <v>2608</v>
      </c>
      <c r="I120" s="1" t="s">
        <v>82</v>
      </c>
      <c r="J120" s="1" t="s">
        <v>82</v>
      </c>
      <c r="K120" s="1" t="s">
        <v>2609</v>
      </c>
      <c r="L120" s="1" t="s">
        <v>2530</v>
      </c>
      <c r="M120" s="1">
        <v>7.088</v>
      </c>
      <c r="O120" s="1" t="s">
        <v>82</v>
      </c>
      <c r="P120" s="1" t="s">
        <v>82</v>
      </c>
      <c r="Q120" s="1" t="s">
        <v>87</v>
      </c>
      <c r="R120" s="1" t="s">
        <v>115</v>
      </c>
      <c r="S120" s="1" t="s">
        <v>82</v>
      </c>
      <c r="T120" s="1" t="s">
        <v>82</v>
      </c>
      <c r="U120" s="1" t="s">
        <v>82</v>
      </c>
      <c r="V120" s="1" t="s">
        <v>82</v>
      </c>
      <c r="W120" s="1" t="s">
        <v>82</v>
      </c>
      <c r="X120" s="1" t="s">
        <v>2610</v>
      </c>
      <c r="Y120" s="1" t="s">
        <v>2611</v>
      </c>
      <c r="Z120" s="1" t="s">
        <v>2612</v>
      </c>
      <c r="AA120" s="1">
        <v>1</v>
      </c>
      <c r="AB120" s="1" t="s">
        <v>2613</v>
      </c>
      <c r="AC120" s="1" t="s">
        <v>2614</v>
      </c>
      <c r="AD120" s="1" t="s">
        <v>93</v>
      </c>
      <c r="AE120" s="1" t="s">
        <v>2615</v>
      </c>
      <c r="AF120" s="1" t="s">
        <v>2616</v>
      </c>
      <c r="AG120" s="1" t="s">
        <v>2617</v>
      </c>
      <c r="AH120" s="1" t="s">
        <v>82</v>
      </c>
      <c r="AI120" s="1" t="s">
        <v>2618</v>
      </c>
      <c r="AJ120" s="1" t="s">
        <v>2619</v>
      </c>
      <c r="AK120" s="1" t="s">
        <v>2620</v>
      </c>
      <c r="AL120" s="1" t="s">
        <v>2621</v>
      </c>
      <c r="AM120" s="1" t="s">
        <v>82</v>
      </c>
      <c r="AN120" s="1">
        <v>30</v>
      </c>
      <c r="AO120" s="1">
        <v>0</v>
      </c>
      <c r="AP120" s="1">
        <v>0</v>
      </c>
      <c r="AQ120" s="1">
        <v>4</v>
      </c>
      <c r="AR120" s="1">
        <v>19</v>
      </c>
      <c r="AS120" s="1" t="s">
        <v>2283</v>
      </c>
      <c r="AT120" s="1" t="s">
        <v>2284</v>
      </c>
      <c r="AU120" s="1" t="s">
        <v>2285</v>
      </c>
      <c r="AV120" s="1" t="s">
        <v>2541</v>
      </c>
      <c r="AW120" s="1" t="s">
        <v>2542</v>
      </c>
      <c r="AX120" s="1" t="s">
        <v>82</v>
      </c>
      <c r="AY120" s="1" t="s">
        <v>2543</v>
      </c>
      <c r="AZ120" s="1" t="s">
        <v>2544</v>
      </c>
      <c r="BA120" s="1" t="s">
        <v>2622</v>
      </c>
      <c r="BB120" s="1">
        <v>2022</v>
      </c>
      <c r="BC120" s="1">
        <v>232</v>
      </c>
      <c r="BD120" s="1" t="s">
        <v>82</v>
      </c>
      <c r="BE120" s="1" t="s">
        <v>82</v>
      </c>
      <c r="BF120" s="1" t="s">
        <v>82</v>
      </c>
      <c r="BG120" s="1" t="s">
        <v>82</v>
      </c>
      <c r="BH120" s="1" t="s">
        <v>82</v>
      </c>
      <c r="BI120" s="1" t="s">
        <v>82</v>
      </c>
      <c r="BJ120" s="1" t="s">
        <v>82</v>
      </c>
      <c r="BK120" s="1">
        <v>114171</v>
      </c>
      <c r="BL120" s="1" t="s">
        <v>2623</v>
      </c>
      <c r="BM120" s="1" t="str">
        <f>HYPERLINK("http://dx.doi.org/10.1016/j.ejmech.2022.114171","http://dx.doi.org/10.1016/j.ejmech.2022.114171")</f>
        <v>http://dx.doi.org/10.1016/j.ejmech.2022.114171</v>
      </c>
      <c r="BN120" s="1" t="s">
        <v>82</v>
      </c>
      <c r="BO120" s="1" t="s">
        <v>296</v>
      </c>
      <c r="BP120" s="1">
        <v>14</v>
      </c>
      <c r="BQ120" s="1" t="s">
        <v>2546</v>
      </c>
      <c r="BR120" s="1" t="s">
        <v>745</v>
      </c>
      <c r="BS120" s="1" t="s">
        <v>982</v>
      </c>
      <c r="BT120" s="1" t="s">
        <v>2624</v>
      </c>
      <c r="BU120" s="1">
        <v>35152093</v>
      </c>
      <c r="BV120" s="1" t="s">
        <v>82</v>
      </c>
      <c r="BW120" s="1" t="s">
        <v>82</v>
      </c>
      <c r="BX120" s="1" t="s">
        <v>82</v>
      </c>
      <c r="BY120" s="1" t="s">
        <v>108</v>
      </c>
      <c r="BZ120" s="1" t="s">
        <v>2625</v>
      </c>
      <c r="CA120" s="1" t="str">
        <f>HYPERLINK("https%3A%2F%2Fwww.webofscience.com%2Fwos%2Fwoscc%2Ffull-record%2FWOS:000803062900006","View Full Record in Web of Science")</f>
        <v>View Full Record in Web of Science</v>
      </c>
    </row>
    <row r="121" s="1" customFormat="1" ht="14.4" spans="1:79">
      <c r="A121">
        <v>120</v>
      </c>
      <c r="B121" s="2" t="s">
        <v>110</v>
      </c>
      <c r="C121" s="1" t="s">
        <v>80</v>
      </c>
      <c r="D121" s="1" t="s">
        <v>2626</v>
      </c>
      <c r="E121" s="1" t="s">
        <v>82</v>
      </c>
      <c r="F121" s="1" t="s">
        <v>82</v>
      </c>
      <c r="G121" s="1" t="s">
        <v>82</v>
      </c>
      <c r="H121" s="1" t="s">
        <v>2627</v>
      </c>
      <c r="I121" s="1" t="s">
        <v>82</v>
      </c>
      <c r="J121" s="1" t="s">
        <v>82</v>
      </c>
      <c r="K121" s="1" t="s">
        <v>2628</v>
      </c>
      <c r="L121" s="1" t="s">
        <v>2530</v>
      </c>
      <c r="M121" s="1">
        <v>7.088</v>
      </c>
      <c r="O121" s="1" t="s">
        <v>82</v>
      </c>
      <c r="P121" s="1" t="s">
        <v>82</v>
      </c>
      <c r="Q121" s="1" t="s">
        <v>87</v>
      </c>
      <c r="R121" s="1" t="s">
        <v>115</v>
      </c>
      <c r="S121" s="1" t="s">
        <v>82</v>
      </c>
      <c r="T121" s="1" t="s">
        <v>82</v>
      </c>
      <c r="U121" s="1" t="s">
        <v>82</v>
      </c>
      <c r="V121" s="1" t="s">
        <v>82</v>
      </c>
      <c r="W121" s="1" t="s">
        <v>82</v>
      </c>
      <c r="X121" s="1" t="s">
        <v>2629</v>
      </c>
      <c r="Y121" s="1" t="s">
        <v>2630</v>
      </c>
      <c r="Z121" s="1" t="s">
        <v>2631</v>
      </c>
      <c r="AA121" s="1">
        <v>1</v>
      </c>
      <c r="AB121" s="1" t="s">
        <v>2632</v>
      </c>
      <c r="AC121" s="1" t="s">
        <v>2633</v>
      </c>
      <c r="AD121" s="1" t="s">
        <v>93</v>
      </c>
      <c r="AE121" s="1" t="s">
        <v>94</v>
      </c>
      <c r="AF121" s="1" t="s">
        <v>2634</v>
      </c>
      <c r="AG121" s="1" t="s">
        <v>2635</v>
      </c>
      <c r="AH121" s="1" t="s">
        <v>82</v>
      </c>
      <c r="AI121" s="1" t="s">
        <v>82</v>
      </c>
      <c r="AJ121" s="1" t="s">
        <v>2636</v>
      </c>
      <c r="AK121" s="1" t="s">
        <v>2637</v>
      </c>
      <c r="AL121" s="1" t="s">
        <v>2638</v>
      </c>
      <c r="AM121" s="1" t="s">
        <v>82</v>
      </c>
      <c r="AN121" s="1">
        <v>69</v>
      </c>
      <c r="AO121" s="1">
        <v>4</v>
      </c>
      <c r="AP121" s="1">
        <v>4</v>
      </c>
      <c r="AQ121" s="1">
        <v>12</v>
      </c>
      <c r="AR121" s="1">
        <v>22</v>
      </c>
      <c r="AS121" s="1" t="s">
        <v>2283</v>
      </c>
      <c r="AT121" s="1" t="s">
        <v>2284</v>
      </c>
      <c r="AU121" s="1" t="s">
        <v>2285</v>
      </c>
      <c r="AV121" s="1" t="s">
        <v>2541</v>
      </c>
      <c r="AW121" s="1" t="s">
        <v>2542</v>
      </c>
      <c r="AX121" s="1" t="s">
        <v>82</v>
      </c>
      <c r="AY121" s="1" t="s">
        <v>2543</v>
      </c>
      <c r="AZ121" s="1" t="s">
        <v>2544</v>
      </c>
      <c r="BA121" s="1" t="s">
        <v>2639</v>
      </c>
      <c r="BB121" s="1">
        <v>2022</v>
      </c>
      <c r="BC121" s="1">
        <v>235</v>
      </c>
      <c r="BD121" s="1" t="s">
        <v>82</v>
      </c>
      <c r="BE121" s="1" t="s">
        <v>82</v>
      </c>
      <c r="BF121" s="1" t="s">
        <v>82</v>
      </c>
      <c r="BG121" s="1" t="s">
        <v>82</v>
      </c>
      <c r="BH121" s="1" t="s">
        <v>82</v>
      </c>
      <c r="BI121" s="1" t="s">
        <v>82</v>
      </c>
      <c r="BJ121" s="1" t="s">
        <v>82</v>
      </c>
      <c r="BK121" s="1">
        <v>114294</v>
      </c>
      <c r="BL121" s="1" t="s">
        <v>2640</v>
      </c>
      <c r="BM121" s="1" t="str">
        <f>HYPERLINK("http://dx.doi.org/10.1016/j.ejmech.2022.114294","http://dx.doi.org/10.1016/j.ejmech.2022.114294")</f>
        <v>http://dx.doi.org/10.1016/j.ejmech.2022.114294</v>
      </c>
      <c r="BN121" s="1" t="s">
        <v>82</v>
      </c>
      <c r="BO121" s="1" t="s">
        <v>282</v>
      </c>
      <c r="BP121" s="1">
        <v>16</v>
      </c>
      <c r="BQ121" s="1" t="s">
        <v>2546</v>
      </c>
      <c r="BR121" s="1" t="s">
        <v>745</v>
      </c>
      <c r="BS121" s="1" t="s">
        <v>982</v>
      </c>
      <c r="BT121" s="1" t="s">
        <v>2641</v>
      </c>
      <c r="BU121" s="1">
        <v>35358772</v>
      </c>
      <c r="BV121" s="1" t="s">
        <v>82</v>
      </c>
      <c r="BW121" s="1" t="s">
        <v>82</v>
      </c>
      <c r="BX121" s="1" t="s">
        <v>82</v>
      </c>
      <c r="BY121" s="1" t="s">
        <v>108</v>
      </c>
      <c r="BZ121" s="1" t="s">
        <v>2642</v>
      </c>
      <c r="CA121" s="1" t="str">
        <f>HYPERLINK("https%3A%2F%2Fwww.webofscience.com%2Fwos%2Fwoscc%2Ffull-record%2FWOS:000793276100010","View Full Record in Web of Science")</f>
        <v>View Full Record in Web of Science</v>
      </c>
    </row>
    <row r="122" s="1" customFormat="1" ht="14.4" spans="1:79">
      <c r="A122">
        <v>121</v>
      </c>
      <c r="B122" s="2" t="s">
        <v>110</v>
      </c>
      <c r="C122" s="1" t="s">
        <v>80</v>
      </c>
      <c r="D122" s="1" t="s">
        <v>2643</v>
      </c>
      <c r="E122" s="1" t="s">
        <v>82</v>
      </c>
      <c r="F122" s="1" t="s">
        <v>82</v>
      </c>
      <c r="G122" s="1" t="s">
        <v>82</v>
      </c>
      <c r="H122" s="1" t="s">
        <v>2644</v>
      </c>
      <c r="I122" s="1" t="s">
        <v>82</v>
      </c>
      <c r="J122" s="1" t="s">
        <v>82</v>
      </c>
      <c r="K122" s="1" t="s">
        <v>2645</v>
      </c>
      <c r="L122" s="1" t="s">
        <v>2530</v>
      </c>
      <c r="M122" s="1">
        <v>7.088</v>
      </c>
      <c r="O122" s="1" t="s">
        <v>82</v>
      </c>
      <c r="P122" s="1" t="s">
        <v>82</v>
      </c>
      <c r="Q122" s="1" t="s">
        <v>87</v>
      </c>
      <c r="R122" s="1" t="s">
        <v>115</v>
      </c>
      <c r="S122" s="1" t="s">
        <v>82</v>
      </c>
      <c r="T122" s="1" t="s">
        <v>82</v>
      </c>
      <c r="U122" s="1" t="s">
        <v>82</v>
      </c>
      <c r="V122" s="1" t="s">
        <v>82</v>
      </c>
      <c r="W122" s="1" t="s">
        <v>82</v>
      </c>
      <c r="X122" s="1" t="s">
        <v>2646</v>
      </c>
      <c r="Y122" s="1" t="s">
        <v>2647</v>
      </c>
      <c r="Z122" s="1" t="s">
        <v>2648</v>
      </c>
      <c r="AA122" s="1">
        <v>1</v>
      </c>
      <c r="AB122" s="1" t="s">
        <v>2649</v>
      </c>
      <c r="AC122" s="1" t="s">
        <v>2650</v>
      </c>
      <c r="AD122" s="1" t="s">
        <v>93</v>
      </c>
      <c r="AE122" s="1" t="s">
        <v>1630</v>
      </c>
      <c r="AF122" s="1" t="s">
        <v>2651</v>
      </c>
      <c r="AG122" s="1" t="s">
        <v>2652</v>
      </c>
      <c r="AH122" s="1" t="s">
        <v>82</v>
      </c>
      <c r="AI122" s="1" t="s">
        <v>2653</v>
      </c>
      <c r="AJ122" s="1" t="s">
        <v>2654</v>
      </c>
      <c r="AK122" s="1" t="s">
        <v>2655</v>
      </c>
      <c r="AL122" s="1" t="s">
        <v>2656</v>
      </c>
      <c r="AM122" s="1" t="s">
        <v>82</v>
      </c>
      <c r="AN122" s="1">
        <v>48</v>
      </c>
      <c r="AO122" s="1">
        <v>0</v>
      </c>
      <c r="AP122" s="1">
        <v>0</v>
      </c>
      <c r="AQ122" s="1">
        <v>3</v>
      </c>
      <c r="AR122" s="1">
        <v>5</v>
      </c>
      <c r="AS122" s="1" t="s">
        <v>2283</v>
      </c>
      <c r="AT122" s="1" t="s">
        <v>2284</v>
      </c>
      <c r="AU122" s="1" t="s">
        <v>2285</v>
      </c>
      <c r="AV122" s="1" t="s">
        <v>2541</v>
      </c>
      <c r="AW122" s="1" t="s">
        <v>2542</v>
      </c>
      <c r="AX122" s="1" t="s">
        <v>82</v>
      </c>
      <c r="AY122" s="1" t="s">
        <v>2543</v>
      </c>
      <c r="AZ122" s="1" t="s">
        <v>2544</v>
      </c>
      <c r="BA122" s="1" t="s">
        <v>2657</v>
      </c>
      <c r="BB122" s="1">
        <v>2022</v>
      </c>
      <c r="BC122" s="1">
        <v>234</v>
      </c>
      <c r="BD122" s="1" t="s">
        <v>82</v>
      </c>
      <c r="BE122" s="1" t="s">
        <v>82</v>
      </c>
      <c r="BF122" s="1" t="s">
        <v>82</v>
      </c>
      <c r="BG122" s="1" t="s">
        <v>82</v>
      </c>
      <c r="BH122" s="1" t="s">
        <v>82</v>
      </c>
      <c r="BI122" s="1" t="s">
        <v>82</v>
      </c>
      <c r="BJ122" s="1" t="s">
        <v>82</v>
      </c>
      <c r="BK122" s="1">
        <v>114256</v>
      </c>
      <c r="BL122" s="1" t="s">
        <v>2658</v>
      </c>
      <c r="BM122" s="1" t="str">
        <f>HYPERLINK("http://dx.doi.org/10.1016/j.ejmech.2022.114256","http://dx.doi.org/10.1016/j.ejmech.2022.114256")</f>
        <v>http://dx.doi.org/10.1016/j.ejmech.2022.114256</v>
      </c>
      <c r="BN122" s="1" t="s">
        <v>82</v>
      </c>
      <c r="BO122" s="1" t="s">
        <v>282</v>
      </c>
      <c r="BP122" s="1">
        <v>11</v>
      </c>
      <c r="BQ122" s="1" t="s">
        <v>2546</v>
      </c>
      <c r="BR122" s="1" t="s">
        <v>745</v>
      </c>
      <c r="BS122" s="1" t="s">
        <v>982</v>
      </c>
      <c r="BT122" s="1" t="s">
        <v>2659</v>
      </c>
      <c r="BU122" s="1">
        <v>35279609</v>
      </c>
      <c r="BV122" s="1" t="s">
        <v>82</v>
      </c>
      <c r="BW122" s="1" t="s">
        <v>82</v>
      </c>
      <c r="BX122" s="1" t="s">
        <v>82</v>
      </c>
      <c r="BY122" s="1" t="s">
        <v>108</v>
      </c>
      <c r="BZ122" s="1" t="s">
        <v>2660</v>
      </c>
      <c r="CA122" s="1" t="str">
        <f>HYPERLINK("https%3A%2F%2Fwww.webofscience.com%2Fwos%2Fwoscc%2Ffull-record%2FWOS:000793278200006","View Full Record in Web of Science")</f>
        <v>View Full Record in Web of Science</v>
      </c>
    </row>
    <row r="123" s="1" customFormat="1" ht="14.4" spans="1:79">
      <c r="A123">
        <v>122</v>
      </c>
      <c r="B123" s="2" t="s">
        <v>110</v>
      </c>
      <c r="C123" s="1" t="s">
        <v>80</v>
      </c>
      <c r="D123" s="1" t="s">
        <v>2661</v>
      </c>
      <c r="E123" s="1" t="s">
        <v>82</v>
      </c>
      <c r="F123" s="1" t="s">
        <v>82</v>
      </c>
      <c r="G123" s="1" t="s">
        <v>82</v>
      </c>
      <c r="H123" s="1" t="s">
        <v>2662</v>
      </c>
      <c r="I123" s="1" t="s">
        <v>82</v>
      </c>
      <c r="J123" s="1" t="s">
        <v>82</v>
      </c>
      <c r="K123" s="1" t="s">
        <v>2663</v>
      </c>
      <c r="L123" s="1" t="s">
        <v>2530</v>
      </c>
      <c r="M123" s="1">
        <v>7.088</v>
      </c>
      <c r="O123" s="1" t="s">
        <v>82</v>
      </c>
      <c r="P123" s="1" t="s">
        <v>82</v>
      </c>
      <c r="Q123" s="1" t="s">
        <v>87</v>
      </c>
      <c r="R123" s="1" t="s">
        <v>115</v>
      </c>
      <c r="S123" s="1" t="s">
        <v>82</v>
      </c>
      <c r="T123" s="1" t="s">
        <v>82</v>
      </c>
      <c r="U123" s="1" t="s">
        <v>82</v>
      </c>
      <c r="V123" s="1" t="s">
        <v>82</v>
      </c>
      <c r="W123" s="1" t="s">
        <v>82</v>
      </c>
      <c r="X123" s="1" t="s">
        <v>2664</v>
      </c>
      <c r="Y123" s="1" t="s">
        <v>2665</v>
      </c>
      <c r="Z123" s="1" t="s">
        <v>2666</v>
      </c>
      <c r="AA123" s="1">
        <v>1</v>
      </c>
      <c r="AB123" s="1" t="s">
        <v>2667</v>
      </c>
      <c r="AC123" s="1" t="s">
        <v>2668</v>
      </c>
      <c r="AD123" s="1" t="s">
        <v>93</v>
      </c>
      <c r="AE123" s="1" t="s">
        <v>2669</v>
      </c>
      <c r="AF123" s="1" t="s">
        <v>2670</v>
      </c>
      <c r="AG123" s="1" t="s">
        <v>2671</v>
      </c>
      <c r="AH123" s="1" t="s">
        <v>82</v>
      </c>
      <c r="AI123" s="1" t="s">
        <v>2672</v>
      </c>
      <c r="AJ123" s="1" t="s">
        <v>2673</v>
      </c>
      <c r="AK123" s="1" t="s">
        <v>2674</v>
      </c>
      <c r="AL123" s="1" t="s">
        <v>2675</v>
      </c>
      <c r="AM123" s="1" t="s">
        <v>82</v>
      </c>
      <c r="AN123" s="1">
        <v>23</v>
      </c>
      <c r="AO123" s="1">
        <v>6</v>
      </c>
      <c r="AP123" s="1">
        <v>7</v>
      </c>
      <c r="AQ123" s="1">
        <v>6</v>
      </c>
      <c r="AR123" s="1">
        <v>41</v>
      </c>
      <c r="AS123" s="1" t="s">
        <v>2283</v>
      </c>
      <c r="AT123" s="1" t="s">
        <v>2284</v>
      </c>
      <c r="AU123" s="1" t="s">
        <v>2285</v>
      </c>
      <c r="AV123" s="1" t="s">
        <v>2541</v>
      </c>
      <c r="AW123" s="1" t="s">
        <v>2542</v>
      </c>
      <c r="AX123" s="1" t="s">
        <v>82</v>
      </c>
      <c r="AY123" s="1" t="s">
        <v>2543</v>
      </c>
      <c r="AZ123" s="1" t="s">
        <v>2544</v>
      </c>
      <c r="BA123" s="1" t="s">
        <v>2397</v>
      </c>
      <c r="BB123" s="1">
        <v>2022</v>
      </c>
      <c r="BC123" s="1">
        <v>227</v>
      </c>
      <c r="BD123" s="1" t="s">
        <v>82</v>
      </c>
      <c r="BE123" s="1" t="s">
        <v>82</v>
      </c>
      <c r="BF123" s="1" t="s">
        <v>82</v>
      </c>
      <c r="BG123" s="1" t="s">
        <v>82</v>
      </c>
      <c r="BH123" s="1" t="s">
        <v>82</v>
      </c>
      <c r="BI123" s="1" t="s">
        <v>82</v>
      </c>
      <c r="BJ123" s="1" t="s">
        <v>82</v>
      </c>
      <c r="BK123" s="1">
        <v>113966</v>
      </c>
      <c r="BL123" s="1" t="s">
        <v>2676</v>
      </c>
      <c r="BM123" s="1" t="str">
        <f>HYPERLINK("http://dx.doi.org/10.1016/j.ejmech.2021.113966","http://dx.doi.org/10.1016/j.ejmech.2021.113966")</f>
        <v>http://dx.doi.org/10.1016/j.ejmech.2021.113966</v>
      </c>
      <c r="BN123" s="1" t="s">
        <v>82</v>
      </c>
      <c r="BO123" s="1" t="s">
        <v>904</v>
      </c>
      <c r="BP123" s="1">
        <v>12</v>
      </c>
      <c r="BQ123" s="1" t="s">
        <v>2546</v>
      </c>
      <c r="BR123" s="1" t="s">
        <v>745</v>
      </c>
      <c r="BS123" s="1" t="s">
        <v>982</v>
      </c>
      <c r="BT123" s="1" t="s">
        <v>2677</v>
      </c>
      <c r="BU123" s="1">
        <v>34749200</v>
      </c>
      <c r="BV123" s="1" t="s">
        <v>2678</v>
      </c>
      <c r="BW123" s="1" t="s">
        <v>82</v>
      </c>
      <c r="BX123" s="1" t="s">
        <v>82</v>
      </c>
      <c r="BY123" s="1" t="s">
        <v>108</v>
      </c>
      <c r="BZ123" s="1" t="s">
        <v>2679</v>
      </c>
      <c r="CA123" s="1" t="str">
        <f>HYPERLINK("https%3A%2F%2Fwww.webofscience.com%2Fwos%2Fwoscc%2Ffull-record%2FWOS:000744228500007","View Full Record in Web of Science")</f>
        <v>View Full Record in Web of Science</v>
      </c>
    </row>
    <row r="124" s="1" customFormat="1" ht="14.4" spans="1:79">
      <c r="A124">
        <v>123</v>
      </c>
      <c r="B124" s="2" t="s">
        <v>79</v>
      </c>
      <c r="C124" s="1" t="s">
        <v>80</v>
      </c>
      <c r="D124" s="1" t="s">
        <v>2680</v>
      </c>
      <c r="E124" s="1" t="s">
        <v>82</v>
      </c>
      <c r="F124" s="1" t="s">
        <v>82</v>
      </c>
      <c r="G124" s="1" t="s">
        <v>82</v>
      </c>
      <c r="H124" s="1" t="s">
        <v>2681</v>
      </c>
      <c r="I124" s="1" t="s">
        <v>82</v>
      </c>
      <c r="J124" s="1" t="s">
        <v>82</v>
      </c>
      <c r="K124" s="1" t="s">
        <v>2682</v>
      </c>
      <c r="L124" s="1" t="s">
        <v>2683</v>
      </c>
      <c r="M124" s="1">
        <v>6.975</v>
      </c>
      <c r="O124" s="1" t="s">
        <v>82</v>
      </c>
      <c r="P124" s="1" t="s">
        <v>82</v>
      </c>
      <c r="Q124" s="1" t="s">
        <v>87</v>
      </c>
      <c r="R124" s="1" t="s">
        <v>2383</v>
      </c>
      <c r="S124" s="1" t="s">
        <v>82</v>
      </c>
      <c r="T124" s="1" t="s">
        <v>82</v>
      </c>
      <c r="U124" s="1" t="s">
        <v>82</v>
      </c>
      <c r="V124" s="1" t="s">
        <v>82</v>
      </c>
      <c r="W124" s="1" t="s">
        <v>82</v>
      </c>
      <c r="X124" s="1" t="s">
        <v>82</v>
      </c>
      <c r="Y124" s="1" t="s">
        <v>2684</v>
      </c>
      <c r="Z124" s="1" t="s">
        <v>82</v>
      </c>
      <c r="AB124" s="1" t="s">
        <v>2685</v>
      </c>
      <c r="AC124" s="1" t="s">
        <v>2686</v>
      </c>
      <c r="AD124" s="1" t="s">
        <v>206</v>
      </c>
      <c r="AE124" s="1" t="s">
        <v>2687</v>
      </c>
      <c r="AF124" s="1" t="s">
        <v>2688</v>
      </c>
      <c r="AG124" s="1" t="s">
        <v>2689</v>
      </c>
      <c r="AH124" s="1" t="s">
        <v>2690</v>
      </c>
      <c r="AI124" s="1" t="s">
        <v>2691</v>
      </c>
      <c r="AJ124" s="1" t="s">
        <v>2692</v>
      </c>
      <c r="AK124" s="1" t="s">
        <v>2693</v>
      </c>
      <c r="AL124" s="1" t="s">
        <v>2694</v>
      </c>
      <c r="AM124" s="1" t="s">
        <v>82</v>
      </c>
      <c r="AN124" s="1">
        <v>11</v>
      </c>
      <c r="AO124" s="1">
        <v>1</v>
      </c>
      <c r="AP124" s="1">
        <v>1</v>
      </c>
      <c r="AQ124" s="1">
        <v>3</v>
      </c>
      <c r="AR124" s="1">
        <v>12</v>
      </c>
      <c r="AS124" s="1" t="s">
        <v>2695</v>
      </c>
      <c r="AT124" s="1" t="s">
        <v>975</v>
      </c>
      <c r="AU124" s="1" t="s">
        <v>2696</v>
      </c>
      <c r="AV124" s="1" t="s">
        <v>2697</v>
      </c>
      <c r="AW124" s="1" t="s">
        <v>82</v>
      </c>
      <c r="AX124" s="1" t="s">
        <v>82</v>
      </c>
      <c r="AY124" s="1" t="s">
        <v>2698</v>
      </c>
      <c r="AZ124" s="1" t="s">
        <v>2699</v>
      </c>
      <c r="BA124" s="1" t="s">
        <v>82</v>
      </c>
      <c r="BB124" s="1">
        <v>2022</v>
      </c>
      <c r="BC124" s="1">
        <v>43</v>
      </c>
      <c r="BD124" s="1">
        <v>1</v>
      </c>
      <c r="BE124" s="1" t="s">
        <v>82</v>
      </c>
      <c r="BF124" s="1" t="s">
        <v>82</v>
      </c>
      <c r="BG124" s="1" t="s">
        <v>82</v>
      </c>
      <c r="BH124" s="1" t="s">
        <v>82</v>
      </c>
      <c r="BI124" s="1">
        <v>75</v>
      </c>
      <c r="BJ124" s="1">
        <v>77</v>
      </c>
      <c r="BK124" s="1" t="s">
        <v>82</v>
      </c>
      <c r="BL124" s="1" t="s">
        <v>2700</v>
      </c>
      <c r="BM124" s="1" t="str">
        <f>HYPERLINK("http://dx.doi.org/10.24272/j.issn.2095-8137.2021.250","http://dx.doi.org/10.24272/j.issn.2095-8137.2021.250")</f>
        <v>http://dx.doi.org/10.24272/j.issn.2095-8137.2021.250</v>
      </c>
      <c r="BN124" s="1" t="s">
        <v>82</v>
      </c>
      <c r="BO124" s="1" t="s">
        <v>82</v>
      </c>
      <c r="BP124" s="1">
        <v>3</v>
      </c>
      <c r="BQ124" s="1" t="s">
        <v>2701</v>
      </c>
      <c r="BR124" s="1" t="s">
        <v>104</v>
      </c>
      <c r="BS124" s="1" t="s">
        <v>2701</v>
      </c>
      <c r="BT124" s="1" t="s">
        <v>2702</v>
      </c>
      <c r="BU124" s="1">
        <v>34845880</v>
      </c>
      <c r="BV124" s="1" t="s">
        <v>2703</v>
      </c>
      <c r="BW124" s="1" t="s">
        <v>82</v>
      </c>
      <c r="BX124" s="1" t="s">
        <v>82</v>
      </c>
      <c r="BY124" s="1" t="s">
        <v>108</v>
      </c>
      <c r="BZ124" s="1" t="s">
        <v>2704</v>
      </c>
      <c r="CA124" s="1" t="str">
        <f>HYPERLINK("https%3A%2F%2Fwww.webofscience.com%2Fwos%2Fwoscc%2Ffull-record%2FWOS:000740658200010","View Full Record in Web of Science")</f>
        <v>View Full Record in Web of Science</v>
      </c>
    </row>
    <row r="125" s="1" customFormat="1" ht="14.4" spans="1:79">
      <c r="A125">
        <v>124</v>
      </c>
      <c r="B125" s="2" t="s">
        <v>79</v>
      </c>
      <c r="C125" s="1" t="s">
        <v>80</v>
      </c>
      <c r="D125" s="1" t="s">
        <v>2705</v>
      </c>
      <c r="E125" s="1" t="s">
        <v>82</v>
      </c>
      <c r="F125" s="1" t="s">
        <v>82</v>
      </c>
      <c r="G125" s="1" t="s">
        <v>82</v>
      </c>
      <c r="H125" s="1" t="s">
        <v>2706</v>
      </c>
      <c r="I125" s="1" t="s">
        <v>82</v>
      </c>
      <c r="J125" s="1" t="s">
        <v>82</v>
      </c>
      <c r="K125" s="1" t="s">
        <v>2707</v>
      </c>
      <c r="L125" s="1" t="s">
        <v>2708</v>
      </c>
      <c r="M125" s="1">
        <v>6.909</v>
      </c>
      <c r="O125" s="1" t="s">
        <v>82</v>
      </c>
      <c r="P125" s="1" t="s">
        <v>82</v>
      </c>
      <c r="Q125" s="1" t="s">
        <v>87</v>
      </c>
      <c r="R125" s="1" t="s">
        <v>115</v>
      </c>
      <c r="S125" s="1" t="s">
        <v>82</v>
      </c>
      <c r="T125" s="1" t="s">
        <v>82</v>
      </c>
      <c r="U125" s="1" t="s">
        <v>82</v>
      </c>
      <c r="V125" s="1" t="s">
        <v>82</v>
      </c>
      <c r="W125" s="1" t="s">
        <v>82</v>
      </c>
      <c r="X125" s="1" t="s">
        <v>2709</v>
      </c>
      <c r="Y125" s="1" t="s">
        <v>2710</v>
      </c>
      <c r="Z125" s="1" t="s">
        <v>2711</v>
      </c>
      <c r="AA125" s="1">
        <v>1</v>
      </c>
      <c r="AB125" s="1" t="s">
        <v>2712</v>
      </c>
      <c r="AC125" s="1" t="s">
        <v>2713</v>
      </c>
      <c r="AD125" s="1" t="s">
        <v>93</v>
      </c>
      <c r="AE125" s="1" t="s">
        <v>2714</v>
      </c>
      <c r="AF125" s="1" t="s">
        <v>2715</v>
      </c>
      <c r="AG125" s="1" t="s">
        <v>2716</v>
      </c>
      <c r="AH125" s="1" t="s">
        <v>82</v>
      </c>
      <c r="AI125" s="1" t="s">
        <v>2717</v>
      </c>
      <c r="AJ125" s="1" t="s">
        <v>82</v>
      </c>
      <c r="AK125" s="1" t="s">
        <v>82</v>
      </c>
      <c r="AL125" s="1" t="s">
        <v>82</v>
      </c>
      <c r="AM125" s="1" t="s">
        <v>82</v>
      </c>
      <c r="AN125" s="1">
        <v>48</v>
      </c>
      <c r="AO125" s="1">
        <v>0</v>
      </c>
      <c r="AP125" s="1">
        <v>0</v>
      </c>
      <c r="AQ125" s="1">
        <v>21</v>
      </c>
      <c r="AR125" s="1">
        <v>23</v>
      </c>
      <c r="AS125" s="1" t="s">
        <v>1002</v>
      </c>
      <c r="AT125" s="1" t="s">
        <v>1003</v>
      </c>
      <c r="AU125" s="1" t="s">
        <v>1004</v>
      </c>
      <c r="AV125" s="1" t="s">
        <v>2718</v>
      </c>
      <c r="AW125" s="1" t="s">
        <v>2719</v>
      </c>
      <c r="AX125" s="1" t="s">
        <v>82</v>
      </c>
      <c r="AY125" s="1" t="s">
        <v>2720</v>
      </c>
      <c r="AZ125" s="1" t="s">
        <v>2721</v>
      </c>
      <c r="BA125" s="1" t="s">
        <v>222</v>
      </c>
      <c r="BB125" s="1">
        <v>2022</v>
      </c>
      <c r="BC125" s="1">
        <v>31</v>
      </c>
      <c r="BD125" s="1">
        <v>9</v>
      </c>
      <c r="BE125" s="1" t="s">
        <v>82</v>
      </c>
      <c r="BF125" s="1" t="s">
        <v>82</v>
      </c>
      <c r="BG125" s="1" t="s">
        <v>82</v>
      </c>
      <c r="BH125" s="1" t="s">
        <v>82</v>
      </c>
      <c r="BI125" s="1">
        <v>1864</v>
      </c>
      <c r="BJ125" s="1">
        <v>1876</v>
      </c>
      <c r="BK125" s="1" t="s">
        <v>82</v>
      </c>
      <c r="BL125" s="1" t="s">
        <v>2722</v>
      </c>
      <c r="BM125" s="1" t="str">
        <f>HYPERLINK("http://dx.doi.org/10.1111/geb.13566","http://dx.doi.org/10.1111/geb.13566")</f>
        <v>http://dx.doi.org/10.1111/geb.13566</v>
      </c>
      <c r="BN125" s="1" t="s">
        <v>82</v>
      </c>
      <c r="BO125" s="1" t="s">
        <v>1257</v>
      </c>
      <c r="BP125" s="1">
        <v>13</v>
      </c>
      <c r="BQ125" s="1" t="s">
        <v>2723</v>
      </c>
      <c r="BR125" s="1" t="s">
        <v>104</v>
      </c>
      <c r="BS125" s="1" t="s">
        <v>2724</v>
      </c>
      <c r="BT125" s="1" t="s">
        <v>2725</v>
      </c>
      <c r="BU125" s="1" t="s">
        <v>82</v>
      </c>
      <c r="BV125" s="1" t="s">
        <v>82</v>
      </c>
      <c r="BW125" s="1" t="s">
        <v>82</v>
      </c>
      <c r="BX125" s="1" t="s">
        <v>82</v>
      </c>
      <c r="BY125" s="1" t="s">
        <v>108</v>
      </c>
      <c r="BZ125" s="1" t="s">
        <v>2726</v>
      </c>
      <c r="CA125" s="1" t="str">
        <f>HYPERLINK("https%3A%2F%2Fwww.webofscience.com%2Fwos%2Fwoscc%2Ffull-record%2FWOS:000826741000001","View Full Record in Web of Science")</f>
        <v>View Full Record in Web of Science</v>
      </c>
    </row>
    <row r="126" s="1" customFormat="1" ht="14.4" spans="1:79">
      <c r="A126">
        <v>125</v>
      </c>
      <c r="B126" s="2" t="s">
        <v>79</v>
      </c>
      <c r="C126" s="1" t="s">
        <v>80</v>
      </c>
      <c r="D126" s="1" t="s">
        <v>2727</v>
      </c>
      <c r="E126" s="1" t="s">
        <v>82</v>
      </c>
      <c r="F126" s="1" t="s">
        <v>82</v>
      </c>
      <c r="G126" s="1" t="s">
        <v>82</v>
      </c>
      <c r="H126" s="1" t="s">
        <v>2728</v>
      </c>
      <c r="I126" s="1" t="s">
        <v>82</v>
      </c>
      <c r="J126" s="1" t="s">
        <v>82</v>
      </c>
      <c r="K126" s="1" t="s">
        <v>2729</v>
      </c>
      <c r="L126" s="1" t="s">
        <v>2708</v>
      </c>
      <c r="M126" s="1">
        <v>6.909</v>
      </c>
      <c r="O126" s="1" t="s">
        <v>82</v>
      </c>
      <c r="P126" s="1" t="s">
        <v>82</v>
      </c>
      <c r="Q126" s="1" t="s">
        <v>87</v>
      </c>
      <c r="R126" s="1" t="s">
        <v>115</v>
      </c>
      <c r="S126" s="1" t="s">
        <v>82</v>
      </c>
      <c r="T126" s="1" t="s">
        <v>82</v>
      </c>
      <c r="U126" s="1" t="s">
        <v>82</v>
      </c>
      <c r="V126" s="1" t="s">
        <v>82</v>
      </c>
      <c r="W126" s="1" t="s">
        <v>82</v>
      </c>
      <c r="X126" s="1" t="s">
        <v>2709</v>
      </c>
      <c r="Y126" s="1" t="s">
        <v>2730</v>
      </c>
      <c r="Z126" s="1" t="s">
        <v>2731</v>
      </c>
      <c r="AA126" s="1">
        <v>1</v>
      </c>
      <c r="AB126" s="1" t="s">
        <v>2712</v>
      </c>
      <c r="AC126" s="1" t="s">
        <v>2732</v>
      </c>
      <c r="AD126" s="1" t="s">
        <v>93</v>
      </c>
      <c r="AE126" s="1" t="s">
        <v>2733</v>
      </c>
      <c r="AF126" s="1" t="s">
        <v>2734</v>
      </c>
      <c r="AG126" s="1" t="s">
        <v>2735</v>
      </c>
      <c r="AH126" s="1" t="s">
        <v>82</v>
      </c>
      <c r="AI126" s="1" t="s">
        <v>82</v>
      </c>
      <c r="AJ126" s="1" t="s">
        <v>82</v>
      </c>
      <c r="AK126" s="1" t="s">
        <v>82</v>
      </c>
      <c r="AL126" s="1" t="s">
        <v>82</v>
      </c>
      <c r="AM126" s="1" t="s">
        <v>82</v>
      </c>
      <c r="AN126" s="1">
        <v>61</v>
      </c>
      <c r="AO126" s="1">
        <v>7</v>
      </c>
      <c r="AP126" s="1">
        <v>7</v>
      </c>
      <c r="AQ126" s="1">
        <v>12</v>
      </c>
      <c r="AR126" s="1">
        <v>32</v>
      </c>
      <c r="AS126" s="1" t="s">
        <v>1002</v>
      </c>
      <c r="AT126" s="1" t="s">
        <v>1003</v>
      </c>
      <c r="AU126" s="1" t="s">
        <v>1004</v>
      </c>
      <c r="AV126" s="1" t="s">
        <v>2718</v>
      </c>
      <c r="AW126" s="1" t="s">
        <v>2719</v>
      </c>
      <c r="AX126" s="1" t="s">
        <v>82</v>
      </c>
      <c r="AY126" s="1" t="s">
        <v>2720</v>
      </c>
      <c r="AZ126" s="1" t="s">
        <v>2721</v>
      </c>
      <c r="BA126" s="1" t="s">
        <v>2145</v>
      </c>
      <c r="BB126" s="1">
        <v>2022</v>
      </c>
      <c r="BC126" s="1">
        <v>31</v>
      </c>
      <c r="BD126" s="1">
        <v>3</v>
      </c>
      <c r="BE126" s="1" t="s">
        <v>82</v>
      </c>
      <c r="BF126" s="1" t="s">
        <v>82</v>
      </c>
      <c r="BG126" s="1" t="s">
        <v>82</v>
      </c>
      <c r="BH126" s="1" t="s">
        <v>82</v>
      </c>
      <c r="BI126" s="1">
        <v>531</v>
      </c>
      <c r="BJ126" s="1">
        <v>545</v>
      </c>
      <c r="BK126" s="1" t="s">
        <v>82</v>
      </c>
      <c r="BL126" s="1" t="s">
        <v>2736</v>
      </c>
      <c r="BM126" s="1" t="str">
        <f>HYPERLINK("http://dx.doi.org/10.1111/geb.13445","http://dx.doi.org/10.1111/geb.13445")</f>
        <v>http://dx.doi.org/10.1111/geb.13445</v>
      </c>
      <c r="BN126" s="1" t="s">
        <v>82</v>
      </c>
      <c r="BO126" s="1" t="s">
        <v>1462</v>
      </c>
      <c r="BP126" s="1">
        <v>15</v>
      </c>
      <c r="BQ126" s="1" t="s">
        <v>2723</v>
      </c>
      <c r="BR126" s="1" t="s">
        <v>104</v>
      </c>
      <c r="BS126" s="1" t="s">
        <v>2724</v>
      </c>
      <c r="BT126" s="1" t="s">
        <v>2737</v>
      </c>
      <c r="BU126" s="1" t="s">
        <v>82</v>
      </c>
      <c r="BV126" s="1" t="s">
        <v>82</v>
      </c>
      <c r="BW126" s="1" t="s">
        <v>82</v>
      </c>
      <c r="BX126" s="1" t="s">
        <v>82</v>
      </c>
      <c r="BY126" s="1" t="s">
        <v>108</v>
      </c>
      <c r="BZ126" s="1" t="s">
        <v>2738</v>
      </c>
      <c r="CA126" s="1" t="str">
        <f>HYPERLINK("https%3A%2F%2Fwww.webofscience.com%2Fwos%2Fwoscc%2Ffull-record%2FWOS:000734725000001","View Full Record in Web of Science")</f>
        <v>View Full Record in Web of Science</v>
      </c>
    </row>
    <row r="127" s="1" customFormat="1" ht="14.4" spans="1:79">
      <c r="A127">
        <v>126</v>
      </c>
      <c r="B127" s="2" t="s">
        <v>79</v>
      </c>
      <c r="C127" s="1" t="s">
        <v>80</v>
      </c>
      <c r="D127" s="1" t="s">
        <v>2739</v>
      </c>
      <c r="E127" s="1" t="s">
        <v>82</v>
      </c>
      <c r="F127" s="1" t="s">
        <v>82</v>
      </c>
      <c r="G127" s="1" t="s">
        <v>82</v>
      </c>
      <c r="H127" s="1" t="s">
        <v>2740</v>
      </c>
      <c r="I127" s="1" t="s">
        <v>82</v>
      </c>
      <c r="J127" s="1" t="s">
        <v>82</v>
      </c>
      <c r="K127" s="1" t="s">
        <v>2741</v>
      </c>
      <c r="L127" s="1" t="s">
        <v>2708</v>
      </c>
      <c r="M127" s="1">
        <v>6.909</v>
      </c>
      <c r="O127" s="1" t="s">
        <v>82</v>
      </c>
      <c r="P127" s="1" t="s">
        <v>82</v>
      </c>
      <c r="Q127" s="1" t="s">
        <v>87</v>
      </c>
      <c r="R127" s="1" t="s">
        <v>115</v>
      </c>
      <c r="S127" s="1" t="s">
        <v>82</v>
      </c>
      <c r="T127" s="1" t="s">
        <v>82</v>
      </c>
      <c r="U127" s="1" t="s">
        <v>82</v>
      </c>
      <c r="V127" s="1" t="s">
        <v>82</v>
      </c>
      <c r="W127" s="1" t="s">
        <v>82</v>
      </c>
      <c r="X127" s="1" t="s">
        <v>2742</v>
      </c>
      <c r="Y127" s="1" t="s">
        <v>2743</v>
      </c>
      <c r="Z127" s="1" t="s">
        <v>2744</v>
      </c>
      <c r="AA127" s="1">
        <v>1</v>
      </c>
      <c r="AB127" s="1" t="s">
        <v>2712</v>
      </c>
      <c r="AC127" s="1" t="s">
        <v>2745</v>
      </c>
      <c r="AD127" s="1" t="s">
        <v>93</v>
      </c>
      <c r="AE127" s="1" t="s">
        <v>2746</v>
      </c>
      <c r="AF127" s="1" t="s">
        <v>2747</v>
      </c>
      <c r="AG127" s="1" t="s">
        <v>2748</v>
      </c>
      <c r="AH127" s="1" t="s">
        <v>82</v>
      </c>
      <c r="AI127" s="1" t="s">
        <v>82</v>
      </c>
      <c r="AJ127" s="1" t="s">
        <v>2749</v>
      </c>
      <c r="AK127" s="1" t="s">
        <v>2750</v>
      </c>
      <c r="AL127" s="1" t="s">
        <v>2751</v>
      </c>
      <c r="AM127" s="1" t="s">
        <v>82</v>
      </c>
      <c r="AN127" s="1">
        <v>57</v>
      </c>
      <c r="AO127" s="1">
        <v>1</v>
      </c>
      <c r="AP127" s="1">
        <v>1</v>
      </c>
      <c r="AQ127" s="1">
        <v>6</v>
      </c>
      <c r="AR127" s="1">
        <v>24</v>
      </c>
      <c r="AS127" s="1" t="s">
        <v>1002</v>
      </c>
      <c r="AT127" s="1" t="s">
        <v>1003</v>
      </c>
      <c r="AU127" s="1" t="s">
        <v>1004</v>
      </c>
      <c r="AV127" s="1" t="s">
        <v>2718</v>
      </c>
      <c r="AW127" s="1" t="s">
        <v>2719</v>
      </c>
      <c r="AX127" s="1" t="s">
        <v>82</v>
      </c>
      <c r="AY127" s="1" t="s">
        <v>2720</v>
      </c>
      <c r="AZ127" s="1" t="s">
        <v>2721</v>
      </c>
      <c r="BA127" s="1" t="s">
        <v>2145</v>
      </c>
      <c r="BB127" s="1">
        <v>2022</v>
      </c>
      <c r="BC127" s="1">
        <v>31</v>
      </c>
      <c r="BD127" s="1">
        <v>3</v>
      </c>
      <c r="BE127" s="1" t="s">
        <v>82</v>
      </c>
      <c r="BF127" s="1" t="s">
        <v>82</v>
      </c>
      <c r="BG127" s="1" t="s">
        <v>82</v>
      </c>
      <c r="BH127" s="1" t="s">
        <v>82</v>
      </c>
      <c r="BI127" s="1">
        <v>396</v>
      </c>
      <c r="BJ127" s="1">
        <v>404</v>
      </c>
      <c r="BK127" s="1" t="s">
        <v>82</v>
      </c>
      <c r="BL127" s="1" t="s">
        <v>2752</v>
      </c>
      <c r="BM127" s="1" t="str">
        <f>HYPERLINK("http://dx.doi.org/10.1111/geb.13434","http://dx.doi.org/10.1111/geb.13434")</f>
        <v>http://dx.doi.org/10.1111/geb.13434</v>
      </c>
      <c r="BN127" s="1" t="s">
        <v>82</v>
      </c>
      <c r="BO127" s="1" t="s">
        <v>904</v>
      </c>
      <c r="BP127" s="1">
        <v>9</v>
      </c>
      <c r="BQ127" s="1" t="s">
        <v>2723</v>
      </c>
      <c r="BR127" s="1" t="s">
        <v>104</v>
      </c>
      <c r="BS127" s="1" t="s">
        <v>2724</v>
      </c>
      <c r="BT127" s="1" t="s">
        <v>2737</v>
      </c>
      <c r="BU127" s="1" t="s">
        <v>82</v>
      </c>
      <c r="BV127" s="1" t="s">
        <v>82</v>
      </c>
      <c r="BW127" s="1" t="s">
        <v>82</v>
      </c>
      <c r="BX127" s="1" t="s">
        <v>82</v>
      </c>
      <c r="BY127" s="1" t="s">
        <v>108</v>
      </c>
      <c r="BZ127" s="1" t="s">
        <v>2753</v>
      </c>
      <c r="CA127" s="1" t="str">
        <f>HYPERLINK("https%3A%2F%2Fwww.webofscience.com%2Fwos%2Fwoscc%2Ffull-record%2FWOS:000722309300001","View Full Record in Web of Science")</f>
        <v>View Full Record in Web of Science</v>
      </c>
    </row>
    <row r="128" s="1" customFormat="1" ht="14.4" spans="1:79">
      <c r="A128">
        <v>127</v>
      </c>
      <c r="B128" s="2" t="s">
        <v>79</v>
      </c>
      <c r="C128" s="1" t="s">
        <v>80</v>
      </c>
      <c r="D128" s="1" t="s">
        <v>2754</v>
      </c>
      <c r="E128" s="1" t="s">
        <v>82</v>
      </c>
      <c r="F128" s="1" t="s">
        <v>82</v>
      </c>
      <c r="G128" s="1" t="s">
        <v>82</v>
      </c>
      <c r="H128" s="1" t="s">
        <v>2755</v>
      </c>
      <c r="I128" s="1" t="s">
        <v>82</v>
      </c>
      <c r="J128" s="1" t="s">
        <v>82</v>
      </c>
      <c r="K128" s="1" t="s">
        <v>2756</v>
      </c>
      <c r="L128" s="1" t="s">
        <v>2757</v>
      </c>
      <c r="M128" s="1">
        <v>6.802</v>
      </c>
      <c r="O128" s="1" t="s">
        <v>82</v>
      </c>
      <c r="P128" s="1" t="s">
        <v>82</v>
      </c>
      <c r="Q128" s="1" t="s">
        <v>87</v>
      </c>
      <c r="R128" s="1" t="s">
        <v>115</v>
      </c>
      <c r="S128" s="1" t="s">
        <v>82</v>
      </c>
      <c r="T128" s="1" t="s">
        <v>82</v>
      </c>
      <c r="U128" s="1" t="s">
        <v>82</v>
      </c>
      <c r="V128" s="1" t="s">
        <v>82</v>
      </c>
      <c r="W128" s="1" t="s">
        <v>82</v>
      </c>
      <c r="X128" s="1" t="s">
        <v>2758</v>
      </c>
      <c r="Y128" s="1" t="s">
        <v>2759</v>
      </c>
      <c r="Z128" s="1" t="s">
        <v>2760</v>
      </c>
      <c r="AA128" s="1">
        <v>1</v>
      </c>
      <c r="AB128" s="1" t="s">
        <v>2712</v>
      </c>
      <c r="AC128" s="1" t="s">
        <v>2761</v>
      </c>
      <c r="AD128" s="1" t="s">
        <v>93</v>
      </c>
      <c r="AE128" s="1" t="s">
        <v>2762</v>
      </c>
      <c r="AF128" s="1" t="s">
        <v>2763</v>
      </c>
      <c r="AG128" s="1" t="s">
        <v>2735</v>
      </c>
      <c r="AH128" s="1" t="s">
        <v>2764</v>
      </c>
      <c r="AI128" s="1" t="s">
        <v>2765</v>
      </c>
      <c r="AJ128" s="1" t="s">
        <v>2766</v>
      </c>
      <c r="AK128" s="1" t="s">
        <v>2767</v>
      </c>
      <c r="AL128" s="1" t="s">
        <v>2768</v>
      </c>
      <c r="AM128" s="1" t="s">
        <v>82</v>
      </c>
      <c r="AN128" s="1">
        <v>85</v>
      </c>
      <c r="AO128" s="1">
        <v>0</v>
      </c>
      <c r="AP128" s="1">
        <v>0</v>
      </c>
      <c r="AQ128" s="1">
        <v>12</v>
      </c>
      <c r="AR128" s="1">
        <v>12</v>
      </c>
      <c r="AS128" s="1" t="s">
        <v>1002</v>
      </c>
      <c r="AT128" s="1" t="s">
        <v>1003</v>
      </c>
      <c r="AU128" s="1" t="s">
        <v>1004</v>
      </c>
      <c r="AV128" s="1" t="s">
        <v>2769</v>
      </c>
      <c r="AW128" s="1" t="s">
        <v>2770</v>
      </c>
      <c r="AX128" s="1" t="s">
        <v>82</v>
      </c>
      <c r="AY128" s="1" t="s">
        <v>2757</v>
      </c>
      <c r="AZ128" s="1" t="s">
        <v>2771</v>
      </c>
      <c r="BA128" s="1" t="s">
        <v>1826</v>
      </c>
      <c r="BB128" s="1">
        <v>2023</v>
      </c>
      <c r="BC128" s="1">
        <v>2023</v>
      </c>
      <c r="BD128" s="1">
        <v>1</v>
      </c>
      <c r="BE128" s="1" t="s">
        <v>82</v>
      </c>
      <c r="BF128" s="1" t="s">
        <v>82</v>
      </c>
      <c r="BG128" s="1" t="s">
        <v>82</v>
      </c>
      <c r="BH128" s="1" t="s">
        <v>82</v>
      </c>
      <c r="BI128" s="1" t="s">
        <v>82</v>
      </c>
      <c r="BJ128" s="1" t="s">
        <v>82</v>
      </c>
      <c r="BK128" s="1" t="s">
        <v>82</v>
      </c>
      <c r="BL128" s="1" t="s">
        <v>2772</v>
      </c>
      <c r="BM128" s="1" t="str">
        <f>HYPERLINK("http://dx.doi.org/10.1111/ecog.06516","http://dx.doi.org/10.1111/ecog.06516")</f>
        <v>http://dx.doi.org/10.1111/ecog.06516</v>
      </c>
      <c r="BN128" s="1" t="s">
        <v>82</v>
      </c>
      <c r="BO128" s="1" t="s">
        <v>870</v>
      </c>
      <c r="BP128" s="1">
        <v>13</v>
      </c>
      <c r="BQ128" s="1" t="s">
        <v>2773</v>
      </c>
      <c r="BR128" s="1" t="s">
        <v>104</v>
      </c>
      <c r="BS128" s="1" t="s">
        <v>1011</v>
      </c>
      <c r="BT128" s="1" t="s">
        <v>2774</v>
      </c>
      <c r="BU128" s="1" t="s">
        <v>82</v>
      </c>
      <c r="BV128" s="1" t="s">
        <v>316</v>
      </c>
      <c r="BW128" s="1" t="s">
        <v>82</v>
      </c>
      <c r="BX128" s="1" t="s">
        <v>82</v>
      </c>
      <c r="BY128" s="1" t="s">
        <v>108</v>
      </c>
      <c r="BZ128" s="1" t="s">
        <v>2775</v>
      </c>
      <c r="CA128" s="1" t="str">
        <f>HYPERLINK("https%3A%2F%2Fwww.webofscience.com%2Fwos%2Fwoscc%2Ffull-record%2FWOS:000892080200001","View Full Record in Web of Science")</f>
        <v>View Full Record in Web of Science</v>
      </c>
    </row>
    <row r="129" s="1" customFormat="1" ht="14.4" spans="1:79">
      <c r="A129">
        <v>128</v>
      </c>
      <c r="B129" s="2" t="s">
        <v>110</v>
      </c>
      <c r="C129" s="1" t="s">
        <v>80</v>
      </c>
      <c r="D129" s="1" t="s">
        <v>2776</v>
      </c>
      <c r="E129" s="1" t="s">
        <v>82</v>
      </c>
      <c r="F129" s="1" t="s">
        <v>82</v>
      </c>
      <c r="G129" s="1" t="s">
        <v>82</v>
      </c>
      <c r="H129" s="1" t="s">
        <v>2777</v>
      </c>
      <c r="I129" s="1" t="s">
        <v>82</v>
      </c>
      <c r="J129" s="1" t="s">
        <v>82</v>
      </c>
      <c r="K129" s="1" t="s">
        <v>2778</v>
      </c>
      <c r="L129" s="1" t="s">
        <v>2779</v>
      </c>
      <c r="M129" s="1">
        <v>6.751</v>
      </c>
      <c r="O129" s="1" t="s">
        <v>82</v>
      </c>
      <c r="P129" s="1" t="s">
        <v>82</v>
      </c>
      <c r="Q129" s="1" t="s">
        <v>87</v>
      </c>
      <c r="R129" s="1" t="s">
        <v>115</v>
      </c>
      <c r="S129" s="1" t="s">
        <v>82</v>
      </c>
      <c r="T129" s="1" t="s">
        <v>82</v>
      </c>
      <c r="U129" s="1" t="s">
        <v>82</v>
      </c>
      <c r="V129" s="1" t="s">
        <v>82</v>
      </c>
      <c r="W129" s="1" t="s">
        <v>82</v>
      </c>
      <c r="X129" s="1" t="s">
        <v>2780</v>
      </c>
      <c r="Y129" s="1" t="s">
        <v>2781</v>
      </c>
      <c r="Z129" s="1" t="s">
        <v>2782</v>
      </c>
      <c r="AA129" s="1">
        <v>1</v>
      </c>
      <c r="AB129" s="1" t="s">
        <v>2783</v>
      </c>
      <c r="AC129" s="1" t="s">
        <v>2784</v>
      </c>
      <c r="AD129" s="1" t="s">
        <v>93</v>
      </c>
      <c r="AE129" s="1" t="s">
        <v>2785</v>
      </c>
      <c r="AF129" s="1" t="s">
        <v>2786</v>
      </c>
      <c r="AG129" s="1" t="s">
        <v>2787</v>
      </c>
      <c r="AH129" s="1" t="s">
        <v>82</v>
      </c>
      <c r="AI129" s="1" t="s">
        <v>82</v>
      </c>
      <c r="AJ129" s="1" t="s">
        <v>2788</v>
      </c>
      <c r="AK129" s="1" t="s">
        <v>2789</v>
      </c>
      <c r="AL129" s="1" t="s">
        <v>2790</v>
      </c>
      <c r="AM129" s="1" t="s">
        <v>82</v>
      </c>
      <c r="AN129" s="1">
        <v>44</v>
      </c>
      <c r="AO129" s="1">
        <v>0</v>
      </c>
      <c r="AP129" s="1">
        <v>0</v>
      </c>
      <c r="AQ129" s="1">
        <v>5</v>
      </c>
      <c r="AR129" s="1">
        <v>5</v>
      </c>
      <c r="AS129" s="1" t="s">
        <v>479</v>
      </c>
      <c r="AT129" s="1" t="s">
        <v>480</v>
      </c>
      <c r="AU129" s="1" t="s">
        <v>481</v>
      </c>
      <c r="AV129" s="1" t="s">
        <v>2791</v>
      </c>
      <c r="AW129" s="1" t="s">
        <v>2792</v>
      </c>
      <c r="AX129" s="1" t="s">
        <v>82</v>
      </c>
      <c r="AY129" s="1" t="s">
        <v>2793</v>
      </c>
      <c r="AZ129" s="1" t="s">
        <v>2794</v>
      </c>
      <c r="BA129" s="1" t="s">
        <v>486</v>
      </c>
      <c r="BB129" s="1">
        <v>2022</v>
      </c>
      <c r="BC129" s="1">
        <v>193</v>
      </c>
      <c r="BD129" s="1" t="s">
        <v>82</v>
      </c>
      <c r="BE129" s="1" t="s">
        <v>82</v>
      </c>
      <c r="BF129" s="1" t="s">
        <v>82</v>
      </c>
      <c r="BG129" s="1" t="s">
        <v>82</v>
      </c>
      <c r="BH129" s="1" t="s">
        <v>82</v>
      </c>
      <c r="BI129" s="1" t="s">
        <v>82</v>
      </c>
      <c r="BJ129" s="1" t="s">
        <v>82</v>
      </c>
      <c r="BK129" s="1">
        <v>112058</v>
      </c>
      <c r="BL129" s="1" t="s">
        <v>2795</v>
      </c>
      <c r="BM129" s="1" t="str">
        <f>HYPERLINK("http://dx.doi.org/10.1016/j.postharvbio.2022.112058","http://dx.doi.org/10.1016/j.postharvbio.2022.112058")</f>
        <v>http://dx.doi.org/10.1016/j.postharvbio.2022.112058</v>
      </c>
      <c r="BN129" s="1" t="s">
        <v>82</v>
      </c>
      <c r="BO129" s="1" t="s">
        <v>424</v>
      </c>
      <c r="BP129" s="1">
        <v>8</v>
      </c>
      <c r="BQ129" s="1" t="s">
        <v>2796</v>
      </c>
      <c r="BR129" s="1" t="s">
        <v>104</v>
      </c>
      <c r="BS129" s="1" t="s">
        <v>2797</v>
      </c>
      <c r="BT129" s="1" t="s">
        <v>2798</v>
      </c>
      <c r="BU129" s="1" t="s">
        <v>82</v>
      </c>
      <c r="BV129" s="1" t="s">
        <v>82</v>
      </c>
      <c r="BW129" s="1" t="s">
        <v>82</v>
      </c>
      <c r="BX129" s="1" t="s">
        <v>82</v>
      </c>
      <c r="BY129" s="1" t="s">
        <v>108</v>
      </c>
      <c r="BZ129" s="1" t="s">
        <v>2799</v>
      </c>
      <c r="CA129" s="1" t="str">
        <f>HYPERLINK("https%3A%2F%2Fwww.webofscience.com%2Fwos%2Fwoscc%2Ffull-record%2FWOS:000888205500006","View Full Record in Web of Science")</f>
        <v>View Full Record in Web of Science</v>
      </c>
    </row>
    <row r="130" s="1" customFormat="1" ht="14.4" spans="1:79">
      <c r="A130">
        <v>129</v>
      </c>
      <c r="B130" s="2" t="s">
        <v>79</v>
      </c>
      <c r="C130" s="1" t="s">
        <v>80</v>
      </c>
      <c r="D130" s="1" t="s">
        <v>2800</v>
      </c>
      <c r="E130" s="1" t="s">
        <v>82</v>
      </c>
      <c r="F130" s="1" t="s">
        <v>82</v>
      </c>
      <c r="G130" s="1" t="s">
        <v>82</v>
      </c>
      <c r="H130" s="1" t="s">
        <v>2801</v>
      </c>
      <c r="I130" s="1" t="s">
        <v>82</v>
      </c>
      <c r="J130" s="1" t="s">
        <v>82</v>
      </c>
      <c r="K130" s="1" t="s">
        <v>2802</v>
      </c>
      <c r="L130" s="1" t="s">
        <v>2803</v>
      </c>
      <c r="M130" s="1">
        <v>6.727</v>
      </c>
      <c r="O130" s="1" t="s">
        <v>82</v>
      </c>
      <c r="P130" s="1" t="s">
        <v>82</v>
      </c>
      <c r="Q130" s="1" t="s">
        <v>87</v>
      </c>
      <c r="R130" s="1" t="s">
        <v>200</v>
      </c>
      <c r="S130" s="1" t="s">
        <v>82</v>
      </c>
      <c r="T130" s="1" t="s">
        <v>82</v>
      </c>
      <c r="U130" s="1" t="s">
        <v>82</v>
      </c>
      <c r="V130" s="1" t="s">
        <v>82</v>
      </c>
      <c r="W130" s="1" t="s">
        <v>82</v>
      </c>
      <c r="X130" s="1" t="s">
        <v>2804</v>
      </c>
      <c r="Y130" s="1" t="s">
        <v>2805</v>
      </c>
      <c r="Z130" s="1" t="s">
        <v>2806</v>
      </c>
      <c r="AB130" s="1" t="s">
        <v>304</v>
      </c>
      <c r="AC130" s="1" t="s">
        <v>2807</v>
      </c>
      <c r="AD130" s="1" t="s">
        <v>120</v>
      </c>
      <c r="AE130" s="1" t="s">
        <v>2808</v>
      </c>
      <c r="AF130" s="1" t="s">
        <v>2809</v>
      </c>
      <c r="AG130" s="1" t="s">
        <v>308</v>
      </c>
      <c r="AH130" s="1" t="s">
        <v>82</v>
      </c>
      <c r="AI130" s="1" t="s">
        <v>82</v>
      </c>
      <c r="AJ130" s="1" t="s">
        <v>2810</v>
      </c>
      <c r="AK130" s="1" t="s">
        <v>2811</v>
      </c>
      <c r="AL130" s="1" t="s">
        <v>2812</v>
      </c>
      <c r="AM130" s="1" t="s">
        <v>82</v>
      </c>
      <c r="AN130" s="1">
        <v>138</v>
      </c>
      <c r="AO130" s="1">
        <v>0</v>
      </c>
      <c r="AP130" s="1">
        <v>0</v>
      </c>
      <c r="AQ130" s="1">
        <v>1</v>
      </c>
      <c r="AR130" s="1">
        <v>1</v>
      </c>
      <c r="AS130" s="1" t="s">
        <v>508</v>
      </c>
      <c r="AT130" s="1" t="s">
        <v>329</v>
      </c>
      <c r="AU130" s="1" t="s">
        <v>509</v>
      </c>
      <c r="AV130" s="1" t="s">
        <v>2813</v>
      </c>
      <c r="AW130" s="1" t="s">
        <v>2814</v>
      </c>
      <c r="AX130" s="1" t="s">
        <v>82</v>
      </c>
      <c r="AY130" s="1" t="s">
        <v>2815</v>
      </c>
      <c r="AZ130" s="1" t="s">
        <v>2816</v>
      </c>
      <c r="BA130" s="1" t="s">
        <v>2123</v>
      </c>
      <c r="BB130" s="1">
        <v>2022</v>
      </c>
      <c r="BC130" s="1">
        <v>42</v>
      </c>
      <c r="BD130" s="1" t="s">
        <v>82</v>
      </c>
      <c r="BE130" s="1" t="s">
        <v>82</v>
      </c>
      <c r="BF130" s="1" t="s">
        <v>82</v>
      </c>
      <c r="BG130" s="1" t="s">
        <v>82</v>
      </c>
      <c r="BH130" s="1" t="s">
        <v>82</v>
      </c>
      <c r="BI130" s="1">
        <v>56</v>
      </c>
      <c r="BJ130" s="1">
        <v>68</v>
      </c>
      <c r="BK130" s="1" t="s">
        <v>82</v>
      </c>
      <c r="BL130" s="1" t="s">
        <v>2817</v>
      </c>
      <c r="BM130" s="1" t="str">
        <f>HYPERLINK("http://dx.doi.org/10.1016/j.fbr.2022.06.002","http://dx.doi.org/10.1016/j.fbr.2022.06.002")</f>
        <v>http://dx.doi.org/10.1016/j.fbr.2022.06.002</v>
      </c>
      <c r="BN130" s="1" t="s">
        <v>82</v>
      </c>
      <c r="BO130" s="1" t="s">
        <v>82</v>
      </c>
      <c r="BP130" s="1">
        <v>13</v>
      </c>
      <c r="BQ130" s="1" t="s">
        <v>225</v>
      </c>
      <c r="BR130" s="1" t="s">
        <v>104</v>
      </c>
      <c r="BS130" s="1" t="s">
        <v>225</v>
      </c>
      <c r="BT130" s="1" t="s">
        <v>2818</v>
      </c>
      <c r="BU130" s="1" t="s">
        <v>82</v>
      </c>
      <c r="BV130" s="1" t="s">
        <v>82</v>
      </c>
      <c r="BW130" s="1" t="s">
        <v>82</v>
      </c>
      <c r="BX130" s="1" t="s">
        <v>82</v>
      </c>
      <c r="BY130" s="1" t="s">
        <v>108</v>
      </c>
      <c r="BZ130" s="1" t="s">
        <v>2819</v>
      </c>
      <c r="CA130" s="1" t="str">
        <f>HYPERLINK("https%3A%2F%2Fwww.webofscience.com%2Fwos%2Fwoscc%2Ffull-record%2FWOS:000897450800003","View Full Record in Web of Science")</f>
        <v>View Full Record in Web of Science</v>
      </c>
    </row>
    <row r="131" s="1" customFormat="1" ht="14.4" spans="1:79">
      <c r="A131">
        <v>130</v>
      </c>
      <c r="B131" s="2" t="s">
        <v>79</v>
      </c>
      <c r="C131" s="1" t="s">
        <v>80</v>
      </c>
      <c r="D131" s="1" t="s">
        <v>2820</v>
      </c>
      <c r="E131" s="1" t="s">
        <v>82</v>
      </c>
      <c r="F131" s="1" t="s">
        <v>82</v>
      </c>
      <c r="G131" s="1" t="s">
        <v>82</v>
      </c>
      <c r="H131" s="1" t="s">
        <v>2821</v>
      </c>
      <c r="I131" s="1" t="s">
        <v>82</v>
      </c>
      <c r="J131" s="1" t="s">
        <v>82</v>
      </c>
      <c r="K131" s="1" t="s">
        <v>2822</v>
      </c>
      <c r="L131" s="1" t="s">
        <v>2823</v>
      </c>
      <c r="M131" s="1">
        <v>6.708</v>
      </c>
      <c r="O131" s="1" t="s">
        <v>82</v>
      </c>
      <c r="P131" s="1" t="s">
        <v>82</v>
      </c>
      <c r="Q131" s="1" t="s">
        <v>87</v>
      </c>
      <c r="R131" s="1" t="s">
        <v>115</v>
      </c>
      <c r="S131" s="1" t="s">
        <v>82</v>
      </c>
      <c r="T131" s="1" t="s">
        <v>82</v>
      </c>
      <c r="U131" s="1" t="s">
        <v>82</v>
      </c>
      <c r="V131" s="1" t="s">
        <v>82</v>
      </c>
      <c r="W131" s="1" t="s">
        <v>82</v>
      </c>
      <c r="X131" s="1" t="s">
        <v>2824</v>
      </c>
      <c r="Y131" s="1" t="s">
        <v>2825</v>
      </c>
      <c r="Z131" s="1" t="s">
        <v>2826</v>
      </c>
      <c r="AB131" s="1" t="s">
        <v>2827</v>
      </c>
      <c r="AC131" s="1" t="s">
        <v>2828</v>
      </c>
      <c r="AD131" s="1" t="s">
        <v>120</v>
      </c>
      <c r="AE131" s="1" t="s">
        <v>2829</v>
      </c>
      <c r="AF131" s="1" t="s">
        <v>2830</v>
      </c>
      <c r="AG131" s="1" t="s">
        <v>2831</v>
      </c>
      <c r="AH131" s="1" t="s">
        <v>82</v>
      </c>
      <c r="AI131" s="1" t="s">
        <v>82</v>
      </c>
      <c r="AJ131" s="1" t="s">
        <v>2832</v>
      </c>
      <c r="AK131" s="1" t="s">
        <v>2833</v>
      </c>
      <c r="AL131" s="1" t="s">
        <v>2834</v>
      </c>
      <c r="AM131" s="1" t="s">
        <v>82</v>
      </c>
      <c r="AN131" s="1">
        <v>79</v>
      </c>
      <c r="AO131" s="1">
        <v>0</v>
      </c>
      <c r="AP131" s="1">
        <v>0</v>
      </c>
      <c r="AQ131" s="1">
        <v>24</v>
      </c>
      <c r="AR131" s="1">
        <v>24</v>
      </c>
      <c r="AS131" s="1" t="s">
        <v>479</v>
      </c>
      <c r="AT131" s="1" t="s">
        <v>480</v>
      </c>
      <c r="AU131" s="1" t="s">
        <v>481</v>
      </c>
      <c r="AV131" s="1" t="s">
        <v>2835</v>
      </c>
      <c r="AW131" s="1" t="s">
        <v>2836</v>
      </c>
      <c r="AX131" s="1" t="s">
        <v>82</v>
      </c>
      <c r="AY131" s="1" t="s">
        <v>2837</v>
      </c>
      <c r="AZ131" s="1" t="s">
        <v>2838</v>
      </c>
      <c r="BA131" s="1" t="s">
        <v>245</v>
      </c>
      <c r="BB131" s="1">
        <v>2022</v>
      </c>
      <c r="BC131" s="1">
        <v>608</v>
      </c>
      <c r="BD131" s="1" t="s">
        <v>82</v>
      </c>
      <c r="BE131" s="1" t="s">
        <v>82</v>
      </c>
      <c r="BF131" s="1" t="s">
        <v>82</v>
      </c>
      <c r="BG131" s="1" t="s">
        <v>82</v>
      </c>
      <c r="BH131" s="1" t="s">
        <v>82</v>
      </c>
      <c r="BI131" s="1" t="s">
        <v>82</v>
      </c>
      <c r="BJ131" s="1" t="s">
        <v>82</v>
      </c>
      <c r="BK131" s="1">
        <v>127672</v>
      </c>
      <c r="BL131" s="1" t="s">
        <v>2839</v>
      </c>
      <c r="BM131" s="1" t="str">
        <f>HYPERLINK("http://dx.doi.org/10.1016/j.jhydrol.2022.127672","http://dx.doi.org/10.1016/j.jhydrol.2022.127672")</f>
        <v>http://dx.doi.org/10.1016/j.jhydrol.2022.127672</v>
      </c>
      <c r="BN131" s="1" t="s">
        <v>82</v>
      </c>
      <c r="BO131" s="1" t="s">
        <v>282</v>
      </c>
      <c r="BP131" s="1">
        <v>14</v>
      </c>
      <c r="BQ131" s="1" t="s">
        <v>2840</v>
      </c>
      <c r="BR131" s="1" t="s">
        <v>104</v>
      </c>
      <c r="BS131" s="1" t="s">
        <v>2841</v>
      </c>
      <c r="BT131" s="1" t="s">
        <v>2842</v>
      </c>
      <c r="BU131" s="1" t="s">
        <v>82</v>
      </c>
      <c r="BV131" s="1" t="s">
        <v>82</v>
      </c>
      <c r="BW131" s="1" t="s">
        <v>82</v>
      </c>
      <c r="BX131" s="1" t="s">
        <v>82</v>
      </c>
      <c r="BY131" s="1" t="s">
        <v>108</v>
      </c>
      <c r="BZ131" s="1" t="s">
        <v>2843</v>
      </c>
      <c r="CA131" s="1" t="str">
        <f>HYPERLINK("https%3A%2F%2Fwww.webofscience.com%2Fwos%2Fwoscc%2Ffull-record%2FWOS:000823095400006","View Full Record in Web of Science")</f>
        <v>View Full Record in Web of Science</v>
      </c>
    </row>
    <row r="132" s="1" customFormat="1" ht="14.4" spans="1:79">
      <c r="A132">
        <v>131</v>
      </c>
      <c r="B132" s="2" t="s">
        <v>79</v>
      </c>
      <c r="C132" s="1" t="s">
        <v>80</v>
      </c>
      <c r="D132" s="1" t="s">
        <v>2844</v>
      </c>
      <c r="E132" s="1" t="s">
        <v>82</v>
      </c>
      <c r="F132" s="1" t="s">
        <v>82</v>
      </c>
      <c r="G132" s="1" t="s">
        <v>82</v>
      </c>
      <c r="H132" s="1" t="s">
        <v>2845</v>
      </c>
      <c r="I132" s="1" t="s">
        <v>82</v>
      </c>
      <c r="J132" s="1" t="s">
        <v>82</v>
      </c>
      <c r="K132" s="1" t="s">
        <v>2846</v>
      </c>
      <c r="L132" s="1" t="s">
        <v>2847</v>
      </c>
      <c r="M132" s="1">
        <v>6.706</v>
      </c>
      <c r="O132" s="1" t="s">
        <v>82</v>
      </c>
      <c r="P132" s="1" t="s">
        <v>82</v>
      </c>
      <c r="Q132" s="1" t="s">
        <v>87</v>
      </c>
      <c r="R132" s="1" t="s">
        <v>200</v>
      </c>
      <c r="S132" s="1" t="s">
        <v>82</v>
      </c>
      <c r="T132" s="1" t="s">
        <v>82</v>
      </c>
      <c r="U132" s="1" t="s">
        <v>82</v>
      </c>
      <c r="V132" s="1" t="s">
        <v>82</v>
      </c>
      <c r="W132" s="1" t="s">
        <v>82</v>
      </c>
      <c r="X132" s="1" t="s">
        <v>2848</v>
      </c>
      <c r="Y132" s="1" t="s">
        <v>2849</v>
      </c>
      <c r="Z132" s="1" t="s">
        <v>2850</v>
      </c>
      <c r="AB132" s="1" t="s">
        <v>2851</v>
      </c>
      <c r="AC132" s="1" t="s">
        <v>2852</v>
      </c>
      <c r="AD132" s="1" t="s">
        <v>120</v>
      </c>
      <c r="AE132" s="1" t="s">
        <v>2853</v>
      </c>
      <c r="AF132" s="1" t="s">
        <v>2854</v>
      </c>
      <c r="AG132" s="1" t="s">
        <v>2855</v>
      </c>
      <c r="AH132" s="1" t="s">
        <v>82</v>
      </c>
      <c r="AI132" s="1" t="s">
        <v>2856</v>
      </c>
      <c r="AJ132" s="1" t="s">
        <v>2857</v>
      </c>
      <c r="AK132" s="1" t="s">
        <v>2858</v>
      </c>
      <c r="AL132" s="1" t="s">
        <v>2859</v>
      </c>
      <c r="AM132" s="1" t="s">
        <v>82</v>
      </c>
      <c r="AN132" s="1">
        <v>109</v>
      </c>
      <c r="AO132" s="1">
        <v>0</v>
      </c>
      <c r="AP132" s="1">
        <v>0</v>
      </c>
      <c r="AQ132" s="1">
        <v>16</v>
      </c>
      <c r="AR132" s="1">
        <v>16</v>
      </c>
      <c r="AS132" s="1" t="s">
        <v>2117</v>
      </c>
      <c r="AT132" s="1" t="s">
        <v>2118</v>
      </c>
      <c r="AU132" s="1" t="s">
        <v>2119</v>
      </c>
      <c r="AV132" s="1" t="s">
        <v>82</v>
      </c>
      <c r="AW132" s="1" t="s">
        <v>2860</v>
      </c>
      <c r="AX132" s="1" t="s">
        <v>82</v>
      </c>
      <c r="AY132" s="1" t="s">
        <v>2847</v>
      </c>
      <c r="AZ132" s="1" t="s">
        <v>2861</v>
      </c>
      <c r="BA132" s="1" t="s">
        <v>1340</v>
      </c>
      <c r="BB132" s="1">
        <v>2022</v>
      </c>
      <c r="BC132" s="1">
        <v>14</v>
      </c>
      <c r="BD132" s="1">
        <v>20</v>
      </c>
      <c r="BE132" s="1" t="s">
        <v>82</v>
      </c>
      <c r="BF132" s="1" t="s">
        <v>82</v>
      </c>
      <c r="BG132" s="1" t="s">
        <v>82</v>
      </c>
      <c r="BH132" s="1" t="s">
        <v>82</v>
      </c>
      <c r="BI132" s="1" t="s">
        <v>82</v>
      </c>
      <c r="BJ132" s="1" t="s">
        <v>82</v>
      </c>
      <c r="BK132" s="1">
        <v>4360</v>
      </c>
      <c r="BL132" s="1" t="s">
        <v>2862</v>
      </c>
      <c r="BM132" s="1" t="str">
        <f>HYPERLINK("http://dx.doi.org/10.3390/nu14204360","http://dx.doi.org/10.3390/nu14204360")</f>
        <v>http://dx.doi.org/10.3390/nu14204360</v>
      </c>
      <c r="BN132" s="1" t="s">
        <v>82</v>
      </c>
      <c r="BO132" s="1" t="s">
        <v>82</v>
      </c>
      <c r="BP132" s="1">
        <v>16</v>
      </c>
      <c r="BQ132" s="1" t="s">
        <v>2863</v>
      </c>
      <c r="BR132" s="1" t="s">
        <v>104</v>
      </c>
      <c r="BS132" s="1" t="s">
        <v>2863</v>
      </c>
      <c r="BT132" s="1" t="s">
        <v>2864</v>
      </c>
      <c r="BU132" s="1">
        <v>36297047</v>
      </c>
      <c r="BV132" s="1" t="s">
        <v>592</v>
      </c>
      <c r="BW132" s="1" t="s">
        <v>82</v>
      </c>
      <c r="BX132" s="1" t="s">
        <v>82</v>
      </c>
      <c r="BY132" s="1" t="s">
        <v>108</v>
      </c>
      <c r="BZ132" s="1" t="s">
        <v>2865</v>
      </c>
      <c r="CA132" s="1" t="str">
        <f>HYPERLINK("https%3A%2F%2Fwww.webofscience.com%2Fwos%2Fwoscc%2Ffull-record%2FWOS:000875955500001","View Full Record in Web of Science")</f>
        <v>View Full Record in Web of Science</v>
      </c>
    </row>
    <row r="133" s="1" customFormat="1" ht="14.4" spans="1:79">
      <c r="A133">
        <v>132</v>
      </c>
      <c r="B133" s="2" t="s">
        <v>110</v>
      </c>
      <c r="C133" s="1" t="s">
        <v>80</v>
      </c>
      <c r="D133" s="1" t="s">
        <v>2866</v>
      </c>
      <c r="E133" s="1" t="s">
        <v>82</v>
      </c>
      <c r="F133" s="1" t="s">
        <v>82</v>
      </c>
      <c r="G133" s="1" t="s">
        <v>82</v>
      </c>
      <c r="H133" s="1" t="s">
        <v>2867</v>
      </c>
      <c r="I133" s="1" t="s">
        <v>82</v>
      </c>
      <c r="J133" s="1" t="s">
        <v>82</v>
      </c>
      <c r="K133" s="1" t="s">
        <v>2868</v>
      </c>
      <c r="L133" s="1" t="s">
        <v>2847</v>
      </c>
      <c r="M133" s="1">
        <v>6.706</v>
      </c>
      <c r="O133" s="1" t="s">
        <v>82</v>
      </c>
      <c r="P133" s="1" t="s">
        <v>82</v>
      </c>
      <c r="Q133" s="1" t="s">
        <v>87</v>
      </c>
      <c r="R133" s="1" t="s">
        <v>115</v>
      </c>
      <c r="S133" s="1" t="s">
        <v>82</v>
      </c>
      <c r="T133" s="1" t="s">
        <v>82</v>
      </c>
      <c r="U133" s="1" t="s">
        <v>82</v>
      </c>
      <c r="V133" s="1" t="s">
        <v>82</v>
      </c>
      <c r="W133" s="1" t="s">
        <v>82</v>
      </c>
      <c r="X133" s="1" t="s">
        <v>2869</v>
      </c>
      <c r="Y133" s="1" t="s">
        <v>2870</v>
      </c>
      <c r="Z133" s="1" t="s">
        <v>2871</v>
      </c>
      <c r="AB133" s="1" t="s">
        <v>2872</v>
      </c>
      <c r="AC133" s="1" t="s">
        <v>2873</v>
      </c>
      <c r="AD133" s="1" t="s">
        <v>206</v>
      </c>
      <c r="AE133" s="1" t="s">
        <v>2874</v>
      </c>
      <c r="AF133" s="1" t="s">
        <v>2875</v>
      </c>
      <c r="AG133" s="1" t="s">
        <v>2876</v>
      </c>
      <c r="AH133" s="1" t="s">
        <v>82</v>
      </c>
      <c r="AI133" s="1" t="s">
        <v>82</v>
      </c>
      <c r="AJ133" s="1" t="s">
        <v>2877</v>
      </c>
      <c r="AK133" s="1" t="s">
        <v>2878</v>
      </c>
      <c r="AL133" s="1" t="s">
        <v>2879</v>
      </c>
      <c r="AM133" s="1" t="s">
        <v>82</v>
      </c>
      <c r="AN133" s="1">
        <v>40</v>
      </c>
      <c r="AO133" s="1">
        <v>3</v>
      </c>
      <c r="AP133" s="1">
        <v>3</v>
      </c>
      <c r="AQ133" s="1">
        <v>17</v>
      </c>
      <c r="AR133" s="1">
        <v>22</v>
      </c>
      <c r="AS133" s="1" t="s">
        <v>2117</v>
      </c>
      <c r="AT133" s="1" t="s">
        <v>2118</v>
      </c>
      <c r="AU133" s="1" t="s">
        <v>2119</v>
      </c>
      <c r="AV133" s="1" t="s">
        <v>82</v>
      </c>
      <c r="AW133" s="1" t="s">
        <v>2860</v>
      </c>
      <c r="AX133" s="1" t="s">
        <v>82</v>
      </c>
      <c r="AY133" s="1" t="s">
        <v>2847</v>
      </c>
      <c r="AZ133" s="1" t="s">
        <v>2861</v>
      </c>
      <c r="BA133" s="1" t="s">
        <v>1146</v>
      </c>
      <c r="BB133" s="1">
        <v>2022</v>
      </c>
      <c r="BC133" s="1">
        <v>14</v>
      </c>
      <c r="BD133" s="1">
        <v>12</v>
      </c>
      <c r="BE133" s="1" t="s">
        <v>82</v>
      </c>
      <c r="BF133" s="1" t="s">
        <v>82</v>
      </c>
      <c r="BG133" s="1" t="s">
        <v>82</v>
      </c>
      <c r="BH133" s="1" t="s">
        <v>82</v>
      </c>
      <c r="BI133" s="1" t="s">
        <v>82</v>
      </c>
      <c r="BJ133" s="1" t="s">
        <v>82</v>
      </c>
      <c r="BK133" s="1">
        <v>2411</v>
      </c>
      <c r="BL133" s="1" t="s">
        <v>2880</v>
      </c>
      <c r="BM133" s="1" t="str">
        <f>HYPERLINK("http://dx.doi.org/10.3390/nu14122411","http://dx.doi.org/10.3390/nu14122411")</f>
        <v>http://dx.doi.org/10.3390/nu14122411</v>
      </c>
      <c r="BN133" s="1" t="s">
        <v>82</v>
      </c>
      <c r="BO133" s="1" t="s">
        <v>82</v>
      </c>
      <c r="BP133" s="1">
        <v>20</v>
      </c>
      <c r="BQ133" s="1" t="s">
        <v>2863</v>
      </c>
      <c r="BR133" s="1" t="s">
        <v>104</v>
      </c>
      <c r="BS133" s="1" t="s">
        <v>2863</v>
      </c>
      <c r="BT133" s="1" t="s">
        <v>2881</v>
      </c>
      <c r="BU133" s="1">
        <v>35745142</v>
      </c>
      <c r="BV133" s="1" t="s">
        <v>635</v>
      </c>
      <c r="BW133" s="1" t="s">
        <v>82</v>
      </c>
      <c r="BX133" s="1" t="s">
        <v>82</v>
      </c>
      <c r="BY133" s="1" t="s">
        <v>108</v>
      </c>
      <c r="BZ133" s="1" t="s">
        <v>2882</v>
      </c>
      <c r="CA133" s="1" t="str">
        <f>HYPERLINK("https%3A%2F%2Fwww.webofscience.com%2Fwos%2Fwoscc%2Ffull-record%2FWOS:000818185300001","View Full Record in Web of Science")</f>
        <v>View Full Record in Web of Science</v>
      </c>
    </row>
    <row r="134" s="1" customFormat="1" ht="14.4" spans="1:79">
      <c r="A134">
        <v>133</v>
      </c>
      <c r="B134" s="2" t="s">
        <v>110</v>
      </c>
      <c r="C134" s="1" t="s">
        <v>80</v>
      </c>
      <c r="D134" s="1" t="s">
        <v>2883</v>
      </c>
      <c r="E134" s="1" t="s">
        <v>82</v>
      </c>
      <c r="F134" s="1" t="s">
        <v>82</v>
      </c>
      <c r="G134" s="1" t="s">
        <v>82</v>
      </c>
      <c r="H134" s="1" t="s">
        <v>2884</v>
      </c>
      <c r="I134" s="1" t="s">
        <v>82</v>
      </c>
      <c r="J134" s="1" t="s">
        <v>82</v>
      </c>
      <c r="K134" s="1" t="s">
        <v>2885</v>
      </c>
      <c r="L134" s="1" t="s">
        <v>2886</v>
      </c>
      <c r="M134" s="1">
        <v>6.656</v>
      </c>
      <c r="O134" s="1" t="s">
        <v>82</v>
      </c>
      <c r="P134" s="1" t="s">
        <v>82</v>
      </c>
      <c r="Q134" s="1" t="s">
        <v>87</v>
      </c>
      <c r="R134" s="1" t="s">
        <v>115</v>
      </c>
      <c r="S134" s="1" t="s">
        <v>82</v>
      </c>
      <c r="T134" s="1" t="s">
        <v>82</v>
      </c>
      <c r="U134" s="1" t="s">
        <v>82</v>
      </c>
      <c r="V134" s="1" t="s">
        <v>82</v>
      </c>
      <c r="W134" s="1" t="s">
        <v>82</v>
      </c>
      <c r="X134" s="1" t="s">
        <v>2887</v>
      </c>
      <c r="Y134" s="1" t="s">
        <v>2888</v>
      </c>
      <c r="Z134" s="1" t="s">
        <v>2889</v>
      </c>
      <c r="AB134" s="1" t="s">
        <v>2890</v>
      </c>
      <c r="AC134" s="1" t="s">
        <v>2891</v>
      </c>
      <c r="AD134" s="1" t="s">
        <v>206</v>
      </c>
      <c r="AE134" s="1" t="s">
        <v>2892</v>
      </c>
      <c r="AF134" s="1" t="s">
        <v>2893</v>
      </c>
      <c r="AG134" s="1" t="s">
        <v>2894</v>
      </c>
      <c r="AH134" s="1" t="s">
        <v>2895</v>
      </c>
      <c r="AI134" s="1" t="s">
        <v>2896</v>
      </c>
      <c r="AJ134" s="1" t="s">
        <v>2897</v>
      </c>
      <c r="AK134" s="1" t="s">
        <v>2898</v>
      </c>
      <c r="AL134" s="1" t="s">
        <v>2899</v>
      </c>
      <c r="AM134" s="1" t="s">
        <v>82</v>
      </c>
      <c r="AN134" s="1">
        <v>43</v>
      </c>
      <c r="AO134" s="1">
        <v>0</v>
      </c>
      <c r="AP134" s="1">
        <v>0</v>
      </c>
      <c r="AQ134" s="1">
        <v>10</v>
      </c>
      <c r="AR134" s="1">
        <v>10</v>
      </c>
      <c r="AS134" s="1" t="s">
        <v>2900</v>
      </c>
      <c r="AT134" s="1" t="s">
        <v>2901</v>
      </c>
      <c r="AU134" s="1" t="s">
        <v>2902</v>
      </c>
      <c r="AV134" s="1" t="s">
        <v>2903</v>
      </c>
      <c r="AW134" s="1" t="s">
        <v>2904</v>
      </c>
      <c r="AX134" s="1" t="s">
        <v>82</v>
      </c>
      <c r="AY134" s="1" t="s">
        <v>2886</v>
      </c>
      <c r="AZ134" s="1" t="s">
        <v>2905</v>
      </c>
      <c r="BA134" s="1" t="s">
        <v>2123</v>
      </c>
      <c r="BB134" s="1">
        <v>2022</v>
      </c>
      <c r="BC134" s="1">
        <v>107</v>
      </c>
      <c r="BD134" s="1" t="s">
        <v>82</v>
      </c>
      <c r="BE134" s="1" t="s">
        <v>82</v>
      </c>
      <c r="BF134" s="1" t="s">
        <v>82</v>
      </c>
      <c r="BG134" s="1" t="s">
        <v>82</v>
      </c>
      <c r="BH134" s="1" t="s">
        <v>82</v>
      </c>
      <c r="BI134" s="1" t="s">
        <v>82</v>
      </c>
      <c r="BJ134" s="1" t="s">
        <v>82</v>
      </c>
      <c r="BK134" s="1">
        <v>154482</v>
      </c>
      <c r="BL134" s="1" t="s">
        <v>2906</v>
      </c>
      <c r="BM134" s="1" t="str">
        <f>HYPERLINK("http://dx.doi.org/10.1016/j.phymed.2022.154482","http://dx.doi.org/10.1016/j.phymed.2022.154482")</f>
        <v>http://dx.doi.org/10.1016/j.phymed.2022.154482</v>
      </c>
      <c r="BN134" s="1" t="s">
        <v>82</v>
      </c>
      <c r="BO134" s="1" t="s">
        <v>82</v>
      </c>
      <c r="BP134" s="1">
        <v>11</v>
      </c>
      <c r="BQ134" s="1" t="s">
        <v>2907</v>
      </c>
      <c r="BR134" s="1" t="s">
        <v>104</v>
      </c>
      <c r="BS134" s="1" t="s">
        <v>2908</v>
      </c>
      <c r="BT134" s="1" t="s">
        <v>2909</v>
      </c>
      <c r="BU134" s="1">
        <v>36202057</v>
      </c>
      <c r="BV134" s="1" t="s">
        <v>82</v>
      </c>
      <c r="BW134" s="1" t="s">
        <v>82</v>
      </c>
      <c r="BX134" s="1" t="s">
        <v>82</v>
      </c>
      <c r="BY134" s="1" t="s">
        <v>108</v>
      </c>
      <c r="BZ134" s="1" t="s">
        <v>2910</v>
      </c>
      <c r="CA134" s="1" t="str">
        <f>HYPERLINK("https%3A%2F%2Fwww.webofscience.com%2Fwos%2Fwoscc%2Ffull-record%2FWOS:000868943200001","View Full Record in Web of Science")</f>
        <v>View Full Record in Web of Science</v>
      </c>
    </row>
    <row r="135" s="1" customFormat="1" ht="14.4" spans="1:79">
      <c r="A135">
        <v>134</v>
      </c>
      <c r="B135" s="2" t="s">
        <v>79</v>
      </c>
      <c r="C135" s="1" t="s">
        <v>80</v>
      </c>
      <c r="D135" s="1" t="s">
        <v>2911</v>
      </c>
      <c r="E135" s="1" t="s">
        <v>82</v>
      </c>
      <c r="F135" s="1" t="s">
        <v>82</v>
      </c>
      <c r="G135" s="1" t="s">
        <v>82</v>
      </c>
      <c r="H135" s="1" t="s">
        <v>2912</v>
      </c>
      <c r="I135" s="1" t="s">
        <v>82</v>
      </c>
      <c r="J135" s="1" t="s">
        <v>82</v>
      </c>
      <c r="K135" s="1" t="s">
        <v>2913</v>
      </c>
      <c r="L135" s="1" t="s">
        <v>2886</v>
      </c>
      <c r="M135" s="1">
        <v>6.656</v>
      </c>
      <c r="O135" s="1" t="s">
        <v>82</v>
      </c>
      <c r="P135" s="1" t="s">
        <v>82</v>
      </c>
      <c r="Q135" s="1" t="s">
        <v>87</v>
      </c>
      <c r="R135" s="1" t="s">
        <v>115</v>
      </c>
      <c r="S135" s="1" t="s">
        <v>82</v>
      </c>
      <c r="T135" s="1" t="s">
        <v>82</v>
      </c>
      <c r="U135" s="1" t="s">
        <v>82</v>
      </c>
      <c r="V135" s="1" t="s">
        <v>82</v>
      </c>
      <c r="W135" s="1" t="s">
        <v>82</v>
      </c>
      <c r="X135" s="1" t="s">
        <v>2914</v>
      </c>
      <c r="Y135" s="1" t="s">
        <v>2915</v>
      </c>
      <c r="Z135" s="1" t="s">
        <v>2916</v>
      </c>
      <c r="AB135" s="1" t="s">
        <v>2917</v>
      </c>
      <c r="AC135" s="1" t="s">
        <v>2918</v>
      </c>
      <c r="AD135" s="1" t="s">
        <v>206</v>
      </c>
      <c r="AE135" s="1" t="s">
        <v>2919</v>
      </c>
      <c r="AF135" s="1" t="s">
        <v>2920</v>
      </c>
      <c r="AG135" s="1" t="s">
        <v>2787</v>
      </c>
      <c r="AH135" s="1" t="s">
        <v>82</v>
      </c>
      <c r="AI135" s="1" t="s">
        <v>2921</v>
      </c>
      <c r="AJ135" s="1" t="s">
        <v>2922</v>
      </c>
      <c r="AK135" s="1" t="s">
        <v>2923</v>
      </c>
      <c r="AL135" s="1" t="s">
        <v>2924</v>
      </c>
      <c r="AM135" s="1" t="s">
        <v>82</v>
      </c>
      <c r="AN135" s="1">
        <v>31</v>
      </c>
      <c r="AO135" s="1">
        <v>0</v>
      </c>
      <c r="AP135" s="1">
        <v>0</v>
      </c>
      <c r="AQ135" s="1">
        <v>17</v>
      </c>
      <c r="AR135" s="1">
        <v>18</v>
      </c>
      <c r="AS135" s="1" t="s">
        <v>2900</v>
      </c>
      <c r="AT135" s="1" t="s">
        <v>2901</v>
      </c>
      <c r="AU135" s="1" t="s">
        <v>2902</v>
      </c>
      <c r="AV135" s="1" t="s">
        <v>2903</v>
      </c>
      <c r="AW135" s="1" t="s">
        <v>2904</v>
      </c>
      <c r="AX135" s="1" t="s">
        <v>82</v>
      </c>
      <c r="AY135" s="1" t="s">
        <v>2886</v>
      </c>
      <c r="AZ135" s="1" t="s">
        <v>2905</v>
      </c>
      <c r="BA135" s="1" t="s">
        <v>222</v>
      </c>
      <c r="BB135" s="1">
        <v>2022</v>
      </c>
      <c r="BC135" s="1">
        <v>104</v>
      </c>
      <c r="BD135" s="1" t="s">
        <v>82</v>
      </c>
      <c r="BE135" s="1" t="s">
        <v>82</v>
      </c>
      <c r="BF135" s="1" t="s">
        <v>82</v>
      </c>
      <c r="BG135" s="1" t="s">
        <v>82</v>
      </c>
      <c r="BH135" s="1" t="s">
        <v>82</v>
      </c>
      <c r="BI135" s="1" t="s">
        <v>82</v>
      </c>
      <c r="BJ135" s="1" t="s">
        <v>82</v>
      </c>
      <c r="BK135" s="1">
        <v>154335</v>
      </c>
      <c r="BL135" s="1" t="s">
        <v>2925</v>
      </c>
      <c r="BM135" s="1" t="str">
        <f>HYPERLINK("http://dx.doi.org/10.1016/j.phymed.2022.154335","http://dx.doi.org/10.1016/j.phymed.2022.154335")</f>
        <v>http://dx.doi.org/10.1016/j.phymed.2022.154335</v>
      </c>
      <c r="BN135" s="1" t="s">
        <v>82</v>
      </c>
      <c r="BO135" s="1" t="s">
        <v>1257</v>
      </c>
      <c r="BP135" s="1">
        <v>12</v>
      </c>
      <c r="BQ135" s="1" t="s">
        <v>2907</v>
      </c>
      <c r="BR135" s="1" t="s">
        <v>104</v>
      </c>
      <c r="BS135" s="1" t="s">
        <v>2908</v>
      </c>
      <c r="BT135" s="1" t="s">
        <v>2926</v>
      </c>
      <c r="BU135" s="1">
        <v>35858515</v>
      </c>
      <c r="BV135" s="1" t="s">
        <v>82</v>
      </c>
      <c r="BW135" s="1" t="s">
        <v>82</v>
      </c>
      <c r="BX135" s="1" t="s">
        <v>82</v>
      </c>
      <c r="BY135" s="1" t="s">
        <v>108</v>
      </c>
      <c r="BZ135" s="1" t="s">
        <v>2927</v>
      </c>
      <c r="CA135" s="1" t="str">
        <f>HYPERLINK("https%3A%2F%2Fwww.webofscience.com%2Fwos%2Fwoscc%2Ffull-record%2FWOS:000840989700003","View Full Record in Web of Science")</f>
        <v>View Full Record in Web of Science</v>
      </c>
    </row>
    <row r="136" s="1" customFormat="1" ht="14.4" spans="1:79">
      <c r="A136">
        <v>135</v>
      </c>
      <c r="B136" s="2" t="s">
        <v>110</v>
      </c>
      <c r="C136" s="1" t="s">
        <v>80</v>
      </c>
      <c r="D136" s="1" t="s">
        <v>2928</v>
      </c>
      <c r="E136" s="1" t="s">
        <v>82</v>
      </c>
      <c r="F136" s="1" t="s">
        <v>82</v>
      </c>
      <c r="G136" s="1" t="s">
        <v>82</v>
      </c>
      <c r="H136" s="1" t="s">
        <v>2929</v>
      </c>
      <c r="I136" s="1" t="s">
        <v>82</v>
      </c>
      <c r="J136" s="1" t="s">
        <v>82</v>
      </c>
      <c r="K136" s="1" t="s">
        <v>2930</v>
      </c>
      <c r="L136" s="1" t="s">
        <v>2886</v>
      </c>
      <c r="M136" s="1">
        <v>6.656</v>
      </c>
      <c r="O136" s="1" t="s">
        <v>82</v>
      </c>
      <c r="P136" s="1" t="s">
        <v>82</v>
      </c>
      <c r="Q136" s="1" t="s">
        <v>87</v>
      </c>
      <c r="R136" s="1" t="s">
        <v>115</v>
      </c>
      <c r="S136" s="1" t="s">
        <v>82</v>
      </c>
      <c r="T136" s="1" t="s">
        <v>82</v>
      </c>
      <c r="U136" s="1" t="s">
        <v>82</v>
      </c>
      <c r="V136" s="1" t="s">
        <v>82</v>
      </c>
      <c r="W136" s="1" t="s">
        <v>82</v>
      </c>
      <c r="X136" s="1" t="s">
        <v>2931</v>
      </c>
      <c r="Y136" s="1" t="s">
        <v>2932</v>
      </c>
      <c r="Z136" s="1" t="s">
        <v>2933</v>
      </c>
      <c r="AB136" s="1" t="s">
        <v>2934</v>
      </c>
      <c r="AC136" s="1" t="s">
        <v>2935</v>
      </c>
      <c r="AD136" s="1" t="s">
        <v>206</v>
      </c>
      <c r="AE136" s="1" t="s">
        <v>2936</v>
      </c>
      <c r="AF136" s="1" t="s">
        <v>2937</v>
      </c>
      <c r="AG136" s="1" t="s">
        <v>2938</v>
      </c>
      <c r="AH136" s="1" t="s">
        <v>2939</v>
      </c>
      <c r="AI136" s="1" t="s">
        <v>82</v>
      </c>
      <c r="AJ136" s="1" t="s">
        <v>2940</v>
      </c>
      <c r="AK136" s="1" t="s">
        <v>2941</v>
      </c>
      <c r="AL136" s="1" t="s">
        <v>2942</v>
      </c>
      <c r="AM136" s="1" t="s">
        <v>82</v>
      </c>
      <c r="AN136" s="1">
        <v>63</v>
      </c>
      <c r="AO136" s="1">
        <v>0</v>
      </c>
      <c r="AP136" s="1">
        <v>0</v>
      </c>
      <c r="AQ136" s="1">
        <v>8</v>
      </c>
      <c r="AR136" s="1">
        <v>20</v>
      </c>
      <c r="AS136" s="1" t="s">
        <v>2900</v>
      </c>
      <c r="AT136" s="1" t="s">
        <v>2901</v>
      </c>
      <c r="AU136" s="1" t="s">
        <v>2902</v>
      </c>
      <c r="AV136" s="1" t="s">
        <v>2903</v>
      </c>
      <c r="AW136" s="1" t="s">
        <v>2904</v>
      </c>
      <c r="AX136" s="1" t="s">
        <v>82</v>
      </c>
      <c r="AY136" s="1" t="s">
        <v>2886</v>
      </c>
      <c r="AZ136" s="1" t="s">
        <v>2905</v>
      </c>
      <c r="BA136" s="1" t="s">
        <v>657</v>
      </c>
      <c r="BB136" s="1">
        <v>2022</v>
      </c>
      <c r="BC136" s="1">
        <v>98</v>
      </c>
      <c r="BD136" s="1" t="s">
        <v>82</v>
      </c>
      <c r="BE136" s="1" t="s">
        <v>82</v>
      </c>
      <c r="BF136" s="1" t="s">
        <v>82</v>
      </c>
      <c r="BG136" s="1" t="s">
        <v>82</v>
      </c>
      <c r="BH136" s="1" t="s">
        <v>82</v>
      </c>
      <c r="BI136" s="1" t="s">
        <v>82</v>
      </c>
      <c r="BJ136" s="1" t="s">
        <v>82</v>
      </c>
      <c r="BK136" s="1">
        <v>153979</v>
      </c>
      <c r="BL136" s="1" t="s">
        <v>2943</v>
      </c>
      <c r="BM136" s="1" t="str">
        <f>HYPERLINK("http://dx.doi.org/10.1016/j.phymed.2022.153979","http://dx.doi.org/10.1016/j.phymed.2022.153979")</f>
        <v>http://dx.doi.org/10.1016/j.phymed.2022.153979</v>
      </c>
      <c r="BN136" s="1" t="s">
        <v>82</v>
      </c>
      <c r="BO136" s="1" t="s">
        <v>296</v>
      </c>
      <c r="BP136" s="1">
        <v>11</v>
      </c>
      <c r="BQ136" s="1" t="s">
        <v>2907</v>
      </c>
      <c r="BR136" s="1" t="s">
        <v>104</v>
      </c>
      <c r="BS136" s="1" t="s">
        <v>2908</v>
      </c>
      <c r="BT136" s="1" t="s">
        <v>2944</v>
      </c>
      <c r="BU136" s="1">
        <v>35176533</v>
      </c>
      <c r="BV136" s="1" t="s">
        <v>82</v>
      </c>
      <c r="BW136" s="1" t="s">
        <v>82</v>
      </c>
      <c r="BX136" s="1" t="s">
        <v>82</v>
      </c>
      <c r="BY136" s="1" t="s">
        <v>108</v>
      </c>
      <c r="BZ136" s="1" t="s">
        <v>2945</v>
      </c>
      <c r="CA136" s="1" t="str">
        <f>HYPERLINK("https%3A%2F%2Fwww.webofscience.com%2Fwos%2Fwoscc%2Ffull-record%2FWOS:000795049600004","View Full Record in Web of Science")</f>
        <v>View Full Record in Web of Science</v>
      </c>
    </row>
    <row r="137" s="1" customFormat="1" ht="14.4" spans="1:79">
      <c r="A137">
        <v>136</v>
      </c>
      <c r="B137" s="2" t="s">
        <v>79</v>
      </c>
      <c r="C137" s="1" t="s">
        <v>80</v>
      </c>
      <c r="D137" s="1" t="s">
        <v>2946</v>
      </c>
      <c r="E137" s="1" t="s">
        <v>82</v>
      </c>
      <c r="F137" s="1" t="s">
        <v>82</v>
      </c>
      <c r="G137" s="1" t="s">
        <v>82</v>
      </c>
      <c r="H137" s="1" t="s">
        <v>2947</v>
      </c>
      <c r="I137" s="1" t="s">
        <v>82</v>
      </c>
      <c r="J137" s="1" t="s">
        <v>82</v>
      </c>
      <c r="K137" s="1" t="s">
        <v>2948</v>
      </c>
      <c r="L137" s="1" t="s">
        <v>2949</v>
      </c>
      <c r="M137" s="1">
        <v>6.627</v>
      </c>
      <c r="O137" s="1" t="s">
        <v>82</v>
      </c>
      <c r="P137" s="1" t="s">
        <v>82</v>
      </c>
      <c r="Q137" s="1" t="s">
        <v>87</v>
      </c>
      <c r="R137" s="1" t="s">
        <v>115</v>
      </c>
      <c r="S137" s="1" t="s">
        <v>82</v>
      </c>
      <c r="T137" s="1" t="s">
        <v>82</v>
      </c>
      <c r="U137" s="1" t="s">
        <v>82</v>
      </c>
      <c r="V137" s="1" t="s">
        <v>82</v>
      </c>
      <c r="W137" s="1" t="s">
        <v>82</v>
      </c>
      <c r="X137" s="1" t="s">
        <v>2950</v>
      </c>
      <c r="Y137" s="1" t="s">
        <v>2951</v>
      </c>
      <c r="Z137" s="1" t="s">
        <v>2952</v>
      </c>
      <c r="AA137" s="1">
        <v>1</v>
      </c>
      <c r="AB137" s="1" t="s">
        <v>1690</v>
      </c>
      <c r="AC137" s="1" t="s">
        <v>2953</v>
      </c>
      <c r="AD137" s="1" t="s">
        <v>93</v>
      </c>
      <c r="AE137" s="1" t="s">
        <v>2508</v>
      </c>
      <c r="AF137" s="1" t="s">
        <v>2954</v>
      </c>
      <c r="AG137" s="1" t="s">
        <v>2510</v>
      </c>
      <c r="AH137" s="1" t="s">
        <v>82</v>
      </c>
      <c r="AI137" s="1" t="s">
        <v>82</v>
      </c>
      <c r="AJ137" s="1" t="s">
        <v>2955</v>
      </c>
      <c r="AK137" s="1" t="s">
        <v>2956</v>
      </c>
      <c r="AL137" s="1" t="s">
        <v>2957</v>
      </c>
      <c r="AM137" s="1" t="s">
        <v>82</v>
      </c>
      <c r="AN137" s="1">
        <v>60</v>
      </c>
      <c r="AO137" s="1">
        <v>0</v>
      </c>
      <c r="AP137" s="1">
        <v>0</v>
      </c>
      <c r="AQ137" s="1">
        <v>1</v>
      </c>
      <c r="AR137" s="1">
        <v>1</v>
      </c>
      <c r="AS137" s="1" t="s">
        <v>2958</v>
      </c>
      <c r="AT137" s="1" t="s">
        <v>2959</v>
      </c>
      <c r="AU137" s="1" t="s">
        <v>2960</v>
      </c>
      <c r="AV137" s="1" t="s">
        <v>2961</v>
      </c>
      <c r="AW137" s="1" t="s">
        <v>82</v>
      </c>
      <c r="AX137" s="1" t="s">
        <v>82</v>
      </c>
      <c r="AY137" s="1" t="s">
        <v>2962</v>
      </c>
      <c r="AZ137" s="1" t="s">
        <v>2963</v>
      </c>
      <c r="BA137" s="1" t="s">
        <v>1193</v>
      </c>
      <c r="BB137" s="1">
        <v>2022</v>
      </c>
      <c r="BC137" s="1">
        <v>13</v>
      </c>
      <c r="BD137" s="1" t="s">
        <v>82</v>
      </c>
      <c r="BE137" s="1" t="s">
        <v>82</v>
      </c>
      <c r="BF137" s="1" t="s">
        <v>82</v>
      </c>
      <c r="BG137" s="1" t="s">
        <v>82</v>
      </c>
      <c r="BH137" s="1" t="s">
        <v>82</v>
      </c>
      <c r="BI137" s="1" t="s">
        <v>82</v>
      </c>
      <c r="BJ137" s="1" t="s">
        <v>82</v>
      </c>
      <c r="BK137" s="1">
        <v>1091056</v>
      </c>
      <c r="BL137" s="1" t="s">
        <v>2964</v>
      </c>
      <c r="BM137" s="1" t="str">
        <f>HYPERLINK("http://dx.doi.org/10.3389/fpls.2022.1091056","http://dx.doi.org/10.3389/fpls.2022.1091056")</f>
        <v>http://dx.doi.org/10.3389/fpls.2022.1091056</v>
      </c>
      <c r="BN137" s="1" t="s">
        <v>82</v>
      </c>
      <c r="BO137" s="1" t="s">
        <v>82</v>
      </c>
      <c r="BP137" s="1">
        <v>12</v>
      </c>
      <c r="BQ137" s="1" t="s">
        <v>378</v>
      </c>
      <c r="BR137" s="1" t="s">
        <v>104</v>
      </c>
      <c r="BS137" s="1" t="s">
        <v>378</v>
      </c>
      <c r="BT137" s="1" t="s">
        <v>2965</v>
      </c>
      <c r="BU137" s="1">
        <v>36589044</v>
      </c>
      <c r="BV137" s="1" t="s">
        <v>592</v>
      </c>
      <c r="BW137" s="1" t="s">
        <v>82</v>
      </c>
      <c r="BX137" s="1" t="s">
        <v>82</v>
      </c>
      <c r="BY137" s="1" t="s">
        <v>108</v>
      </c>
      <c r="BZ137" s="1" t="s">
        <v>2966</v>
      </c>
      <c r="CA137" s="1" t="str">
        <f>HYPERLINK("https%3A%2F%2Fwww.webofscience.com%2Fwos%2Fwoscc%2Ffull-record%2FWOS:000904915700001","View Full Record in Web of Science")</f>
        <v>View Full Record in Web of Science</v>
      </c>
    </row>
    <row r="138" s="1" customFormat="1" ht="14.4" spans="1:79">
      <c r="A138">
        <v>137</v>
      </c>
      <c r="B138" s="2" t="s">
        <v>79</v>
      </c>
      <c r="C138" s="1" t="s">
        <v>80</v>
      </c>
      <c r="D138" s="1" t="s">
        <v>2967</v>
      </c>
      <c r="E138" s="1" t="s">
        <v>82</v>
      </c>
      <c r="F138" s="1" t="s">
        <v>82</v>
      </c>
      <c r="G138" s="1" t="s">
        <v>82</v>
      </c>
      <c r="H138" s="1" t="s">
        <v>2968</v>
      </c>
      <c r="I138" s="1" t="s">
        <v>82</v>
      </c>
      <c r="J138" s="1" t="s">
        <v>82</v>
      </c>
      <c r="K138" s="1" t="s">
        <v>2969</v>
      </c>
      <c r="L138" s="1" t="s">
        <v>2949</v>
      </c>
      <c r="M138" s="1">
        <v>6.627</v>
      </c>
      <c r="O138" s="1" t="s">
        <v>82</v>
      </c>
      <c r="P138" s="1" t="s">
        <v>82</v>
      </c>
      <c r="Q138" s="1" t="s">
        <v>87</v>
      </c>
      <c r="R138" s="1" t="s">
        <v>115</v>
      </c>
      <c r="S138" s="1" t="s">
        <v>82</v>
      </c>
      <c r="T138" s="1" t="s">
        <v>82</v>
      </c>
      <c r="U138" s="1" t="s">
        <v>82</v>
      </c>
      <c r="V138" s="1" t="s">
        <v>82</v>
      </c>
      <c r="W138" s="1" t="s">
        <v>82</v>
      </c>
      <c r="X138" s="1" t="s">
        <v>2970</v>
      </c>
      <c r="Y138" s="1" t="s">
        <v>2971</v>
      </c>
      <c r="Z138" s="1" t="s">
        <v>2972</v>
      </c>
      <c r="AB138" s="1" t="s">
        <v>2973</v>
      </c>
      <c r="AC138" s="1" t="s">
        <v>2974</v>
      </c>
      <c r="AD138" s="1" t="s">
        <v>120</v>
      </c>
      <c r="AE138" s="1" t="s">
        <v>2975</v>
      </c>
      <c r="AF138" s="1" t="s">
        <v>2976</v>
      </c>
      <c r="AG138" s="1" t="s">
        <v>2977</v>
      </c>
      <c r="AH138" s="1" t="s">
        <v>82</v>
      </c>
      <c r="AI138" s="1" t="s">
        <v>82</v>
      </c>
      <c r="AJ138" s="1" t="s">
        <v>2978</v>
      </c>
      <c r="AK138" s="1" t="s">
        <v>2979</v>
      </c>
      <c r="AL138" s="1" t="s">
        <v>2980</v>
      </c>
      <c r="AM138" s="1" t="s">
        <v>82</v>
      </c>
      <c r="AN138" s="1">
        <v>98</v>
      </c>
      <c r="AO138" s="1">
        <v>0</v>
      </c>
      <c r="AP138" s="1">
        <v>0</v>
      </c>
      <c r="AQ138" s="1">
        <v>1</v>
      </c>
      <c r="AR138" s="1">
        <v>1</v>
      </c>
      <c r="AS138" s="1" t="s">
        <v>2958</v>
      </c>
      <c r="AT138" s="1" t="s">
        <v>2959</v>
      </c>
      <c r="AU138" s="1" t="s">
        <v>2960</v>
      </c>
      <c r="AV138" s="1" t="s">
        <v>2961</v>
      </c>
      <c r="AW138" s="1" t="s">
        <v>82</v>
      </c>
      <c r="AX138" s="1" t="s">
        <v>82</v>
      </c>
      <c r="AY138" s="1" t="s">
        <v>2962</v>
      </c>
      <c r="AZ138" s="1" t="s">
        <v>2963</v>
      </c>
      <c r="BA138" s="1" t="s">
        <v>868</v>
      </c>
      <c r="BB138" s="1">
        <v>2022</v>
      </c>
      <c r="BC138" s="1">
        <v>13</v>
      </c>
      <c r="BD138" s="1" t="s">
        <v>82</v>
      </c>
      <c r="BE138" s="1" t="s">
        <v>82</v>
      </c>
      <c r="BF138" s="1" t="s">
        <v>82</v>
      </c>
      <c r="BG138" s="1" t="s">
        <v>82</v>
      </c>
      <c r="BH138" s="1" t="s">
        <v>82</v>
      </c>
      <c r="BI138" s="1" t="s">
        <v>82</v>
      </c>
      <c r="BJ138" s="1" t="s">
        <v>82</v>
      </c>
      <c r="BK138" s="1">
        <v>1047670</v>
      </c>
      <c r="BL138" s="1" t="s">
        <v>2981</v>
      </c>
      <c r="BM138" s="1" t="str">
        <f>HYPERLINK("http://dx.doi.org/10.3389/fpls.2022.1047670","http://dx.doi.org/10.3389/fpls.2022.1047670")</f>
        <v>http://dx.doi.org/10.3389/fpls.2022.1047670</v>
      </c>
      <c r="BN138" s="1" t="s">
        <v>82</v>
      </c>
      <c r="BO138" s="1" t="s">
        <v>82</v>
      </c>
      <c r="BP138" s="1">
        <v>13</v>
      </c>
      <c r="BQ138" s="1" t="s">
        <v>378</v>
      </c>
      <c r="BR138" s="1" t="s">
        <v>104</v>
      </c>
      <c r="BS138" s="1" t="s">
        <v>378</v>
      </c>
      <c r="BT138" s="1" t="s">
        <v>2982</v>
      </c>
      <c r="BU138" s="1">
        <v>36570959</v>
      </c>
      <c r="BV138" s="1" t="s">
        <v>635</v>
      </c>
      <c r="BW138" s="1" t="s">
        <v>82</v>
      </c>
      <c r="BX138" s="1" t="s">
        <v>82</v>
      </c>
      <c r="BY138" s="1" t="s">
        <v>108</v>
      </c>
      <c r="BZ138" s="1" t="s">
        <v>2983</v>
      </c>
      <c r="CA138" s="1" t="str">
        <f>HYPERLINK("https%3A%2F%2Fwww.webofscience.com%2Fwos%2Fwoscc%2Ffull-record%2FWOS:000899271200001","View Full Record in Web of Science")</f>
        <v>View Full Record in Web of Science</v>
      </c>
    </row>
    <row r="139" s="1" customFormat="1" ht="14.4" spans="1:79">
      <c r="A139">
        <v>138</v>
      </c>
      <c r="B139" s="2" t="s">
        <v>79</v>
      </c>
      <c r="C139" s="1" t="s">
        <v>80</v>
      </c>
      <c r="D139" s="1" t="s">
        <v>2984</v>
      </c>
      <c r="E139" s="1" t="s">
        <v>82</v>
      </c>
      <c r="F139" s="1" t="s">
        <v>82</v>
      </c>
      <c r="G139" s="1" t="s">
        <v>82</v>
      </c>
      <c r="H139" s="1" t="s">
        <v>2985</v>
      </c>
      <c r="I139" s="1" t="s">
        <v>82</v>
      </c>
      <c r="J139" s="1" t="s">
        <v>82</v>
      </c>
      <c r="K139" s="1" t="s">
        <v>2986</v>
      </c>
      <c r="L139" s="1" t="s">
        <v>2949</v>
      </c>
      <c r="M139" s="1">
        <v>6.627</v>
      </c>
      <c r="O139" s="1" t="s">
        <v>82</v>
      </c>
      <c r="P139" s="1" t="s">
        <v>82</v>
      </c>
      <c r="Q139" s="1" t="s">
        <v>87</v>
      </c>
      <c r="R139" s="1" t="s">
        <v>115</v>
      </c>
      <c r="S139" s="1" t="s">
        <v>82</v>
      </c>
      <c r="T139" s="1" t="s">
        <v>82</v>
      </c>
      <c r="U139" s="1" t="s">
        <v>82</v>
      </c>
      <c r="V139" s="1" t="s">
        <v>82</v>
      </c>
      <c r="W139" s="1" t="s">
        <v>82</v>
      </c>
      <c r="X139" s="1" t="s">
        <v>2987</v>
      </c>
      <c r="Y139" s="1" t="s">
        <v>2988</v>
      </c>
      <c r="Z139" s="1" t="s">
        <v>2989</v>
      </c>
      <c r="AB139" s="1" t="s">
        <v>2990</v>
      </c>
      <c r="AC139" s="1" t="s">
        <v>2991</v>
      </c>
      <c r="AD139" s="1" t="s">
        <v>120</v>
      </c>
      <c r="AE139" s="1" t="s">
        <v>2992</v>
      </c>
      <c r="AF139" s="1" t="s">
        <v>2993</v>
      </c>
      <c r="AG139" s="1" t="s">
        <v>2994</v>
      </c>
      <c r="AH139" s="1" t="s">
        <v>82</v>
      </c>
      <c r="AI139" s="1" t="s">
        <v>82</v>
      </c>
      <c r="AJ139" s="1" t="s">
        <v>2995</v>
      </c>
      <c r="AK139" s="1" t="s">
        <v>2996</v>
      </c>
      <c r="AL139" s="1" t="s">
        <v>2997</v>
      </c>
      <c r="AM139" s="1" t="s">
        <v>82</v>
      </c>
      <c r="AN139" s="1">
        <v>58</v>
      </c>
      <c r="AO139" s="1">
        <v>0</v>
      </c>
      <c r="AP139" s="1">
        <v>0</v>
      </c>
      <c r="AQ139" s="1">
        <v>1</v>
      </c>
      <c r="AR139" s="1">
        <v>1</v>
      </c>
      <c r="AS139" s="1" t="s">
        <v>2958</v>
      </c>
      <c r="AT139" s="1" t="s">
        <v>2959</v>
      </c>
      <c r="AU139" s="1" t="s">
        <v>2960</v>
      </c>
      <c r="AV139" s="1" t="s">
        <v>2961</v>
      </c>
      <c r="AW139" s="1" t="s">
        <v>82</v>
      </c>
      <c r="AX139" s="1" t="s">
        <v>82</v>
      </c>
      <c r="AY139" s="1" t="s">
        <v>2962</v>
      </c>
      <c r="AZ139" s="1" t="s">
        <v>2963</v>
      </c>
      <c r="BA139" s="1" t="s">
        <v>2998</v>
      </c>
      <c r="BB139" s="1">
        <v>2022</v>
      </c>
      <c r="BC139" s="1">
        <v>13</v>
      </c>
      <c r="BD139" s="1" t="s">
        <v>82</v>
      </c>
      <c r="BE139" s="1" t="s">
        <v>82</v>
      </c>
      <c r="BF139" s="1" t="s">
        <v>82</v>
      </c>
      <c r="BG139" s="1" t="s">
        <v>82</v>
      </c>
      <c r="BH139" s="1" t="s">
        <v>82</v>
      </c>
      <c r="BI139" s="1" t="s">
        <v>82</v>
      </c>
      <c r="BJ139" s="1" t="s">
        <v>82</v>
      </c>
      <c r="BK139" s="1">
        <v>1077996</v>
      </c>
      <c r="BL139" s="1" t="s">
        <v>2999</v>
      </c>
      <c r="BM139" s="1" t="str">
        <f>HYPERLINK("http://dx.doi.org/10.3389/fpls.2022.1077996","http://dx.doi.org/10.3389/fpls.2022.1077996")</f>
        <v>http://dx.doi.org/10.3389/fpls.2022.1077996</v>
      </c>
      <c r="BN139" s="1" t="s">
        <v>82</v>
      </c>
      <c r="BO139" s="1" t="s">
        <v>82</v>
      </c>
      <c r="BP139" s="1">
        <v>15</v>
      </c>
      <c r="BQ139" s="1" t="s">
        <v>378</v>
      </c>
      <c r="BR139" s="1" t="s">
        <v>104</v>
      </c>
      <c r="BS139" s="1" t="s">
        <v>378</v>
      </c>
      <c r="BT139" s="1" t="s">
        <v>3000</v>
      </c>
      <c r="BU139" s="1">
        <v>36561443</v>
      </c>
      <c r="BV139" s="1" t="s">
        <v>592</v>
      </c>
      <c r="BW139" s="1" t="s">
        <v>82</v>
      </c>
      <c r="BX139" s="1" t="s">
        <v>82</v>
      </c>
      <c r="BY139" s="1" t="s">
        <v>108</v>
      </c>
      <c r="BZ139" s="1" t="s">
        <v>3001</v>
      </c>
      <c r="CA139" s="1" t="str">
        <f>HYPERLINK("https%3A%2F%2Fwww.webofscience.com%2Fwos%2Fwoscc%2Ffull-record%2FWOS:000900102600001","View Full Record in Web of Science")</f>
        <v>View Full Record in Web of Science</v>
      </c>
    </row>
    <row r="140" s="1" customFormat="1" ht="14.4" spans="1:79">
      <c r="A140">
        <v>139</v>
      </c>
      <c r="B140" s="2" t="s">
        <v>79</v>
      </c>
      <c r="C140" s="1" t="s">
        <v>80</v>
      </c>
      <c r="D140" s="1" t="s">
        <v>3002</v>
      </c>
      <c r="E140" s="1" t="s">
        <v>82</v>
      </c>
      <c r="F140" s="1" t="s">
        <v>82</v>
      </c>
      <c r="G140" s="1" t="s">
        <v>82</v>
      </c>
      <c r="H140" s="1" t="s">
        <v>3003</v>
      </c>
      <c r="I140" s="1" t="s">
        <v>82</v>
      </c>
      <c r="J140" s="1" t="s">
        <v>82</v>
      </c>
      <c r="K140" s="1" t="s">
        <v>3004</v>
      </c>
      <c r="L140" s="1" t="s">
        <v>2949</v>
      </c>
      <c r="M140" s="1">
        <v>6.627</v>
      </c>
      <c r="O140" s="1" t="s">
        <v>82</v>
      </c>
      <c r="P140" s="1" t="s">
        <v>82</v>
      </c>
      <c r="Q140" s="1" t="s">
        <v>87</v>
      </c>
      <c r="R140" s="1" t="s">
        <v>115</v>
      </c>
      <c r="S140" s="1" t="s">
        <v>82</v>
      </c>
      <c r="T140" s="1" t="s">
        <v>82</v>
      </c>
      <c r="U140" s="1" t="s">
        <v>82</v>
      </c>
      <c r="V140" s="1" t="s">
        <v>82</v>
      </c>
      <c r="W140" s="1" t="s">
        <v>82</v>
      </c>
      <c r="X140" s="1" t="s">
        <v>3005</v>
      </c>
      <c r="Y140" s="1" t="s">
        <v>3006</v>
      </c>
      <c r="Z140" s="1" t="s">
        <v>3007</v>
      </c>
      <c r="AB140" s="1" t="s">
        <v>3008</v>
      </c>
      <c r="AC140" s="1" t="s">
        <v>3009</v>
      </c>
      <c r="AD140" s="1" t="s">
        <v>206</v>
      </c>
      <c r="AE140" s="1" t="s">
        <v>3010</v>
      </c>
      <c r="AF140" s="1" t="s">
        <v>3011</v>
      </c>
      <c r="AG140" s="1" t="s">
        <v>1609</v>
      </c>
      <c r="AH140" s="1" t="s">
        <v>82</v>
      </c>
      <c r="AI140" s="1" t="s">
        <v>82</v>
      </c>
      <c r="AJ140" s="1" t="s">
        <v>3012</v>
      </c>
      <c r="AK140" s="1" t="s">
        <v>3013</v>
      </c>
      <c r="AL140" s="1" t="s">
        <v>3014</v>
      </c>
      <c r="AM140" s="1" t="s">
        <v>82</v>
      </c>
      <c r="AN140" s="1">
        <v>69</v>
      </c>
      <c r="AO140" s="1">
        <v>0</v>
      </c>
      <c r="AP140" s="1">
        <v>0</v>
      </c>
      <c r="AQ140" s="1">
        <v>4</v>
      </c>
      <c r="AR140" s="1">
        <v>4</v>
      </c>
      <c r="AS140" s="1" t="s">
        <v>2958</v>
      </c>
      <c r="AT140" s="1" t="s">
        <v>2959</v>
      </c>
      <c r="AU140" s="1" t="s">
        <v>2960</v>
      </c>
      <c r="AV140" s="1" t="s">
        <v>2961</v>
      </c>
      <c r="AW140" s="1" t="s">
        <v>82</v>
      </c>
      <c r="AX140" s="1" t="s">
        <v>82</v>
      </c>
      <c r="AY140" s="1" t="s">
        <v>2962</v>
      </c>
      <c r="AZ140" s="1" t="s">
        <v>2963</v>
      </c>
      <c r="BA140" s="1" t="s">
        <v>1172</v>
      </c>
      <c r="BB140" s="1">
        <v>2022</v>
      </c>
      <c r="BC140" s="1">
        <v>13</v>
      </c>
      <c r="BD140" s="1" t="s">
        <v>82</v>
      </c>
      <c r="BE140" s="1" t="s">
        <v>82</v>
      </c>
      <c r="BF140" s="1" t="s">
        <v>82</v>
      </c>
      <c r="BG140" s="1" t="s">
        <v>82</v>
      </c>
      <c r="BH140" s="1" t="s">
        <v>82</v>
      </c>
      <c r="BI140" s="1" t="s">
        <v>82</v>
      </c>
      <c r="BJ140" s="1" t="s">
        <v>82</v>
      </c>
      <c r="BK140" s="1">
        <v>1046538</v>
      </c>
      <c r="BL140" s="1" t="s">
        <v>3015</v>
      </c>
      <c r="BM140" s="1" t="str">
        <f>HYPERLINK("http://dx.doi.org/10.3389/fpls.2022.1046538","http://dx.doi.org/10.3389/fpls.2022.1046538")</f>
        <v>http://dx.doi.org/10.3389/fpls.2022.1046538</v>
      </c>
      <c r="BN140" s="1" t="s">
        <v>82</v>
      </c>
      <c r="BO140" s="1" t="s">
        <v>82</v>
      </c>
      <c r="BP140" s="1">
        <v>11</v>
      </c>
      <c r="BQ140" s="1" t="s">
        <v>378</v>
      </c>
      <c r="BR140" s="1" t="s">
        <v>104</v>
      </c>
      <c r="BS140" s="1" t="s">
        <v>378</v>
      </c>
      <c r="BT140" s="1" t="s">
        <v>3016</v>
      </c>
      <c r="BU140" s="1">
        <v>36507402</v>
      </c>
      <c r="BV140" s="1" t="s">
        <v>635</v>
      </c>
      <c r="BW140" s="1" t="s">
        <v>82</v>
      </c>
      <c r="BX140" s="1" t="s">
        <v>82</v>
      </c>
      <c r="BY140" s="1" t="s">
        <v>108</v>
      </c>
      <c r="BZ140" s="1" t="s">
        <v>3017</v>
      </c>
      <c r="CA140" s="1" t="str">
        <f>HYPERLINK("https%3A%2F%2Fwww.webofscience.com%2Fwos%2Fwoscc%2Ffull-record%2FWOS:000894361800001","View Full Record in Web of Science")</f>
        <v>View Full Record in Web of Science</v>
      </c>
    </row>
    <row r="141" s="1" customFormat="1" ht="14.4" spans="1:79">
      <c r="A141">
        <v>140</v>
      </c>
      <c r="B141" s="2" t="s">
        <v>79</v>
      </c>
      <c r="C141" s="1" t="s">
        <v>80</v>
      </c>
      <c r="D141" s="1" t="s">
        <v>3018</v>
      </c>
      <c r="E141" s="1" t="s">
        <v>82</v>
      </c>
      <c r="F141" s="1" t="s">
        <v>82</v>
      </c>
      <c r="G141" s="1" t="s">
        <v>82</v>
      </c>
      <c r="H141" s="1" t="s">
        <v>3019</v>
      </c>
      <c r="I141" s="1" t="s">
        <v>82</v>
      </c>
      <c r="J141" s="1" t="s">
        <v>82</v>
      </c>
      <c r="K141" s="1" t="s">
        <v>3020</v>
      </c>
      <c r="L141" s="1" t="s">
        <v>2949</v>
      </c>
      <c r="M141" s="1">
        <v>6.627</v>
      </c>
      <c r="O141" s="1" t="s">
        <v>82</v>
      </c>
      <c r="P141" s="1" t="s">
        <v>82</v>
      </c>
      <c r="Q141" s="1" t="s">
        <v>87</v>
      </c>
      <c r="R141" s="1" t="s">
        <v>200</v>
      </c>
      <c r="S141" s="1" t="s">
        <v>82</v>
      </c>
      <c r="T141" s="1" t="s">
        <v>82</v>
      </c>
      <c r="U141" s="1" t="s">
        <v>82</v>
      </c>
      <c r="V141" s="1" t="s">
        <v>82</v>
      </c>
      <c r="W141" s="1" t="s">
        <v>82</v>
      </c>
      <c r="X141" s="1" t="s">
        <v>3021</v>
      </c>
      <c r="Y141" s="1" t="s">
        <v>3022</v>
      </c>
      <c r="Z141" s="1" t="s">
        <v>3023</v>
      </c>
      <c r="AB141" s="1" t="s">
        <v>3024</v>
      </c>
      <c r="AC141" s="1" t="s">
        <v>3025</v>
      </c>
      <c r="AD141" s="1" t="s">
        <v>120</v>
      </c>
      <c r="AE141" s="1" t="s">
        <v>3026</v>
      </c>
      <c r="AF141" s="1" t="s">
        <v>3027</v>
      </c>
      <c r="AG141" s="1" t="s">
        <v>3028</v>
      </c>
      <c r="AH141" s="1" t="s">
        <v>82</v>
      </c>
      <c r="AI141" s="1" t="s">
        <v>82</v>
      </c>
      <c r="AJ141" s="1" t="s">
        <v>3029</v>
      </c>
      <c r="AK141" s="1" t="s">
        <v>3030</v>
      </c>
      <c r="AL141" s="1" t="s">
        <v>3031</v>
      </c>
      <c r="AM141" s="1" t="s">
        <v>82</v>
      </c>
      <c r="AN141" s="1">
        <v>108</v>
      </c>
      <c r="AO141" s="1">
        <v>0</v>
      </c>
      <c r="AP141" s="1">
        <v>0</v>
      </c>
      <c r="AQ141" s="1">
        <v>0</v>
      </c>
      <c r="AR141" s="1">
        <v>0</v>
      </c>
      <c r="AS141" s="1" t="s">
        <v>2958</v>
      </c>
      <c r="AT141" s="1" t="s">
        <v>2959</v>
      </c>
      <c r="AU141" s="1" t="s">
        <v>2960</v>
      </c>
      <c r="AV141" s="1" t="s">
        <v>2961</v>
      </c>
      <c r="AW141" s="1" t="s">
        <v>82</v>
      </c>
      <c r="AX141" s="1" t="s">
        <v>82</v>
      </c>
      <c r="AY141" s="1" t="s">
        <v>2962</v>
      </c>
      <c r="AZ141" s="1" t="s">
        <v>2963</v>
      </c>
      <c r="BA141" s="1" t="s">
        <v>3032</v>
      </c>
      <c r="BB141" s="1">
        <v>2022</v>
      </c>
      <c r="BC141" s="1">
        <v>13</v>
      </c>
      <c r="BD141" s="1" t="s">
        <v>82</v>
      </c>
      <c r="BE141" s="1" t="s">
        <v>82</v>
      </c>
      <c r="BF141" s="1" t="s">
        <v>82</v>
      </c>
      <c r="BG141" s="1" t="s">
        <v>82</v>
      </c>
      <c r="BH141" s="1" t="s">
        <v>82</v>
      </c>
      <c r="BI141" s="1" t="s">
        <v>82</v>
      </c>
      <c r="BJ141" s="1" t="s">
        <v>82</v>
      </c>
      <c r="BK141" s="1">
        <v>1029997</v>
      </c>
      <c r="BL141" s="1" t="s">
        <v>3033</v>
      </c>
      <c r="BM141" s="1" t="str">
        <f>HYPERLINK("http://dx.doi.org/10.3389/fpls.2022.1029997","http://dx.doi.org/10.3389/fpls.2022.1029997")</f>
        <v>http://dx.doi.org/10.3389/fpls.2022.1029997</v>
      </c>
      <c r="BN141" s="1" t="s">
        <v>82</v>
      </c>
      <c r="BO141" s="1" t="s">
        <v>82</v>
      </c>
      <c r="BP141" s="1">
        <v>11</v>
      </c>
      <c r="BQ141" s="1" t="s">
        <v>378</v>
      </c>
      <c r="BR141" s="1" t="s">
        <v>104</v>
      </c>
      <c r="BS141" s="1" t="s">
        <v>378</v>
      </c>
      <c r="BT141" s="1" t="s">
        <v>3034</v>
      </c>
      <c r="BU141" s="1">
        <v>36420023</v>
      </c>
      <c r="BV141" s="1" t="s">
        <v>635</v>
      </c>
      <c r="BW141" s="1" t="s">
        <v>82</v>
      </c>
      <c r="BX141" s="1" t="s">
        <v>82</v>
      </c>
      <c r="BY141" s="1" t="s">
        <v>108</v>
      </c>
      <c r="BZ141" s="1" t="s">
        <v>3035</v>
      </c>
      <c r="CA141" s="1" t="str">
        <f>HYPERLINK("https%3A%2F%2Fwww.webofscience.com%2Fwos%2Fwoscc%2Ffull-record%2FWOS:000888315500001","View Full Record in Web of Science")</f>
        <v>View Full Record in Web of Science</v>
      </c>
    </row>
    <row r="142" s="1" customFormat="1" ht="14.4" spans="1:79">
      <c r="A142">
        <v>141</v>
      </c>
      <c r="B142" s="2" t="s">
        <v>79</v>
      </c>
      <c r="C142" s="1" t="s">
        <v>80</v>
      </c>
      <c r="D142" s="1" t="s">
        <v>3036</v>
      </c>
      <c r="E142" s="1" t="s">
        <v>82</v>
      </c>
      <c r="F142" s="1" t="s">
        <v>82</v>
      </c>
      <c r="G142" s="1" t="s">
        <v>82</v>
      </c>
      <c r="H142" s="1" t="s">
        <v>3037</v>
      </c>
      <c r="I142" s="1" t="s">
        <v>82</v>
      </c>
      <c r="J142" s="1" t="s">
        <v>82</v>
      </c>
      <c r="K142" s="1" t="s">
        <v>3038</v>
      </c>
      <c r="L142" s="1" t="s">
        <v>2949</v>
      </c>
      <c r="M142" s="1">
        <v>6.627</v>
      </c>
      <c r="O142" s="1" t="s">
        <v>82</v>
      </c>
      <c r="P142" s="1" t="s">
        <v>82</v>
      </c>
      <c r="Q142" s="1" t="s">
        <v>87</v>
      </c>
      <c r="R142" s="1" t="s">
        <v>115</v>
      </c>
      <c r="S142" s="1" t="s">
        <v>82</v>
      </c>
      <c r="T142" s="1" t="s">
        <v>82</v>
      </c>
      <c r="U142" s="1" t="s">
        <v>82</v>
      </c>
      <c r="V142" s="1" t="s">
        <v>82</v>
      </c>
      <c r="W142" s="1" t="s">
        <v>82</v>
      </c>
      <c r="X142" s="1" t="s">
        <v>3039</v>
      </c>
      <c r="Y142" s="1" t="s">
        <v>3040</v>
      </c>
      <c r="Z142" s="1" t="s">
        <v>3041</v>
      </c>
      <c r="AA142" s="1">
        <v>1</v>
      </c>
      <c r="AB142" s="1" t="s">
        <v>3042</v>
      </c>
      <c r="AC142" s="1" t="s">
        <v>3043</v>
      </c>
      <c r="AD142" s="1" t="s">
        <v>93</v>
      </c>
      <c r="AE142" s="1" t="s">
        <v>3044</v>
      </c>
      <c r="AF142" s="1" t="s">
        <v>3045</v>
      </c>
      <c r="AG142" s="1" t="s">
        <v>3046</v>
      </c>
      <c r="AH142" s="1" t="s">
        <v>82</v>
      </c>
      <c r="AI142" s="1" t="s">
        <v>82</v>
      </c>
      <c r="AJ142" s="1" t="s">
        <v>82</v>
      </c>
      <c r="AK142" s="1" t="s">
        <v>82</v>
      </c>
      <c r="AL142" s="1" t="s">
        <v>82</v>
      </c>
      <c r="AM142" s="1" t="s">
        <v>82</v>
      </c>
      <c r="AN142" s="1">
        <v>67</v>
      </c>
      <c r="AO142" s="1">
        <v>0</v>
      </c>
      <c r="AP142" s="1">
        <v>0</v>
      </c>
      <c r="AQ142" s="1">
        <v>10</v>
      </c>
      <c r="AR142" s="1">
        <v>10</v>
      </c>
      <c r="AS142" s="1" t="s">
        <v>2958</v>
      </c>
      <c r="AT142" s="1" t="s">
        <v>2959</v>
      </c>
      <c r="AU142" s="1" t="s">
        <v>2960</v>
      </c>
      <c r="AV142" s="1" t="s">
        <v>2961</v>
      </c>
      <c r="AW142" s="1" t="s">
        <v>82</v>
      </c>
      <c r="AX142" s="1" t="s">
        <v>82</v>
      </c>
      <c r="AY142" s="1" t="s">
        <v>2962</v>
      </c>
      <c r="AZ142" s="1" t="s">
        <v>2963</v>
      </c>
      <c r="BA142" s="1" t="s">
        <v>3047</v>
      </c>
      <c r="BB142" s="1">
        <v>2022</v>
      </c>
      <c r="BC142" s="1">
        <v>13</v>
      </c>
      <c r="BD142" s="1" t="s">
        <v>82</v>
      </c>
      <c r="BE142" s="1" t="s">
        <v>82</v>
      </c>
      <c r="BF142" s="1" t="s">
        <v>82</v>
      </c>
      <c r="BG142" s="1" t="s">
        <v>82</v>
      </c>
      <c r="BH142" s="1" t="s">
        <v>82</v>
      </c>
      <c r="BI142" s="1" t="s">
        <v>82</v>
      </c>
      <c r="BJ142" s="1" t="s">
        <v>82</v>
      </c>
      <c r="BK142" s="1">
        <v>964109</v>
      </c>
      <c r="BL142" s="1" t="s">
        <v>3048</v>
      </c>
      <c r="BM142" s="1" t="str">
        <f>HYPERLINK("http://dx.doi.org/10.3389/fpls.2022.964109","http://dx.doi.org/10.3389/fpls.2022.964109")</f>
        <v>http://dx.doi.org/10.3389/fpls.2022.964109</v>
      </c>
      <c r="BN142" s="1" t="s">
        <v>82</v>
      </c>
      <c r="BO142" s="1" t="s">
        <v>82</v>
      </c>
      <c r="BP142" s="1">
        <v>13</v>
      </c>
      <c r="BQ142" s="1" t="s">
        <v>378</v>
      </c>
      <c r="BR142" s="1" t="s">
        <v>104</v>
      </c>
      <c r="BS142" s="1" t="s">
        <v>378</v>
      </c>
      <c r="BT142" s="1" t="s">
        <v>3049</v>
      </c>
      <c r="BU142" s="1">
        <v>35958212</v>
      </c>
      <c r="BV142" s="1" t="s">
        <v>592</v>
      </c>
      <c r="BW142" s="1" t="s">
        <v>82</v>
      </c>
      <c r="BX142" s="1" t="s">
        <v>82</v>
      </c>
      <c r="BY142" s="1" t="s">
        <v>108</v>
      </c>
      <c r="BZ142" s="1" t="s">
        <v>3050</v>
      </c>
      <c r="CA142" s="1" t="str">
        <f>HYPERLINK("https%3A%2F%2Fwww.webofscience.com%2Fwos%2Fwoscc%2Ffull-record%2FWOS:000891358400001","View Full Record in Web of Science")</f>
        <v>View Full Record in Web of Science</v>
      </c>
    </row>
    <row r="143" s="1" customFormat="1" ht="14.4" spans="1:79">
      <c r="A143">
        <v>142</v>
      </c>
      <c r="B143" s="2" t="s">
        <v>79</v>
      </c>
      <c r="C143" s="1" t="s">
        <v>80</v>
      </c>
      <c r="D143" s="1" t="s">
        <v>3051</v>
      </c>
      <c r="E143" s="1" t="s">
        <v>82</v>
      </c>
      <c r="F143" s="1" t="s">
        <v>82</v>
      </c>
      <c r="G143" s="1" t="s">
        <v>82</v>
      </c>
      <c r="H143" s="1" t="s">
        <v>3052</v>
      </c>
      <c r="I143" s="1" t="s">
        <v>82</v>
      </c>
      <c r="J143" s="1" t="s">
        <v>82</v>
      </c>
      <c r="K143" s="1" t="s">
        <v>3053</v>
      </c>
      <c r="L143" s="1" t="s">
        <v>2949</v>
      </c>
      <c r="M143" s="1">
        <v>6.627</v>
      </c>
      <c r="O143" s="1" t="s">
        <v>82</v>
      </c>
      <c r="P143" s="1" t="s">
        <v>82</v>
      </c>
      <c r="Q143" s="1" t="s">
        <v>87</v>
      </c>
      <c r="R143" s="1" t="s">
        <v>115</v>
      </c>
      <c r="S143" s="1" t="s">
        <v>82</v>
      </c>
      <c r="T143" s="1" t="s">
        <v>82</v>
      </c>
      <c r="U143" s="1" t="s">
        <v>82</v>
      </c>
      <c r="V143" s="1" t="s">
        <v>82</v>
      </c>
      <c r="W143" s="1" t="s">
        <v>82</v>
      </c>
      <c r="X143" s="1" t="s">
        <v>3054</v>
      </c>
      <c r="Y143" s="1" t="s">
        <v>3055</v>
      </c>
      <c r="Z143" s="1" t="s">
        <v>3056</v>
      </c>
      <c r="AB143" s="1" t="s">
        <v>3057</v>
      </c>
      <c r="AC143" s="1" t="s">
        <v>3058</v>
      </c>
      <c r="AD143" s="1" t="s">
        <v>120</v>
      </c>
      <c r="AE143" s="1" t="s">
        <v>3059</v>
      </c>
      <c r="AF143" s="1" t="s">
        <v>3060</v>
      </c>
      <c r="AG143" s="1" t="s">
        <v>3061</v>
      </c>
      <c r="AH143" s="1" t="s">
        <v>82</v>
      </c>
      <c r="AI143" s="1" t="s">
        <v>82</v>
      </c>
      <c r="AJ143" s="1" t="s">
        <v>3062</v>
      </c>
      <c r="AK143" s="1" t="s">
        <v>3063</v>
      </c>
      <c r="AL143" s="1" t="s">
        <v>3064</v>
      </c>
      <c r="AM143" s="1" t="s">
        <v>82</v>
      </c>
      <c r="AN143" s="1">
        <v>72</v>
      </c>
      <c r="AO143" s="1">
        <v>0</v>
      </c>
      <c r="AP143" s="1">
        <v>0</v>
      </c>
      <c r="AQ143" s="1">
        <v>4</v>
      </c>
      <c r="AR143" s="1">
        <v>4</v>
      </c>
      <c r="AS143" s="1" t="s">
        <v>2958</v>
      </c>
      <c r="AT143" s="1" t="s">
        <v>2959</v>
      </c>
      <c r="AU143" s="1" t="s">
        <v>2960</v>
      </c>
      <c r="AV143" s="1" t="s">
        <v>2961</v>
      </c>
      <c r="AW143" s="1" t="s">
        <v>82</v>
      </c>
      <c r="AX143" s="1" t="s">
        <v>82</v>
      </c>
      <c r="AY143" s="1" t="s">
        <v>2962</v>
      </c>
      <c r="AZ143" s="1" t="s">
        <v>2963</v>
      </c>
      <c r="BA143" s="1" t="s">
        <v>3065</v>
      </c>
      <c r="BB143" s="1">
        <v>2022</v>
      </c>
      <c r="BC143" s="1">
        <v>13</v>
      </c>
      <c r="BD143" s="1" t="s">
        <v>82</v>
      </c>
      <c r="BE143" s="1" t="s">
        <v>82</v>
      </c>
      <c r="BF143" s="1" t="s">
        <v>82</v>
      </c>
      <c r="BG143" s="1" t="s">
        <v>82</v>
      </c>
      <c r="BH143" s="1" t="s">
        <v>82</v>
      </c>
      <c r="BI143" s="1" t="s">
        <v>82</v>
      </c>
      <c r="BJ143" s="1" t="s">
        <v>82</v>
      </c>
      <c r="BK143" s="1">
        <v>1030647</v>
      </c>
      <c r="BL143" s="1" t="s">
        <v>3066</v>
      </c>
      <c r="BM143" s="1" t="str">
        <f>HYPERLINK("http://dx.doi.org/10.3389/fpls.2022.1030647","http://dx.doi.org/10.3389/fpls.2022.1030647")</f>
        <v>http://dx.doi.org/10.3389/fpls.2022.1030647</v>
      </c>
      <c r="BN143" s="1" t="s">
        <v>82</v>
      </c>
      <c r="BO143" s="1" t="s">
        <v>82</v>
      </c>
      <c r="BP143" s="1">
        <v>13</v>
      </c>
      <c r="BQ143" s="1" t="s">
        <v>378</v>
      </c>
      <c r="BR143" s="1" t="s">
        <v>104</v>
      </c>
      <c r="BS143" s="1" t="s">
        <v>378</v>
      </c>
      <c r="BT143" s="1" t="s">
        <v>3067</v>
      </c>
      <c r="BU143" s="1">
        <v>36438104</v>
      </c>
      <c r="BV143" s="1" t="s">
        <v>592</v>
      </c>
      <c r="BW143" s="1" t="s">
        <v>82</v>
      </c>
      <c r="BX143" s="1" t="s">
        <v>82</v>
      </c>
      <c r="BY143" s="1" t="s">
        <v>108</v>
      </c>
      <c r="BZ143" s="1" t="s">
        <v>3068</v>
      </c>
      <c r="CA143" s="1" t="str">
        <f>HYPERLINK("https%3A%2F%2Fwww.webofscience.com%2Fwos%2Fwoscc%2Ffull-record%2FWOS:000889958200001","View Full Record in Web of Science")</f>
        <v>View Full Record in Web of Science</v>
      </c>
    </row>
    <row r="144" s="1" customFormat="1" ht="14.4" spans="1:79">
      <c r="A144">
        <v>143</v>
      </c>
      <c r="B144" s="2" t="s">
        <v>79</v>
      </c>
      <c r="C144" s="1" t="s">
        <v>80</v>
      </c>
      <c r="D144" s="1" t="s">
        <v>3069</v>
      </c>
      <c r="E144" s="1" t="s">
        <v>82</v>
      </c>
      <c r="F144" s="1" t="s">
        <v>82</v>
      </c>
      <c r="G144" s="1" t="s">
        <v>82</v>
      </c>
      <c r="H144" s="1" t="s">
        <v>3070</v>
      </c>
      <c r="I144" s="1" t="s">
        <v>82</v>
      </c>
      <c r="J144" s="1" t="s">
        <v>82</v>
      </c>
      <c r="K144" s="1" t="s">
        <v>3071</v>
      </c>
      <c r="L144" s="1" t="s">
        <v>2949</v>
      </c>
      <c r="M144" s="1">
        <v>6.627</v>
      </c>
      <c r="O144" s="1" t="s">
        <v>82</v>
      </c>
      <c r="P144" s="1" t="s">
        <v>82</v>
      </c>
      <c r="Q144" s="1" t="s">
        <v>87</v>
      </c>
      <c r="R144" s="1" t="s">
        <v>115</v>
      </c>
      <c r="S144" s="1" t="s">
        <v>82</v>
      </c>
      <c r="T144" s="1" t="s">
        <v>82</v>
      </c>
      <c r="U144" s="1" t="s">
        <v>82</v>
      </c>
      <c r="V144" s="1" t="s">
        <v>82</v>
      </c>
      <c r="W144" s="1" t="s">
        <v>82</v>
      </c>
      <c r="X144" s="1" t="s">
        <v>3072</v>
      </c>
      <c r="Y144" s="1" t="s">
        <v>3073</v>
      </c>
      <c r="Z144" s="1" t="s">
        <v>3074</v>
      </c>
      <c r="AB144" s="1" t="s">
        <v>3075</v>
      </c>
      <c r="AC144" s="1" t="s">
        <v>3076</v>
      </c>
      <c r="AD144" s="1" t="s">
        <v>120</v>
      </c>
      <c r="AE144" s="1" t="s">
        <v>3077</v>
      </c>
      <c r="AF144" s="1" t="s">
        <v>3078</v>
      </c>
      <c r="AG144" s="1" t="s">
        <v>3079</v>
      </c>
      <c r="AH144" s="1" t="s">
        <v>82</v>
      </c>
      <c r="AI144" s="1" t="s">
        <v>82</v>
      </c>
      <c r="AJ144" s="1" t="s">
        <v>3080</v>
      </c>
      <c r="AK144" s="1" t="s">
        <v>3081</v>
      </c>
      <c r="AL144" s="1" t="s">
        <v>3082</v>
      </c>
      <c r="AM144" s="1" t="s">
        <v>82</v>
      </c>
      <c r="AN144" s="1">
        <v>105</v>
      </c>
      <c r="AO144" s="1">
        <v>0</v>
      </c>
      <c r="AP144" s="1">
        <v>0</v>
      </c>
      <c r="AQ144" s="1">
        <v>4</v>
      </c>
      <c r="AR144" s="1">
        <v>4</v>
      </c>
      <c r="AS144" s="1" t="s">
        <v>2958</v>
      </c>
      <c r="AT144" s="1" t="s">
        <v>2959</v>
      </c>
      <c r="AU144" s="1" t="s">
        <v>2960</v>
      </c>
      <c r="AV144" s="1" t="s">
        <v>2961</v>
      </c>
      <c r="AW144" s="1" t="s">
        <v>82</v>
      </c>
      <c r="AX144" s="1" t="s">
        <v>82</v>
      </c>
      <c r="AY144" s="1" t="s">
        <v>2962</v>
      </c>
      <c r="AZ144" s="1" t="s">
        <v>2963</v>
      </c>
      <c r="BA144" s="1" t="s">
        <v>1074</v>
      </c>
      <c r="BB144" s="1">
        <v>2022</v>
      </c>
      <c r="BC144" s="1">
        <v>13</v>
      </c>
      <c r="BD144" s="1" t="s">
        <v>82</v>
      </c>
      <c r="BE144" s="1" t="s">
        <v>82</v>
      </c>
      <c r="BF144" s="1" t="s">
        <v>82</v>
      </c>
      <c r="BG144" s="1" t="s">
        <v>82</v>
      </c>
      <c r="BH144" s="1" t="s">
        <v>82</v>
      </c>
      <c r="BI144" s="1" t="s">
        <v>82</v>
      </c>
      <c r="BJ144" s="1" t="s">
        <v>82</v>
      </c>
      <c r="BK144" s="1">
        <v>1020478</v>
      </c>
      <c r="BL144" s="1" t="s">
        <v>3083</v>
      </c>
      <c r="BM144" s="1" t="str">
        <f>HYPERLINK("http://dx.doi.org/10.3389/fpls.2022.1020478","http://dx.doi.org/10.3389/fpls.2022.1020478")</f>
        <v>http://dx.doi.org/10.3389/fpls.2022.1020478</v>
      </c>
      <c r="BN144" s="1" t="s">
        <v>82</v>
      </c>
      <c r="BO144" s="1" t="s">
        <v>82</v>
      </c>
      <c r="BP144" s="1">
        <v>17</v>
      </c>
      <c r="BQ144" s="1" t="s">
        <v>378</v>
      </c>
      <c r="BR144" s="1" t="s">
        <v>104</v>
      </c>
      <c r="BS144" s="1" t="s">
        <v>378</v>
      </c>
      <c r="BT144" s="1" t="s">
        <v>3084</v>
      </c>
      <c r="BU144" s="1">
        <v>36388552</v>
      </c>
      <c r="BV144" s="1" t="s">
        <v>635</v>
      </c>
      <c r="BW144" s="1" t="s">
        <v>82</v>
      </c>
      <c r="BX144" s="1" t="s">
        <v>82</v>
      </c>
      <c r="BY144" s="1" t="s">
        <v>108</v>
      </c>
      <c r="BZ144" s="1" t="s">
        <v>3085</v>
      </c>
      <c r="CA144" s="1" t="str">
        <f>HYPERLINK("https%3A%2F%2Fwww.webofscience.com%2Fwos%2Fwoscc%2Ffull-record%2FWOS:000885065800001","View Full Record in Web of Science")</f>
        <v>View Full Record in Web of Science</v>
      </c>
    </row>
    <row r="145" s="1" customFormat="1" ht="14.4" spans="1:79">
      <c r="A145">
        <v>144</v>
      </c>
      <c r="B145" s="2" t="s">
        <v>79</v>
      </c>
      <c r="C145" s="1" t="s">
        <v>80</v>
      </c>
      <c r="D145" s="1" t="s">
        <v>3086</v>
      </c>
      <c r="E145" s="1" t="s">
        <v>82</v>
      </c>
      <c r="F145" s="1" t="s">
        <v>82</v>
      </c>
      <c r="G145" s="1" t="s">
        <v>82</v>
      </c>
      <c r="H145" s="1" t="s">
        <v>3087</v>
      </c>
      <c r="I145" s="1" t="s">
        <v>82</v>
      </c>
      <c r="J145" s="1" t="s">
        <v>82</v>
      </c>
      <c r="K145" s="1" t="s">
        <v>3088</v>
      </c>
      <c r="L145" s="1" t="s">
        <v>2949</v>
      </c>
      <c r="M145" s="1">
        <v>6.627</v>
      </c>
      <c r="O145" s="1" t="s">
        <v>82</v>
      </c>
      <c r="P145" s="1" t="s">
        <v>82</v>
      </c>
      <c r="Q145" s="1" t="s">
        <v>87</v>
      </c>
      <c r="R145" s="1" t="s">
        <v>115</v>
      </c>
      <c r="S145" s="1" t="s">
        <v>82</v>
      </c>
      <c r="T145" s="1" t="s">
        <v>82</v>
      </c>
      <c r="U145" s="1" t="s">
        <v>82</v>
      </c>
      <c r="V145" s="1" t="s">
        <v>82</v>
      </c>
      <c r="W145" s="1" t="s">
        <v>82</v>
      </c>
      <c r="X145" s="1" t="s">
        <v>3089</v>
      </c>
      <c r="Y145" s="1" t="s">
        <v>3090</v>
      </c>
      <c r="Z145" s="1" t="s">
        <v>3091</v>
      </c>
      <c r="AA145" s="1">
        <v>1</v>
      </c>
      <c r="AB145" s="1" t="s">
        <v>3092</v>
      </c>
      <c r="AC145" s="1" t="s">
        <v>3093</v>
      </c>
      <c r="AD145" s="1" t="s">
        <v>93</v>
      </c>
      <c r="AE145" s="1" t="s">
        <v>3094</v>
      </c>
      <c r="AF145" s="1" t="s">
        <v>3095</v>
      </c>
      <c r="AG145" s="1" t="s">
        <v>3096</v>
      </c>
      <c r="AH145" s="1" t="s">
        <v>82</v>
      </c>
      <c r="AI145" s="1" t="s">
        <v>3097</v>
      </c>
      <c r="AJ145" s="1" t="s">
        <v>3098</v>
      </c>
      <c r="AK145" s="1" t="s">
        <v>3099</v>
      </c>
      <c r="AL145" s="1" t="s">
        <v>3100</v>
      </c>
      <c r="AM145" s="1" t="s">
        <v>82</v>
      </c>
      <c r="AN145" s="1">
        <v>69</v>
      </c>
      <c r="AO145" s="1">
        <v>0</v>
      </c>
      <c r="AP145" s="1">
        <v>0</v>
      </c>
      <c r="AQ145" s="1">
        <v>5</v>
      </c>
      <c r="AR145" s="1">
        <v>5</v>
      </c>
      <c r="AS145" s="1" t="s">
        <v>2958</v>
      </c>
      <c r="AT145" s="1" t="s">
        <v>2959</v>
      </c>
      <c r="AU145" s="1" t="s">
        <v>2960</v>
      </c>
      <c r="AV145" s="1" t="s">
        <v>2961</v>
      </c>
      <c r="AW145" s="1" t="s">
        <v>82</v>
      </c>
      <c r="AX145" s="1" t="s">
        <v>82</v>
      </c>
      <c r="AY145" s="1" t="s">
        <v>2962</v>
      </c>
      <c r="AZ145" s="1" t="s">
        <v>2963</v>
      </c>
      <c r="BA145" s="1" t="s">
        <v>3101</v>
      </c>
      <c r="BB145" s="1">
        <v>2022</v>
      </c>
      <c r="BC145" s="1">
        <v>13</v>
      </c>
      <c r="BD145" s="1" t="s">
        <v>82</v>
      </c>
      <c r="BE145" s="1" t="s">
        <v>82</v>
      </c>
      <c r="BF145" s="1" t="s">
        <v>82</v>
      </c>
      <c r="BG145" s="1" t="s">
        <v>82</v>
      </c>
      <c r="BH145" s="1" t="s">
        <v>82</v>
      </c>
      <c r="BI145" s="1" t="s">
        <v>82</v>
      </c>
      <c r="BJ145" s="1" t="s">
        <v>82</v>
      </c>
      <c r="BK145" s="1">
        <v>1010577</v>
      </c>
      <c r="BL145" s="1" t="s">
        <v>3102</v>
      </c>
      <c r="BM145" s="1" t="str">
        <f>HYPERLINK("http://dx.doi.org/10.3389/fpls.2022.1010577","http://dx.doi.org/10.3389/fpls.2022.1010577")</f>
        <v>http://dx.doi.org/10.3389/fpls.2022.1010577</v>
      </c>
      <c r="BN145" s="1" t="s">
        <v>82</v>
      </c>
      <c r="BO145" s="1" t="s">
        <v>82</v>
      </c>
      <c r="BP145" s="1">
        <v>13</v>
      </c>
      <c r="BQ145" s="1" t="s">
        <v>378</v>
      </c>
      <c r="BR145" s="1" t="s">
        <v>104</v>
      </c>
      <c r="BS145" s="1" t="s">
        <v>378</v>
      </c>
      <c r="BT145" s="1" t="s">
        <v>3103</v>
      </c>
      <c r="BU145" s="1">
        <v>36330249</v>
      </c>
      <c r="BV145" s="1" t="s">
        <v>635</v>
      </c>
      <c r="BW145" s="1" t="s">
        <v>82</v>
      </c>
      <c r="BX145" s="1" t="s">
        <v>82</v>
      </c>
      <c r="BY145" s="1" t="s">
        <v>108</v>
      </c>
      <c r="BZ145" s="1" t="s">
        <v>3104</v>
      </c>
      <c r="CA145" s="1" t="str">
        <f>HYPERLINK("https%3A%2F%2Fwww.webofscience.com%2Fwos%2Fwoscc%2Ffull-record%2FWOS:000878548600001","View Full Record in Web of Science")</f>
        <v>View Full Record in Web of Science</v>
      </c>
    </row>
    <row r="146" s="1" customFormat="1" ht="14.4" spans="1:79">
      <c r="A146">
        <v>145</v>
      </c>
      <c r="B146" s="2" t="s">
        <v>79</v>
      </c>
      <c r="C146" s="1" t="s">
        <v>80</v>
      </c>
      <c r="D146" s="1" t="s">
        <v>3105</v>
      </c>
      <c r="E146" s="1" t="s">
        <v>82</v>
      </c>
      <c r="F146" s="1" t="s">
        <v>82</v>
      </c>
      <c r="G146" s="1" t="s">
        <v>82</v>
      </c>
      <c r="H146" s="1" t="s">
        <v>3106</v>
      </c>
      <c r="I146" s="1" t="s">
        <v>82</v>
      </c>
      <c r="J146" s="1" t="s">
        <v>82</v>
      </c>
      <c r="K146" s="1" t="s">
        <v>3107</v>
      </c>
      <c r="L146" s="1" t="s">
        <v>2949</v>
      </c>
      <c r="M146" s="1">
        <v>6.627</v>
      </c>
      <c r="O146" s="1" t="s">
        <v>82</v>
      </c>
      <c r="P146" s="1" t="s">
        <v>82</v>
      </c>
      <c r="Q146" s="1" t="s">
        <v>87</v>
      </c>
      <c r="R146" s="1" t="s">
        <v>115</v>
      </c>
      <c r="S146" s="1" t="s">
        <v>82</v>
      </c>
      <c r="T146" s="1" t="s">
        <v>82</v>
      </c>
      <c r="U146" s="1" t="s">
        <v>82</v>
      </c>
      <c r="V146" s="1" t="s">
        <v>82</v>
      </c>
      <c r="W146" s="1" t="s">
        <v>82</v>
      </c>
      <c r="X146" s="1" t="s">
        <v>3108</v>
      </c>
      <c r="Y146" s="1" t="s">
        <v>3109</v>
      </c>
      <c r="Z146" s="1" t="s">
        <v>3110</v>
      </c>
      <c r="AA146" s="1">
        <v>1</v>
      </c>
      <c r="AB146" s="1" t="s">
        <v>3111</v>
      </c>
      <c r="AC146" s="1" t="s">
        <v>3112</v>
      </c>
      <c r="AD146" s="1" t="s">
        <v>93</v>
      </c>
      <c r="AE146" s="1" t="s">
        <v>1673</v>
      </c>
      <c r="AF146" s="1" t="s">
        <v>3113</v>
      </c>
      <c r="AG146" s="1" t="s">
        <v>82</v>
      </c>
      <c r="AH146" s="1" t="s">
        <v>82</v>
      </c>
      <c r="AI146" s="1" t="s">
        <v>82</v>
      </c>
      <c r="AJ146" s="1" t="s">
        <v>3114</v>
      </c>
      <c r="AK146" s="1" t="s">
        <v>3115</v>
      </c>
      <c r="AL146" s="1" t="s">
        <v>3116</v>
      </c>
      <c r="AM146" s="1" t="s">
        <v>82</v>
      </c>
      <c r="AN146" s="1">
        <v>72</v>
      </c>
      <c r="AO146" s="1">
        <v>0</v>
      </c>
      <c r="AP146" s="1">
        <v>0</v>
      </c>
      <c r="AQ146" s="1">
        <v>3</v>
      </c>
      <c r="AR146" s="1">
        <v>3</v>
      </c>
      <c r="AS146" s="1" t="s">
        <v>2958</v>
      </c>
      <c r="AT146" s="1" t="s">
        <v>2959</v>
      </c>
      <c r="AU146" s="1" t="s">
        <v>2960</v>
      </c>
      <c r="AV146" s="1" t="s">
        <v>2961</v>
      </c>
      <c r="AW146" s="1" t="s">
        <v>82</v>
      </c>
      <c r="AX146" s="1" t="s">
        <v>82</v>
      </c>
      <c r="AY146" s="1" t="s">
        <v>2962</v>
      </c>
      <c r="AZ146" s="1" t="s">
        <v>2963</v>
      </c>
      <c r="BA146" s="1" t="s">
        <v>3117</v>
      </c>
      <c r="BB146" s="1">
        <v>2022</v>
      </c>
      <c r="BC146" s="1">
        <v>13</v>
      </c>
      <c r="BD146" s="1" t="s">
        <v>82</v>
      </c>
      <c r="BE146" s="1" t="s">
        <v>82</v>
      </c>
      <c r="BF146" s="1" t="s">
        <v>82</v>
      </c>
      <c r="BG146" s="1" t="s">
        <v>82</v>
      </c>
      <c r="BH146" s="1" t="s">
        <v>82</v>
      </c>
      <c r="BI146" s="1" t="s">
        <v>82</v>
      </c>
      <c r="BJ146" s="1" t="s">
        <v>82</v>
      </c>
      <c r="BK146" s="1">
        <v>1002519</v>
      </c>
      <c r="BL146" s="1" t="s">
        <v>3118</v>
      </c>
      <c r="BM146" s="1" t="str">
        <f>HYPERLINK("http://dx.doi.org/10.3389/fpls.2022.1002519","http://dx.doi.org/10.3389/fpls.2022.1002519")</f>
        <v>http://dx.doi.org/10.3389/fpls.2022.1002519</v>
      </c>
      <c r="BN146" s="1" t="s">
        <v>82</v>
      </c>
      <c r="BO146" s="1" t="s">
        <v>82</v>
      </c>
      <c r="BP146" s="1">
        <v>13</v>
      </c>
      <c r="BQ146" s="1" t="s">
        <v>378</v>
      </c>
      <c r="BR146" s="1" t="s">
        <v>104</v>
      </c>
      <c r="BS146" s="1" t="s">
        <v>378</v>
      </c>
      <c r="BT146" s="1" t="s">
        <v>3119</v>
      </c>
      <c r="BU146" s="1">
        <v>36325543</v>
      </c>
      <c r="BV146" s="1" t="s">
        <v>592</v>
      </c>
      <c r="BW146" s="1" t="s">
        <v>82</v>
      </c>
      <c r="BX146" s="1" t="s">
        <v>82</v>
      </c>
      <c r="BY146" s="1" t="s">
        <v>108</v>
      </c>
      <c r="BZ146" s="1" t="s">
        <v>3120</v>
      </c>
      <c r="CA146" s="1" t="str">
        <f>HYPERLINK("https%3A%2F%2Fwww.webofscience.com%2Fwos%2Fwoscc%2Ffull-record%2FWOS:000877973900001","View Full Record in Web of Science")</f>
        <v>View Full Record in Web of Science</v>
      </c>
    </row>
    <row r="147" s="1" customFormat="1" ht="14.4" spans="1:79">
      <c r="A147">
        <v>146</v>
      </c>
      <c r="B147" s="2" t="s">
        <v>79</v>
      </c>
      <c r="C147" s="1" t="s">
        <v>80</v>
      </c>
      <c r="D147" s="1" t="s">
        <v>3121</v>
      </c>
      <c r="E147" s="1" t="s">
        <v>82</v>
      </c>
      <c r="F147" s="1" t="s">
        <v>82</v>
      </c>
      <c r="G147" s="1" t="s">
        <v>82</v>
      </c>
      <c r="H147" s="1" t="s">
        <v>3122</v>
      </c>
      <c r="I147" s="1" t="s">
        <v>82</v>
      </c>
      <c r="J147" s="1" t="s">
        <v>82</v>
      </c>
      <c r="K147" s="1" t="s">
        <v>3123</v>
      </c>
      <c r="L147" s="1" t="s">
        <v>2949</v>
      </c>
      <c r="M147" s="1">
        <v>6.627</v>
      </c>
      <c r="O147" s="1" t="s">
        <v>82</v>
      </c>
      <c r="P147" s="1" t="s">
        <v>82</v>
      </c>
      <c r="Q147" s="1" t="s">
        <v>87</v>
      </c>
      <c r="R147" s="1" t="s">
        <v>115</v>
      </c>
      <c r="S147" s="1" t="s">
        <v>82</v>
      </c>
      <c r="T147" s="1" t="s">
        <v>82</v>
      </c>
      <c r="U147" s="1" t="s">
        <v>82</v>
      </c>
      <c r="V147" s="1" t="s">
        <v>82</v>
      </c>
      <c r="W147" s="1" t="s">
        <v>82</v>
      </c>
      <c r="X147" s="1" t="s">
        <v>3124</v>
      </c>
      <c r="Y147" s="1" t="s">
        <v>3125</v>
      </c>
      <c r="Z147" s="1" t="s">
        <v>3126</v>
      </c>
      <c r="AA147" s="1">
        <v>1</v>
      </c>
      <c r="AB147" s="1" t="s">
        <v>3127</v>
      </c>
      <c r="AC147" s="1" t="s">
        <v>3128</v>
      </c>
      <c r="AD147" s="1" t="s">
        <v>93</v>
      </c>
      <c r="AE147" s="1" t="s">
        <v>3129</v>
      </c>
      <c r="AF147" s="1" t="s">
        <v>3130</v>
      </c>
      <c r="AG147" s="1" t="s">
        <v>3131</v>
      </c>
      <c r="AH147" s="1" t="s">
        <v>3132</v>
      </c>
      <c r="AI147" s="1" t="s">
        <v>3133</v>
      </c>
      <c r="AJ147" s="1" t="s">
        <v>3134</v>
      </c>
      <c r="AK147" s="1" t="s">
        <v>3135</v>
      </c>
      <c r="AL147" s="1" t="s">
        <v>3136</v>
      </c>
      <c r="AM147" s="1" t="s">
        <v>82</v>
      </c>
      <c r="AN147" s="1">
        <v>118</v>
      </c>
      <c r="AO147" s="1">
        <v>0</v>
      </c>
      <c r="AP147" s="1">
        <v>0</v>
      </c>
      <c r="AQ147" s="1">
        <v>12</v>
      </c>
      <c r="AR147" s="1">
        <v>12</v>
      </c>
      <c r="AS147" s="1" t="s">
        <v>2958</v>
      </c>
      <c r="AT147" s="1" t="s">
        <v>2959</v>
      </c>
      <c r="AU147" s="1" t="s">
        <v>2960</v>
      </c>
      <c r="AV147" s="1" t="s">
        <v>2961</v>
      </c>
      <c r="AW147" s="1" t="s">
        <v>82</v>
      </c>
      <c r="AX147" s="1" t="s">
        <v>82</v>
      </c>
      <c r="AY147" s="1" t="s">
        <v>2962</v>
      </c>
      <c r="AZ147" s="1" t="s">
        <v>2963</v>
      </c>
      <c r="BA147" s="1" t="s">
        <v>3137</v>
      </c>
      <c r="BB147" s="1">
        <v>2022</v>
      </c>
      <c r="BC147" s="1">
        <v>13</v>
      </c>
      <c r="BD147" s="1" t="s">
        <v>82</v>
      </c>
      <c r="BE147" s="1" t="s">
        <v>82</v>
      </c>
      <c r="BF147" s="1" t="s">
        <v>82</v>
      </c>
      <c r="BG147" s="1" t="s">
        <v>82</v>
      </c>
      <c r="BH147" s="1" t="s">
        <v>82</v>
      </c>
      <c r="BI147" s="1" t="s">
        <v>82</v>
      </c>
      <c r="BJ147" s="1" t="s">
        <v>82</v>
      </c>
      <c r="BK147" s="1">
        <v>925296</v>
      </c>
      <c r="BL147" s="1" t="s">
        <v>3138</v>
      </c>
      <c r="BM147" s="1" t="str">
        <f>HYPERLINK("http://dx.doi.org/10.3389/fpls.2022.925296","http://dx.doi.org/10.3389/fpls.2022.925296")</f>
        <v>http://dx.doi.org/10.3389/fpls.2022.925296</v>
      </c>
      <c r="BN147" s="1" t="s">
        <v>82</v>
      </c>
      <c r="BO147" s="1" t="s">
        <v>82</v>
      </c>
      <c r="BP147" s="1">
        <v>18</v>
      </c>
      <c r="BQ147" s="1" t="s">
        <v>378</v>
      </c>
      <c r="BR147" s="1" t="s">
        <v>104</v>
      </c>
      <c r="BS147" s="1" t="s">
        <v>378</v>
      </c>
      <c r="BT147" s="1" t="s">
        <v>3139</v>
      </c>
      <c r="BU147" s="1">
        <v>36275548</v>
      </c>
      <c r="BV147" s="1" t="s">
        <v>592</v>
      </c>
      <c r="BW147" s="1" t="s">
        <v>82</v>
      </c>
      <c r="BX147" s="1" t="s">
        <v>82</v>
      </c>
      <c r="BY147" s="1" t="s">
        <v>108</v>
      </c>
      <c r="BZ147" s="1" t="s">
        <v>3140</v>
      </c>
      <c r="CA147" s="1" t="str">
        <f>HYPERLINK("https%3A%2F%2Fwww.webofscience.com%2Fwos%2Fwoscc%2Ffull-record%2FWOS:000874696200001","View Full Record in Web of Science")</f>
        <v>View Full Record in Web of Science</v>
      </c>
    </row>
    <row r="148" s="1" customFormat="1" ht="14.4" spans="1:79">
      <c r="A148">
        <v>147</v>
      </c>
      <c r="B148" s="2" t="s">
        <v>79</v>
      </c>
      <c r="C148" s="1" t="s">
        <v>80</v>
      </c>
      <c r="D148" s="1" t="s">
        <v>3141</v>
      </c>
      <c r="E148" s="1" t="s">
        <v>82</v>
      </c>
      <c r="F148" s="1" t="s">
        <v>82</v>
      </c>
      <c r="G148" s="1" t="s">
        <v>82</v>
      </c>
      <c r="H148" s="1" t="s">
        <v>3142</v>
      </c>
      <c r="I148" s="1" t="s">
        <v>82</v>
      </c>
      <c r="J148" s="1" t="s">
        <v>82</v>
      </c>
      <c r="K148" s="1" t="s">
        <v>3143</v>
      </c>
      <c r="L148" s="1" t="s">
        <v>2949</v>
      </c>
      <c r="M148" s="1">
        <v>6.627</v>
      </c>
      <c r="O148" s="1" t="s">
        <v>82</v>
      </c>
      <c r="P148" s="1" t="s">
        <v>82</v>
      </c>
      <c r="Q148" s="1" t="s">
        <v>87</v>
      </c>
      <c r="R148" s="1" t="s">
        <v>115</v>
      </c>
      <c r="S148" s="1" t="s">
        <v>82</v>
      </c>
      <c r="T148" s="1" t="s">
        <v>82</v>
      </c>
      <c r="U148" s="1" t="s">
        <v>82</v>
      </c>
      <c r="V148" s="1" t="s">
        <v>82</v>
      </c>
      <c r="W148" s="1" t="s">
        <v>82</v>
      </c>
      <c r="X148" s="1" t="s">
        <v>3144</v>
      </c>
      <c r="Y148" s="1" t="s">
        <v>3145</v>
      </c>
      <c r="Z148" s="1" t="s">
        <v>3146</v>
      </c>
      <c r="AB148" s="1" t="s">
        <v>3147</v>
      </c>
      <c r="AC148" s="1" t="s">
        <v>3148</v>
      </c>
      <c r="AD148" s="1" t="s">
        <v>120</v>
      </c>
      <c r="AE148" s="1" t="s">
        <v>3149</v>
      </c>
      <c r="AF148" s="1" t="s">
        <v>3150</v>
      </c>
      <c r="AG148" s="1" t="s">
        <v>82</v>
      </c>
      <c r="AH148" s="1" t="s">
        <v>3151</v>
      </c>
      <c r="AI148" s="1" t="s">
        <v>82</v>
      </c>
      <c r="AJ148" s="1" t="s">
        <v>3152</v>
      </c>
      <c r="AK148" s="1" t="s">
        <v>3153</v>
      </c>
      <c r="AL148" s="1" t="s">
        <v>3154</v>
      </c>
      <c r="AM148" s="1" t="s">
        <v>82</v>
      </c>
      <c r="AN148" s="1">
        <v>82</v>
      </c>
      <c r="AO148" s="1">
        <v>0</v>
      </c>
      <c r="AP148" s="1">
        <v>0</v>
      </c>
      <c r="AQ148" s="1">
        <v>10</v>
      </c>
      <c r="AR148" s="1">
        <v>10</v>
      </c>
      <c r="AS148" s="1" t="s">
        <v>2958</v>
      </c>
      <c r="AT148" s="1" t="s">
        <v>2959</v>
      </c>
      <c r="AU148" s="1" t="s">
        <v>2960</v>
      </c>
      <c r="AV148" s="1" t="s">
        <v>2961</v>
      </c>
      <c r="AW148" s="1" t="s">
        <v>82</v>
      </c>
      <c r="AX148" s="1" t="s">
        <v>82</v>
      </c>
      <c r="AY148" s="1" t="s">
        <v>2962</v>
      </c>
      <c r="AZ148" s="1" t="s">
        <v>2963</v>
      </c>
      <c r="BA148" s="1" t="s">
        <v>3155</v>
      </c>
      <c r="BB148" s="1">
        <v>2022</v>
      </c>
      <c r="BC148" s="1">
        <v>13</v>
      </c>
      <c r="BD148" s="1" t="s">
        <v>82</v>
      </c>
      <c r="BE148" s="1" t="s">
        <v>82</v>
      </c>
      <c r="BF148" s="1" t="s">
        <v>82</v>
      </c>
      <c r="BG148" s="1" t="s">
        <v>82</v>
      </c>
      <c r="BH148" s="1" t="s">
        <v>82</v>
      </c>
      <c r="BI148" s="1" t="s">
        <v>82</v>
      </c>
      <c r="BJ148" s="1" t="s">
        <v>82</v>
      </c>
      <c r="BK148" s="1">
        <v>1019831</v>
      </c>
      <c r="BL148" s="1" t="s">
        <v>3156</v>
      </c>
      <c r="BM148" s="1" t="str">
        <f>HYPERLINK("http://dx.doi.org/10.3389/fpls.2022.1019831","http://dx.doi.org/10.3389/fpls.2022.1019831")</f>
        <v>http://dx.doi.org/10.3389/fpls.2022.1019831</v>
      </c>
      <c r="BN148" s="1" t="s">
        <v>82</v>
      </c>
      <c r="BO148" s="1" t="s">
        <v>82</v>
      </c>
      <c r="BP148" s="1">
        <v>16</v>
      </c>
      <c r="BQ148" s="1" t="s">
        <v>378</v>
      </c>
      <c r="BR148" s="1" t="s">
        <v>104</v>
      </c>
      <c r="BS148" s="1" t="s">
        <v>378</v>
      </c>
      <c r="BT148" s="1" t="s">
        <v>3157</v>
      </c>
      <c r="BU148" s="1">
        <v>36275537</v>
      </c>
      <c r="BV148" s="1" t="s">
        <v>592</v>
      </c>
      <c r="BW148" s="1" t="s">
        <v>82</v>
      </c>
      <c r="BX148" s="1" t="s">
        <v>82</v>
      </c>
      <c r="BY148" s="1" t="s">
        <v>108</v>
      </c>
      <c r="BZ148" s="1" t="s">
        <v>3158</v>
      </c>
      <c r="CA148" s="1" t="str">
        <f>HYPERLINK("https%3A%2F%2Fwww.webofscience.com%2Fwos%2Fwoscc%2Ffull-record%2FWOS:000874617700001","View Full Record in Web of Science")</f>
        <v>View Full Record in Web of Science</v>
      </c>
    </row>
    <row r="149" s="1" customFormat="1" ht="14.4" spans="1:79">
      <c r="A149">
        <v>148</v>
      </c>
      <c r="B149" s="2" t="s">
        <v>79</v>
      </c>
      <c r="C149" s="1" t="s">
        <v>80</v>
      </c>
      <c r="D149" s="1" t="s">
        <v>3159</v>
      </c>
      <c r="E149" s="1" t="s">
        <v>82</v>
      </c>
      <c r="F149" s="1" t="s">
        <v>82</v>
      </c>
      <c r="G149" s="1" t="s">
        <v>82</v>
      </c>
      <c r="H149" s="1" t="s">
        <v>3160</v>
      </c>
      <c r="I149" s="1" t="s">
        <v>82</v>
      </c>
      <c r="J149" s="1" t="s">
        <v>82</v>
      </c>
      <c r="K149" s="1" t="s">
        <v>3161</v>
      </c>
      <c r="L149" s="1" t="s">
        <v>2949</v>
      </c>
      <c r="M149" s="1">
        <v>6.627</v>
      </c>
      <c r="O149" s="1" t="s">
        <v>82</v>
      </c>
      <c r="P149" s="1" t="s">
        <v>82</v>
      </c>
      <c r="Q149" s="1" t="s">
        <v>87</v>
      </c>
      <c r="R149" s="1" t="s">
        <v>115</v>
      </c>
      <c r="S149" s="1" t="s">
        <v>82</v>
      </c>
      <c r="T149" s="1" t="s">
        <v>82</v>
      </c>
      <c r="U149" s="1" t="s">
        <v>82</v>
      </c>
      <c r="V149" s="1" t="s">
        <v>82</v>
      </c>
      <c r="W149" s="1" t="s">
        <v>82</v>
      </c>
      <c r="X149" s="1" t="s">
        <v>3162</v>
      </c>
      <c r="Y149" s="1" t="s">
        <v>3163</v>
      </c>
      <c r="Z149" s="1" t="s">
        <v>3164</v>
      </c>
      <c r="AB149" s="1" t="s">
        <v>3165</v>
      </c>
      <c r="AC149" s="1" t="s">
        <v>3166</v>
      </c>
      <c r="AD149" s="1" t="s">
        <v>206</v>
      </c>
      <c r="AE149" s="1" t="s">
        <v>3167</v>
      </c>
      <c r="AF149" s="1" t="s">
        <v>3168</v>
      </c>
      <c r="AG149" s="1" t="s">
        <v>3169</v>
      </c>
      <c r="AH149" s="1" t="s">
        <v>82</v>
      </c>
      <c r="AI149" s="1" t="s">
        <v>82</v>
      </c>
      <c r="AJ149" s="1" t="s">
        <v>3170</v>
      </c>
      <c r="AK149" s="1" t="s">
        <v>3171</v>
      </c>
      <c r="AL149" s="1" t="s">
        <v>3172</v>
      </c>
      <c r="AM149" s="1" t="s">
        <v>82</v>
      </c>
      <c r="AN149" s="1">
        <v>69</v>
      </c>
      <c r="AO149" s="1">
        <v>0</v>
      </c>
      <c r="AP149" s="1">
        <v>0</v>
      </c>
      <c r="AQ149" s="1">
        <v>10</v>
      </c>
      <c r="AR149" s="1">
        <v>10</v>
      </c>
      <c r="AS149" s="1" t="s">
        <v>2958</v>
      </c>
      <c r="AT149" s="1" t="s">
        <v>2959</v>
      </c>
      <c r="AU149" s="1" t="s">
        <v>2960</v>
      </c>
      <c r="AV149" s="1" t="s">
        <v>2961</v>
      </c>
      <c r="AW149" s="1" t="s">
        <v>82</v>
      </c>
      <c r="AX149" s="1" t="s">
        <v>82</v>
      </c>
      <c r="AY149" s="1" t="s">
        <v>2962</v>
      </c>
      <c r="AZ149" s="1" t="s">
        <v>2963</v>
      </c>
      <c r="BA149" s="1" t="s">
        <v>3155</v>
      </c>
      <c r="BB149" s="1">
        <v>2022</v>
      </c>
      <c r="BC149" s="1">
        <v>13</v>
      </c>
      <c r="BD149" s="1" t="s">
        <v>82</v>
      </c>
      <c r="BE149" s="1" t="s">
        <v>82</v>
      </c>
      <c r="BF149" s="1" t="s">
        <v>82</v>
      </c>
      <c r="BG149" s="1" t="s">
        <v>82</v>
      </c>
      <c r="BH149" s="1" t="s">
        <v>82</v>
      </c>
      <c r="BI149" s="1" t="s">
        <v>82</v>
      </c>
      <c r="BJ149" s="1" t="s">
        <v>82</v>
      </c>
      <c r="BK149" s="1">
        <v>893201</v>
      </c>
      <c r="BL149" s="1" t="s">
        <v>3173</v>
      </c>
      <c r="BM149" s="1" t="str">
        <f>HYPERLINK("http://dx.doi.org/10.3389/fpls.2022.893201","http://dx.doi.org/10.3389/fpls.2022.893201")</f>
        <v>http://dx.doi.org/10.3389/fpls.2022.893201</v>
      </c>
      <c r="BN149" s="1" t="s">
        <v>82</v>
      </c>
      <c r="BO149" s="1" t="s">
        <v>82</v>
      </c>
      <c r="BP149" s="1">
        <v>14</v>
      </c>
      <c r="BQ149" s="1" t="s">
        <v>378</v>
      </c>
      <c r="BR149" s="1" t="s">
        <v>104</v>
      </c>
      <c r="BS149" s="1" t="s">
        <v>378</v>
      </c>
      <c r="BT149" s="1" t="s">
        <v>3174</v>
      </c>
      <c r="BU149" s="1">
        <v>36275552</v>
      </c>
      <c r="BV149" s="1" t="s">
        <v>592</v>
      </c>
      <c r="BW149" s="1" t="s">
        <v>82</v>
      </c>
      <c r="BX149" s="1" t="s">
        <v>82</v>
      </c>
      <c r="BY149" s="1" t="s">
        <v>108</v>
      </c>
      <c r="BZ149" s="1" t="s">
        <v>3175</v>
      </c>
      <c r="CA149" s="1" t="str">
        <f>HYPERLINK("https%3A%2F%2Fwww.webofscience.com%2Fwos%2Fwoscc%2Ffull-record%2FWOS:000874623900001","View Full Record in Web of Science")</f>
        <v>View Full Record in Web of Science</v>
      </c>
    </row>
    <row r="150" s="1" customFormat="1" ht="14.4" spans="1:79">
      <c r="A150">
        <v>149</v>
      </c>
      <c r="B150" s="2" t="s">
        <v>79</v>
      </c>
      <c r="C150" s="1" t="s">
        <v>80</v>
      </c>
      <c r="D150" s="1" t="s">
        <v>3176</v>
      </c>
      <c r="E150" s="1" t="s">
        <v>82</v>
      </c>
      <c r="F150" s="1" t="s">
        <v>82</v>
      </c>
      <c r="G150" s="1" t="s">
        <v>82</v>
      </c>
      <c r="H150" s="1" t="s">
        <v>3177</v>
      </c>
      <c r="I150" s="1" t="s">
        <v>82</v>
      </c>
      <c r="J150" s="1" t="s">
        <v>82</v>
      </c>
      <c r="K150" s="1" t="s">
        <v>3178</v>
      </c>
      <c r="L150" s="1" t="s">
        <v>2949</v>
      </c>
      <c r="M150" s="1">
        <v>6.627</v>
      </c>
      <c r="O150" s="1" t="s">
        <v>82</v>
      </c>
      <c r="P150" s="1" t="s">
        <v>82</v>
      </c>
      <c r="Q150" s="1" t="s">
        <v>87</v>
      </c>
      <c r="R150" s="1" t="s">
        <v>115</v>
      </c>
      <c r="S150" s="1" t="s">
        <v>82</v>
      </c>
      <c r="T150" s="1" t="s">
        <v>82</v>
      </c>
      <c r="U150" s="1" t="s">
        <v>82</v>
      </c>
      <c r="V150" s="1" t="s">
        <v>82</v>
      </c>
      <c r="W150" s="1" t="s">
        <v>82</v>
      </c>
      <c r="X150" s="1" t="s">
        <v>3179</v>
      </c>
      <c r="Y150" s="1" t="s">
        <v>3180</v>
      </c>
      <c r="Z150" s="1" t="s">
        <v>3181</v>
      </c>
      <c r="AA150" s="1">
        <v>1</v>
      </c>
      <c r="AB150" s="1" t="s">
        <v>3182</v>
      </c>
      <c r="AC150" s="1" t="s">
        <v>3183</v>
      </c>
      <c r="AD150" s="1" t="s">
        <v>93</v>
      </c>
      <c r="AE150" s="1" t="s">
        <v>3184</v>
      </c>
      <c r="AF150" s="1" t="s">
        <v>3185</v>
      </c>
      <c r="AG150" s="1" t="s">
        <v>3186</v>
      </c>
      <c r="AH150" s="1" t="s">
        <v>82</v>
      </c>
      <c r="AI150" s="1" t="s">
        <v>82</v>
      </c>
      <c r="AJ150" s="1" t="s">
        <v>3187</v>
      </c>
      <c r="AK150" s="1" t="s">
        <v>3188</v>
      </c>
      <c r="AL150" s="1" t="s">
        <v>3189</v>
      </c>
      <c r="AM150" s="1" t="s">
        <v>82</v>
      </c>
      <c r="AN150" s="1">
        <v>82</v>
      </c>
      <c r="AO150" s="1">
        <v>0</v>
      </c>
      <c r="AP150" s="1">
        <v>0</v>
      </c>
      <c r="AQ150" s="1">
        <v>3</v>
      </c>
      <c r="AR150" s="1">
        <v>3</v>
      </c>
      <c r="AS150" s="1" t="s">
        <v>2958</v>
      </c>
      <c r="AT150" s="1" t="s">
        <v>2959</v>
      </c>
      <c r="AU150" s="1" t="s">
        <v>2960</v>
      </c>
      <c r="AV150" s="1" t="s">
        <v>2961</v>
      </c>
      <c r="AW150" s="1" t="s">
        <v>82</v>
      </c>
      <c r="AX150" s="1" t="s">
        <v>82</v>
      </c>
      <c r="AY150" s="1" t="s">
        <v>2962</v>
      </c>
      <c r="AZ150" s="1" t="s">
        <v>2963</v>
      </c>
      <c r="BA150" s="1" t="s">
        <v>3190</v>
      </c>
      <c r="BB150" s="1">
        <v>2022</v>
      </c>
      <c r="BC150" s="1">
        <v>13</v>
      </c>
      <c r="BD150" s="1" t="s">
        <v>82</v>
      </c>
      <c r="BE150" s="1" t="s">
        <v>82</v>
      </c>
      <c r="BF150" s="1" t="s">
        <v>82</v>
      </c>
      <c r="BG150" s="1" t="s">
        <v>82</v>
      </c>
      <c r="BH150" s="1" t="s">
        <v>82</v>
      </c>
      <c r="BI150" s="1" t="s">
        <v>82</v>
      </c>
      <c r="BJ150" s="1" t="s">
        <v>82</v>
      </c>
      <c r="BK150" s="1">
        <v>888049</v>
      </c>
      <c r="BL150" s="1" t="s">
        <v>3191</v>
      </c>
      <c r="BM150" s="1" t="str">
        <f>HYPERLINK("http://dx.doi.org/10.3389/fpls.2022.888049","http://dx.doi.org/10.3389/fpls.2022.888049")</f>
        <v>http://dx.doi.org/10.3389/fpls.2022.888049</v>
      </c>
      <c r="BN150" s="1" t="s">
        <v>82</v>
      </c>
      <c r="BO150" s="1" t="s">
        <v>82</v>
      </c>
      <c r="BP150" s="1">
        <v>14</v>
      </c>
      <c r="BQ150" s="1" t="s">
        <v>378</v>
      </c>
      <c r="BR150" s="1" t="s">
        <v>104</v>
      </c>
      <c r="BS150" s="1" t="s">
        <v>378</v>
      </c>
      <c r="BT150" s="1" t="s">
        <v>3192</v>
      </c>
      <c r="BU150" s="1">
        <v>36247567</v>
      </c>
      <c r="BV150" s="1" t="s">
        <v>635</v>
      </c>
      <c r="BW150" s="1" t="s">
        <v>82</v>
      </c>
      <c r="BX150" s="1" t="s">
        <v>82</v>
      </c>
      <c r="BY150" s="1" t="s">
        <v>108</v>
      </c>
      <c r="BZ150" s="1" t="s">
        <v>3193</v>
      </c>
      <c r="CA150" s="1" t="str">
        <f>HYPERLINK("https%3A%2F%2Fwww.webofscience.com%2Fwos%2Fwoscc%2Ffull-record%2FWOS:000868553600001","View Full Record in Web of Science")</f>
        <v>View Full Record in Web of Science</v>
      </c>
    </row>
    <row r="151" s="1" customFormat="1" ht="14.4" spans="1:79">
      <c r="A151">
        <v>150</v>
      </c>
      <c r="B151" s="2" t="s">
        <v>79</v>
      </c>
      <c r="C151" s="1" t="s">
        <v>80</v>
      </c>
      <c r="D151" s="1" t="s">
        <v>3194</v>
      </c>
      <c r="E151" s="1" t="s">
        <v>82</v>
      </c>
      <c r="F151" s="1" t="s">
        <v>82</v>
      </c>
      <c r="G151" s="1" t="s">
        <v>82</v>
      </c>
      <c r="H151" s="1" t="s">
        <v>3195</v>
      </c>
      <c r="I151" s="1" t="s">
        <v>82</v>
      </c>
      <c r="J151" s="1" t="s">
        <v>82</v>
      </c>
      <c r="K151" s="1" t="s">
        <v>3196</v>
      </c>
      <c r="L151" s="1" t="s">
        <v>2949</v>
      </c>
      <c r="M151" s="1">
        <v>6.627</v>
      </c>
      <c r="O151" s="1" t="s">
        <v>82</v>
      </c>
      <c r="P151" s="1" t="s">
        <v>82</v>
      </c>
      <c r="Q151" s="1" t="s">
        <v>87</v>
      </c>
      <c r="R151" s="1" t="s">
        <v>115</v>
      </c>
      <c r="S151" s="1" t="s">
        <v>82</v>
      </c>
      <c r="T151" s="1" t="s">
        <v>82</v>
      </c>
      <c r="U151" s="1" t="s">
        <v>82</v>
      </c>
      <c r="V151" s="1" t="s">
        <v>82</v>
      </c>
      <c r="W151" s="1" t="s">
        <v>82</v>
      </c>
      <c r="X151" s="1" t="s">
        <v>3197</v>
      </c>
      <c r="Y151" s="1" t="s">
        <v>3198</v>
      </c>
      <c r="Z151" s="1" t="s">
        <v>3199</v>
      </c>
      <c r="AB151" s="1" t="s">
        <v>3057</v>
      </c>
      <c r="AC151" s="1" t="s">
        <v>3200</v>
      </c>
      <c r="AD151" s="1" t="s">
        <v>206</v>
      </c>
      <c r="AE151" s="1" t="s">
        <v>3201</v>
      </c>
      <c r="AF151" s="1" t="s">
        <v>3202</v>
      </c>
      <c r="AG151" s="1" t="s">
        <v>3203</v>
      </c>
      <c r="AH151" s="1" t="s">
        <v>3204</v>
      </c>
      <c r="AI151" s="1" t="s">
        <v>3205</v>
      </c>
      <c r="AJ151" s="1" t="s">
        <v>82</v>
      </c>
      <c r="AK151" s="1" t="s">
        <v>82</v>
      </c>
      <c r="AL151" s="1" t="s">
        <v>82</v>
      </c>
      <c r="AM151" s="1" t="s">
        <v>82</v>
      </c>
      <c r="AN151" s="1">
        <v>79</v>
      </c>
      <c r="AO151" s="1">
        <v>0</v>
      </c>
      <c r="AP151" s="1">
        <v>0</v>
      </c>
      <c r="AQ151" s="1">
        <v>11</v>
      </c>
      <c r="AR151" s="1">
        <v>11</v>
      </c>
      <c r="AS151" s="1" t="s">
        <v>2958</v>
      </c>
      <c r="AT151" s="1" t="s">
        <v>2959</v>
      </c>
      <c r="AU151" s="1" t="s">
        <v>2960</v>
      </c>
      <c r="AV151" s="1" t="s">
        <v>2961</v>
      </c>
      <c r="AW151" s="1" t="s">
        <v>82</v>
      </c>
      <c r="AX151" s="1" t="s">
        <v>82</v>
      </c>
      <c r="AY151" s="1" t="s">
        <v>2962</v>
      </c>
      <c r="AZ151" s="1" t="s">
        <v>2963</v>
      </c>
      <c r="BA151" s="1" t="s">
        <v>3206</v>
      </c>
      <c r="BB151" s="1">
        <v>2022</v>
      </c>
      <c r="BC151" s="1">
        <v>13</v>
      </c>
      <c r="BD151" s="1" t="s">
        <v>82</v>
      </c>
      <c r="BE151" s="1" t="s">
        <v>82</v>
      </c>
      <c r="BF151" s="1" t="s">
        <v>82</v>
      </c>
      <c r="BG151" s="1" t="s">
        <v>82</v>
      </c>
      <c r="BH151" s="1" t="s">
        <v>82</v>
      </c>
      <c r="BI151" s="1" t="s">
        <v>82</v>
      </c>
      <c r="BJ151" s="1" t="s">
        <v>82</v>
      </c>
      <c r="BK151" s="1">
        <v>1001583</v>
      </c>
      <c r="BL151" s="1" t="s">
        <v>3207</v>
      </c>
      <c r="BM151" s="1" t="str">
        <f>HYPERLINK("http://dx.doi.org/10.3389/fpls.2022.1001583","http://dx.doi.org/10.3389/fpls.2022.1001583")</f>
        <v>http://dx.doi.org/10.3389/fpls.2022.1001583</v>
      </c>
      <c r="BN151" s="1" t="s">
        <v>82</v>
      </c>
      <c r="BO151" s="1" t="s">
        <v>82</v>
      </c>
      <c r="BP151" s="1">
        <v>11</v>
      </c>
      <c r="BQ151" s="1" t="s">
        <v>378</v>
      </c>
      <c r="BR151" s="1" t="s">
        <v>104</v>
      </c>
      <c r="BS151" s="1" t="s">
        <v>378</v>
      </c>
      <c r="BT151" s="1" t="s">
        <v>3208</v>
      </c>
      <c r="BU151" s="1">
        <v>36212310</v>
      </c>
      <c r="BV151" s="1" t="s">
        <v>635</v>
      </c>
      <c r="BW151" s="1" t="s">
        <v>82</v>
      </c>
      <c r="BX151" s="1" t="s">
        <v>82</v>
      </c>
      <c r="BY151" s="1" t="s">
        <v>108</v>
      </c>
      <c r="BZ151" s="1" t="s">
        <v>3209</v>
      </c>
      <c r="CA151" s="1" t="str">
        <f>HYPERLINK("https%3A%2F%2Fwww.webofscience.com%2Fwos%2Fwoscc%2Ffull-record%2FWOS:000864936000001","View Full Record in Web of Science")</f>
        <v>View Full Record in Web of Science</v>
      </c>
    </row>
    <row r="152" s="1" customFormat="1" ht="14.4" spans="1:79">
      <c r="A152">
        <v>151</v>
      </c>
      <c r="B152" s="2" t="s">
        <v>79</v>
      </c>
      <c r="C152" s="1" t="s">
        <v>80</v>
      </c>
      <c r="D152" s="1" t="s">
        <v>3210</v>
      </c>
      <c r="E152" s="1" t="s">
        <v>82</v>
      </c>
      <c r="F152" s="1" t="s">
        <v>82</v>
      </c>
      <c r="G152" s="1" t="s">
        <v>82</v>
      </c>
      <c r="H152" s="1" t="s">
        <v>3211</v>
      </c>
      <c r="I152" s="1" t="s">
        <v>82</v>
      </c>
      <c r="J152" s="1" t="s">
        <v>82</v>
      </c>
      <c r="K152" s="1" t="s">
        <v>3212</v>
      </c>
      <c r="L152" s="1" t="s">
        <v>2949</v>
      </c>
      <c r="M152" s="1">
        <v>6.627</v>
      </c>
      <c r="O152" s="1" t="s">
        <v>82</v>
      </c>
      <c r="P152" s="1" t="s">
        <v>82</v>
      </c>
      <c r="Q152" s="1" t="s">
        <v>87</v>
      </c>
      <c r="R152" s="1" t="s">
        <v>115</v>
      </c>
      <c r="S152" s="1" t="s">
        <v>82</v>
      </c>
      <c r="T152" s="1" t="s">
        <v>82</v>
      </c>
      <c r="U152" s="1" t="s">
        <v>82</v>
      </c>
      <c r="V152" s="1" t="s">
        <v>82</v>
      </c>
      <c r="W152" s="1" t="s">
        <v>82</v>
      </c>
      <c r="X152" s="1" t="s">
        <v>3213</v>
      </c>
      <c r="Y152" s="1" t="s">
        <v>3214</v>
      </c>
      <c r="Z152" s="1" t="s">
        <v>3215</v>
      </c>
      <c r="AA152" s="1">
        <v>1</v>
      </c>
      <c r="AB152" s="1" t="s">
        <v>3216</v>
      </c>
      <c r="AC152" s="1" t="s">
        <v>3217</v>
      </c>
      <c r="AD152" s="1" t="s">
        <v>93</v>
      </c>
      <c r="AE152" s="1" t="s">
        <v>3218</v>
      </c>
      <c r="AF152" s="1" t="s">
        <v>3219</v>
      </c>
      <c r="AG152" s="1" t="s">
        <v>3220</v>
      </c>
      <c r="AH152" s="1" t="s">
        <v>3221</v>
      </c>
      <c r="AI152" s="1" t="s">
        <v>82</v>
      </c>
      <c r="AJ152" s="1" t="s">
        <v>3222</v>
      </c>
      <c r="AK152" s="1" t="s">
        <v>3223</v>
      </c>
      <c r="AL152" s="1" t="s">
        <v>3224</v>
      </c>
      <c r="AM152" s="1" t="s">
        <v>82</v>
      </c>
      <c r="AN152" s="1">
        <v>92</v>
      </c>
      <c r="AO152" s="1">
        <v>0</v>
      </c>
      <c r="AP152" s="1">
        <v>0</v>
      </c>
      <c r="AQ152" s="1">
        <v>18</v>
      </c>
      <c r="AR152" s="1">
        <v>18</v>
      </c>
      <c r="AS152" s="1" t="s">
        <v>2958</v>
      </c>
      <c r="AT152" s="1" t="s">
        <v>2959</v>
      </c>
      <c r="AU152" s="1" t="s">
        <v>2960</v>
      </c>
      <c r="AV152" s="1" t="s">
        <v>2961</v>
      </c>
      <c r="AW152" s="1" t="s">
        <v>82</v>
      </c>
      <c r="AX152" s="1" t="s">
        <v>82</v>
      </c>
      <c r="AY152" s="1" t="s">
        <v>2962</v>
      </c>
      <c r="AZ152" s="1" t="s">
        <v>2963</v>
      </c>
      <c r="BA152" s="1" t="s">
        <v>3225</v>
      </c>
      <c r="BB152" s="1">
        <v>2022</v>
      </c>
      <c r="BC152" s="1">
        <v>13</v>
      </c>
      <c r="BD152" s="1" t="s">
        <v>82</v>
      </c>
      <c r="BE152" s="1" t="s">
        <v>82</v>
      </c>
      <c r="BF152" s="1" t="s">
        <v>82</v>
      </c>
      <c r="BG152" s="1" t="s">
        <v>82</v>
      </c>
      <c r="BH152" s="1" t="s">
        <v>82</v>
      </c>
      <c r="BI152" s="1" t="s">
        <v>82</v>
      </c>
      <c r="BJ152" s="1" t="s">
        <v>82</v>
      </c>
      <c r="BK152" s="1">
        <v>985488</v>
      </c>
      <c r="BL152" s="1" t="s">
        <v>3226</v>
      </c>
      <c r="BM152" s="1" t="str">
        <f>HYPERLINK("http://dx.doi.org/10.3389/fpls.2022.985488","http://dx.doi.org/10.3389/fpls.2022.985488")</f>
        <v>http://dx.doi.org/10.3389/fpls.2022.985488</v>
      </c>
      <c r="BN152" s="1" t="s">
        <v>82</v>
      </c>
      <c r="BO152" s="1" t="s">
        <v>82</v>
      </c>
      <c r="BP152" s="1">
        <v>16</v>
      </c>
      <c r="BQ152" s="1" t="s">
        <v>378</v>
      </c>
      <c r="BR152" s="1" t="s">
        <v>104</v>
      </c>
      <c r="BS152" s="1" t="s">
        <v>378</v>
      </c>
      <c r="BT152" s="1" t="s">
        <v>3227</v>
      </c>
      <c r="BU152" s="1">
        <v>36160976</v>
      </c>
      <c r="BV152" s="1" t="s">
        <v>635</v>
      </c>
      <c r="BW152" s="1" t="s">
        <v>82</v>
      </c>
      <c r="BX152" s="1" t="s">
        <v>82</v>
      </c>
      <c r="BY152" s="1" t="s">
        <v>108</v>
      </c>
      <c r="BZ152" s="1" t="s">
        <v>3228</v>
      </c>
      <c r="CA152" s="1" t="str">
        <f>HYPERLINK("https%3A%2F%2Fwww.webofscience.com%2Fwos%2Fwoscc%2Ffull-record%2FWOS:000860146900001","View Full Record in Web of Science")</f>
        <v>View Full Record in Web of Science</v>
      </c>
    </row>
    <row r="153" s="1" customFormat="1" ht="14.4" spans="1:79">
      <c r="A153">
        <v>152</v>
      </c>
      <c r="B153" s="2" t="s">
        <v>79</v>
      </c>
      <c r="C153" s="1" t="s">
        <v>80</v>
      </c>
      <c r="D153" s="1" t="s">
        <v>3229</v>
      </c>
      <c r="E153" s="1" t="s">
        <v>82</v>
      </c>
      <c r="F153" s="1" t="s">
        <v>82</v>
      </c>
      <c r="G153" s="1" t="s">
        <v>82</v>
      </c>
      <c r="H153" s="1" t="s">
        <v>3230</v>
      </c>
      <c r="I153" s="1" t="s">
        <v>82</v>
      </c>
      <c r="J153" s="1" t="s">
        <v>82</v>
      </c>
      <c r="K153" s="1" t="s">
        <v>3231</v>
      </c>
      <c r="L153" s="1" t="s">
        <v>2949</v>
      </c>
      <c r="M153" s="1">
        <v>6.627</v>
      </c>
      <c r="O153" s="1" t="s">
        <v>82</v>
      </c>
      <c r="P153" s="1" t="s">
        <v>82</v>
      </c>
      <c r="Q153" s="1" t="s">
        <v>87</v>
      </c>
      <c r="R153" s="1" t="s">
        <v>115</v>
      </c>
      <c r="S153" s="1" t="s">
        <v>82</v>
      </c>
      <c r="T153" s="1" t="s">
        <v>82</v>
      </c>
      <c r="U153" s="1" t="s">
        <v>82</v>
      </c>
      <c r="V153" s="1" t="s">
        <v>82</v>
      </c>
      <c r="W153" s="1" t="s">
        <v>82</v>
      </c>
      <c r="X153" s="1" t="s">
        <v>3232</v>
      </c>
      <c r="Y153" s="1" t="s">
        <v>3233</v>
      </c>
      <c r="Z153" s="1" t="s">
        <v>3234</v>
      </c>
      <c r="AA153" s="1">
        <v>1</v>
      </c>
      <c r="AB153" s="1" t="s">
        <v>3235</v>
      </c>
      <c r="AC153" s="1" t="s">
        <v>3236</v>
      </c>
      <c r="AD153" s="1" t="s">
        <v>93</v>
      </c>
      <c r="AE153" s="1" t="s">
        <v>3237</v>
      </c>
      <c r="AF153" s="1" t="s">
        <v>3238</v>
      </c>
      <c r="AG153" s="1" t="s">
        <v>3239</v>
      </c>
      <c r="AH153" s="1" t="s">
        <v>82</v>
      </c>
      <c r="AI153" s="1" t="s">
        <v>82</v>
      </c>
      <c r="AJ153" s="1" t="s">
        <v>3240</v>
      </c>
      <c r="AK153" s="1" t="s">
        <v>3241</v>
      </c>
      <c r="AL153" s="1" t="s">
        <v>3242</v>
      </c>
      <c r="AM153" s="1" t="s">
        <v>82</v>
      </c>
      <c r="AN153" s="1">
        <v>65</v>
      </c>
      <c r="AO153" s="1">
        <v>0</v>
      </c>
      <c r="AP153" s="1">
        <v>0</v>
      </c>
      <c r="AQ153" s="1">
        <v>9</v>
      </c>
      <c r="AR153" s="1">
        <v>9</v>
      </c>
      <c r="AS153" s="1" t="s">
        <v>2958</v>
      </c>
      <c r="AT153" s="1" t="s">
        <v>2959</v>
      </c>
      <c r="AU153" s="1" t="s">
        <v>2960</v>
      </c>
      <c r="AV153" s="1" t="s">
        <v>2961</v>
      </c>
      <c r="AW153" s="1" t="s">
        <v>82</v>
      </c>
      <c r="AX153" s="1" t="s">
        <v>82</v>
      </c>
      <c r="AY153" s="1" t="s">
        <v>2962</v>
      </c>
      <c r="AZ153" s="1" t="s">
        <v>2963</v>
      </c>
      <c r="BA153" s="1" t="s">
        <v>3243</v>
      </c>
      <c r="BB153" s="1">
        <v>2022</v>
      </c>
      <c r="BC153" s="1">
        <v>13</v>
      </c>
      <c r="BD153" s="1" t="s">
        <v>82</v>
      </c>
      <c r="BE153" s="1" t="s">
        <v>82</v>
      </c>
      <c r="BF153" s="1" t="s">
        <v>82</v>
      </c>
      <c r="BG153" s="1" t="s">
        <v>82</v>
      </c>
      <c r="BH153" s="1" t="s">
        <v>82</v>
      </c>
      <c r="BI153" s="1" t="s">
        <v>82</v>
      </c>
      <c r="BJ153" s="1" t="s">
        <v>82</v>
      </c>
      <c r="BK153" s="1">
        <v>967819</v>
      </c>
      <c r="BL153" s="1" t="s">
        <v>3244</v>
      </c>
      <c r="BM153" s="1" t="str">
        <f>HYPERLINK("http://dx.doi.org/10.3389/fpls.2022.967819","http://dx.doi.org/10.3389/fpls.2022.967819")</f>
        <v>http://dx.doi.org/10.3389/fpls.2022.967819</v>
      </c>
      <c r="BN153" s="1" t="s">
        <v>82</v>
      </c>
      <c r="BO153" s="1" t="s">
        <v>82</v>
      </c>
      <c r="BP153" s="1">
        <v>14</v>
      </c>
      <c r="BQ153" s="1" t="s">
        <v>378</v>
      </c>
      <c r="BR153" s="1" t="s">
        <v>104</v>
      </c>
      <c r="BS153" s="1" t="s">
        <v>378</v>
      </c>
      <c r="BT153" s="1" t="s">
        <v>3245</v>
      </c>
      <c r="BU153" s="1">
        <v>35991395</v>
      </c>
      <c r="BV153" s="1" t="s">
        <v>592</v>
      </c>
      <c r="BW153" s="1" t="s">
        <v>82</v>
      </c>
      <c r="BX153" s="1" t="s">
        <v>82</v>
      </c>
      <c r="BY153" s="1" t="s">
        <v>108</v>
      </c>
      <c r="BZ153" s="1" t="s">
        <v>3246</v>
      </c>
      <c r="CA153" s="1" t="str">
        <f>HYPERLINK("https%3A%2F%2Fwww.webofscience.com%2Fwos%2Fwoscc%2Ffull-record%2FWOS:000841814300001","View Full Record in Web of Science")</f>
        <v>View Full Record in Web of Science</v>
      </c>
    </row>
    <row r="154" s="1" customFormat="1" ht="14.4" spans="1:79">
      <c r="A154">
        <v>153</v>
      </c>
      <c r="B154" s="2" t="s">
        <v>79</v>
      </c>
      <c r="C154" s="1" t="s">
        <v>80</v>
      </c>
      <c r="D154" s="1" t="s">
        <v>3247</v>
      </c>
      <c r="E154" s="1" t="s">
        <v>82</v>
      </c>
      <c r="F154" s="1" t="s">
        <v>82</v>
      </c>
      <c r="G154" s="1" t="s">
        <v>82</v>
      </c>
      <c r="H154" s="1" t="s">
        <v>3248</v>
      </c>
      <c r="I154" s="1" t="s">
        <v>82</v>
      </c>
      <c r="J154" s="1" t="s">
        <v>82</v>
      </c>
      <c r="K154" s="1" t="s">
        <v>3249</v>
      </c>
      <c r="L154" s="1" t="s">
        <v>2949</v>
      </c>
      <c r="M154" s="1">
        <v>6.627</v>
      </c>
      <c r="O154" s="1" t="s">
        <v>82</v>
      </c>
      <c r="P154" s="1" t="s">
        <v>82</v>
      </c>
      <c r="Q154" s="1" t="s">
        <v>87</v>
      </c>
      <c r="R154" s="1" t="s">
        <v>115</v>
      </c>
      <c r="S154" s="1" t="s">
        <v>82</v>
      </c>
      <c r="T154" s="1" t="s">
        <v>82</v>
      </c>
      <c r="U154" s="1" t="s">
        <v>82</v>
      </c>
      <c r="V154" s="1" t="s">
        <v>82</v>
      </c>
      <c r="W154" s="1" t="s">
        <v>82</v>
      </c>
      <c r="X154" s="1" t="s">
        <v>3250</v>
      </c>
      <c r="Y154" s="1" t="s">
        <v>3251</v>
      </c>
      <c r="Z154" s="1" t="s">
        <v>3252</v>
      </c>
      <c r="AA154" s="1">
        <v>1</v>
      </c>
      <c r="AB154" s="1" t="s">
        <v>3253</v>
      </c>
      <c r="AC154" s="1" t="s">
        <v>3254</v>
      </c>
      <c r="AD154" s="1" t="s">
        <v>93</v>
      </c>
      <c r="AE154" s="1" t="s">
        <v>3255</v>
      </c>
      <c r="AF154" s="1" t="s">
        <v>3256</v>
      </c>
      <c r="AG154" s="1" t="s">
        <v>3257</v>
      </c>
      <c r="AH154" s="1" t="s">
        <v>82</v>
      </c>
      <c r="AI154" s="1" t="s">
        <v>82</v>
      </c>
      <c r="AJ154" s="1" t="s">
        <v>3258</v>
      </c>
      <c r="AK154" s="1" t="s">
        <v>3259</v>
      </c>
      <c r="AL154" s="1" t="s">
        <v>3260</v>
      </c>
      <c r="AM154" s="1" t="s">
        <v>82</v>
      </c>
      <c r="AN154" s="1">
        <v>115</v>
      </c>
      <c r="AO154" s="1">
        <v>0</v>
      </c>
      <c r="AP154" s="1">
        <v>0</v>
      </c>
      <c r="AQ154" s="1">
        <v>13</v>
      </c>
      <c r="AR154" s="1">
        <v>13</v>
      </c>
      <c r="AS154" s="1" t="s">
        <v>2958</v>
      </c>
      <c r="AT154" s="1" t="s">
        <v>2959</v>
      </c>
      <c r="AU154" s="1" t="s">
        <v>2960</v>
      </c>
      <c r="AV154" s="1" t="s">
        <v>2961</v>
      </c>
      <c r="AW154" s="1" t="s">
        <v>82</v>
      </c>
      <c r="AX154" s="1" t="s">
        <v>82</v>
      </c>
      <c r="AY154" s="1" t="s">
        <v>2962</v>
      </c>
      <c r="AZ154" s="1" t="s">
        <v>2963</v>
      </c>
      <c r="BA154" s="1" t="s">
        <v>3261</v>
      </c>
      <c r="BB154" s="1">
        <v>2022</v>
      </c>
      <c r="BC154" s="1">
        <v>13</v>
      </c>
      <c r="BD154" s="1" t="s">
        <v>82</v>
      </c>
      <c r="BE154" s="1" t="s">
        <v>82</v>
      </c>
      <c r="BF154" s="1" t="s">
        <v>82</v>
      </c>
      <c r="BG154" s="1" t="s">
        <v>82</v>
      </c>
      <c r="BH154" s="1" t="s">
        <v>82</v>
      </c>
      <c r="BI154" s="1" t="s">
        <v>82</v>
      </c>
      <c r="BJ154" s="1" t="s">
        <v>82</v>
      </c>
      <c r="BK154" s="1">
        <v>917784</v>
      </c>
      <c r="BL154" s="1" t="s">
        <v>3262</v>
      </c>
      <c r="BM154" s="1" t="str">
        <f>HYPERLINK("http://dx.doi.org/10.3389/fpls.2022.917784","http://dx.doi.org/10.3389/fpls.2022.917784")</f>
        <v>http://dx.doi.org/10.3389/fpls.2022.917784</v>
      </c>
      <c r="BN154" s="1" t="s">
        <v>82</v>
      </c>
      <c r="BO154" s="1" t="s">
        <v>82</v>
      </c>
      <c r="BP154" s="1">
        <v>13</v>
      </c>
      <c r="BQ154" s="1" t="s">
        <v>378</v>
      </c>
      <c r="BR154" s="1" t="s">
        <v>104</v>
      </c>
      <c r="BS154" s="1" t="s">
        <v>378</v>
      </c>
      <c r="BT154" s="1" t="s">
        <v>3263</v>
      </c>
      <c r="BU154" s="1">
        <v>35991431</v>
      </c>
      <c r="BV154" s="1" t="s">
        <v>635</v>
      </c>
      <c r="BW154" s="1" t="s">
        <v>82</v>
      </c>
      <c r="BX154" s="1" t="s">
        <v>82</v>
      </c>
      <c r="BY154" s="1" t="s">
        <v>108</v>
      </c>
      <c r="BZ154" s="1" t="s">
        <v>3264</v>
      </c>
      <c r="CA154" s="1" t="str">
        <f>HYPERLINK("https%3A%2F%2Fwww.webofscience.com%2Fwos%2Fwoscc%2Ffull-record%2FWOS:000841223200001","View Full Record in Web of Science")</f>
        <v>View Full Record in Web of Science</v>
      </c>
    </row>
    <row r="155" s="1" customFormat="1" ht="14.4" spans="1:79">
      <c r="A155">
        <v>154</v>
      </c>
      <c r="B155" s="2" t="s">
        <v>79</v>
      </c>
      <c r="C155" s="1" t="s">
        <v>80</v>
      </c>
      <c r="D155" s="1" t="s">
        <v>3265</v>
      </c>
      <c r="E155" s="1" t="s">
        <v>82</v>
      </c>
      <c r="F155" s="1" t="s">
        <v>82</v>
      </c>
      <c r="G155" s="1" t="s">
        <v>82</v>
      </c>
      <c r="H155" s="1" t="s">
        <v>3266</v>
      </c>
      <c r="I155" s="1" t="s">
        <v>82</v>
      </c>
      <c r="J155" s="1" t="s">
        <v>82</v>
      </c>
      <c r="K155" s="1" t="s">
        <v>3267</v>
      </c>
      <c r="L155" s="1" t="s">
        <v>2949</v>
      </c>
      <c r="M155" s="1">
        <v>6.627</v>
      </c>
      <c r="O155" s="1" t="s">
        <v>82</v>
      </c>
      <c r="P155" s="1" t="s">
        <v>82</v>
      </c>
      <c r="Q155" s="1" t="s">
        <v>87</v>
      </c>
      <c r="R155" s="1" t="s">
        <v>115</v>
      </c>
      <c r="S155" s="1" t="s">
        <v>82</v>
      </c>
      <c r="T155" s="1" t="s">
        <v>82</v>
      </c>
      <c r="U155" s="1" t="s">
        <v>82</v>
      </c>
      <c r="V155" s="1" t="s">
        <v>82</v>
      </c>
      <c r="W155" s="1" t="s">
        <v>82</v>
      </c>
      <c r="X155" s="1" t="s">
        <v>3268</v>
      </c>
      <c r="Y155" s="1" t="s">
        <v>3269</v>
      </c>
      <c r="Z155" s="1" t="s">
        <v>3270</v>
      </c>
      <c r="AB155" s="1" t="s">
        <v>3271</v>
      </c>
      <c r="AC155" s="1" t="s">
        <v>3272</v>
      </c>
      <c r="AD155" s="1" t="s">
        <v>206</v>
      </c>
      <c r="AE155" s="1" t="s">
        <v>3273</v>
      </c>
      <c r="AF155" s="1" t="s">
        <v>3274</v>
      </c>
      <c r="AG155" s="1" t="s">
        <v>3275</v>
      </c>
      <c r="AH155" s="1" t="s">
        <v>3276</v>
      </c>
      <c r="AI155" s="1" t="s">
        <v>82</v>
      </c>
      <c r="AJ155" s="1" t="s">
        <v>3277</v>
      </c>
      <c r="AK155" s="1" t="s">
        <v>3278</v>
      </c>
      <c r="AL155" s="1" t="s">
        <v>3279</v>
      </c>
      <c r="AM155" s="1" t="s">
        <v>82</v>
      </c>
      <c r="AN155" s="1">
        <v>71</v>
      </c>
      <c r="AO155" s="1">
        <v>0</v>
      </c>
      <c r="AP155" s="1">
        <v>0</v>
      </c>
      <c r="AQ155" s="1">
        <v>7</v>
      </c>
      <c r="AR155" s="1">
        <v>7</v>
      </c>
      <c r="AS155" s="1" t="s">
        <v>2958</v>
      </c>
      <c r="AT155" s="1" t="s">
        <v>2959</v>
      </c>
      <c r="AU155" s="1" t="s">
        <v>2960</v>
      </c>
      <c r="AV155" s="1" t="s">
        <v>2961</v>
      </c>
      <c r="AW155" s="1" t="s">
        <v>82</v>
      </c>
      <c r="AX155" s="1" t="s">
        <v>82</v>
      </c>
      <c r="AY155" s="1" t="s">
        <v>2962</v>
      </c>
      <c r="AZ155" s="1" t="s">
        <v>2963</v>
      </c>
      <c r="BA155" s="1" t="s">
        <v>3280</v>
      </c>
      <c r="BB155" s="1">
        <v>2022</v>
      </c>
      <c r="BC155" s="1">
        <v>13</v>
      </c>
      <c r="BD155" s="1" t="s">
        <v>82</v>
      </c>
      <c r="BE155" s="1" t="s">
        <v>82</v>
      </c>
      <c r="BF155" s="1" t="s">
        <v>82</v>
      </c>
      <c r="BG155" s="1" t="s">
        <v>82</v>
      </c>
      <c r="BH155" s="1" t="s">
        <v>82</v>
      </c>
      <c r="BI155" s="1" t="s">
        <v>82</v>
      </c>
      <c r="BJ155" s="1" t="s">
        <v>82</v>
      </c>
      <c r="BK155" s="1">
        <v>865606</v>
      </c>
      <c r="BL155" s="1" t="s">
        <v>3281</v>
      </c>
      <c r="BM155" s="1" t="str">
        <f>HYPERLINK("http://dx.doi.org/10.3389/fpls.2022.865606","http://dx.doi.org/10.3389/fpls.2022.865606")</f>
        <v>http://dx.doi.org/10.3389/fpls.2022.865606</v>
      </c>
      <c r="BN155" s="1" t="s">
        <v>82</v>
      </c>
      <c r="BO155" s="1" t="s">
        <v>82</v>
      </c>
      <c r="BP155" s="1">
        <v>13</v>
      </c>
      <c r="BQ155" s="1" t="s">
        <v>378</v>
      </c>
      <c r="BR155" s="1" t="s">
        <v>104</v>
      </c>
      <c r="BS155" s="1" t="s">
        <v>378</v>
      </c>
      <c r="BT155" s="1" t="s">
        <v>3282</v>
      </c>
      <c r="BU155" s="1">
        <v>35937320</v>
      </c>
      <c r="BV155" s="1" t="s">
        <v>635</v>
      </c>
      <c r="BW155" s="1" t="s">
        <v>82</v>
      </c>
      <c r="BX155" s="1" t="s">
        <v>82</v>
      </c>
      <c r="BY155" s="1" t="s">
        <v>108</v>
      </c>
      <c r="BZ155" s="1" t="s">
        <v>3283</v>
      </c>
      <c r="CA155" s="1" t="str">
        <f>HYPERLINK("https%3A%2F%2Fwww.webofscience.com%2Fwos%2Fwoscc%2Ffull-record%2FWOS:000837231300001","View Full Record in Web of Science")</f>
        <v>View Full Record in Web of Science</v>
      </c>
    </row>
    <row r="156" s="1" customFormat="1" ht="14.4" spans="1:79">
      <c r="A156">
        <v>155</v>
      </c>
      <c r="B156" s="2" t="s">
        <v>79</v>
      </c>
      <c r="C156" s="1" t="s">
        <v>80</v>
      </c>
      <c r="D156" s="1" t="s">
        <v>3284</v>
      </c>
      <c r="E156" s="1" t="s">
        <v>82</v>
      </c>
      <c r="F156" s="1" t="s">
        <v>82</v>
      </c>
      <c r="G156" s="1" t="s">
        <v>82</v>
      </c>
      <c r="H156" s="1" t="s">
        <v>3285</v>
      </c>
      <c r="I156" s="1" t="s">
        <v>82</v>
      </c>
      <c r="J156" s="1" t="s">
        <v>82</v>
      </c>
      <c r="K156" s="1" t="s">
        <v>3286</v>
      </c>
      <c r="L156" s="1" t="s">
        <v>2949</v>
      </c>
      <c r="M156" s="1">
        <v>6.627</v>
      </c>
      <c r="O156" s="1" t="s">
        <v>82</v>
      </c>
      <c r="P156" s="1" t="s">
        <v>82</v>
      </c>
      <c r="Q156" s="1" t="s">
        <v>87</v>
      </c>
      <c r="R156" s="1" t="s">
        <v>115</v>
      </c>
      <c r="S156" s="1" t="s">
        <v>82</v>
      </c>
      <c r="T156" s="1" t="s">
        <v>82</v>
      </c>
      <c r="U156" s="1" t="s">
        <v>82</v>
      </c>
      <c r="V156" s="1" t="s">
        <v>82</v>
      </c>
      <c r="W156" s="1" t="s">
        <v>82</v>
      </c>
      <c r="X156" s="1" t="s">
        <v>3287</v>
      </c>
      <c r="Y156" s="1" t="s">
        <v>3288</v>
      </c>
      <c r="Z156" s="1" t="s">
        <v>3289</v>
      </c>
      <c r="AB156" s="1" t="s">
        <v>3290</v>
      </c>
      <c r="AC156" s="1" t="s">
        <v>3291</v>
      </c>
      <c r="AD156" s="1" t="s">
        <v>206</v>
      </c>
      <c r="AE156" s="1" t="s">
        <v>3292</v>
      </c>
      <c r="AF156" s="1" t="s">
        <v>3293</v>
      </c>
      <c r="AG156" s="1" t="s">
        <v>3294</v>
      </c>
      <c r="AH156" s="1" t="s">
        <v>82</v>
      </c>
      <c r="AI156" s="1" t="s">
        <v>82</v>
      </c>
      <c r="AJ156" s="1" t="s">
        <v>3295</v>
      </c>
      <c r="AK156" s="1" t="s">
        <v>3295</v>
      </c>
      <c r="AL156" s="1" t="s">
        <v>3296</v>
      </c>
      <c r="AM156" s="1" t="s">
        <v>82</v>
      </c>
      <c r="AN156" s="1">
        <v>104</v>
      </c>
      <c r="AO156" s="1">
        <v>1</v>
      </c>
      <c r="AP156" s="1">
        <v>1</v>
      </c>
      <c r="AQ156" s="1">
        <v>17</v>
      </c>
      <c r="AR156" s="1">
        <v>18</v>
      </c>
      <c r="AS156" s="1" t="s">
        <v>2958</v>
      </c>
      <c r="AT156" s="1" t="s">
        <v>2959</v>
      </c>
      <c r="AU156" s="1" t="s">
        <v>2960</v>
      </c>
      <c r="AV156" s="1" t="s">
        <v>2961</v>
      </c>
      <c r="AW156" s="1" t="s">
        <v>82</v>
      </c>
      <c r="AX156" s="1" t="s">
        <v>82</v>
      </c>
      <c r="AY156" s="1" t="s">
        <v>2962</v>
      </c>
      <c r="AZ156" s="1" t="s">
        <v>2963</v>
      </c>
      <c r="BA156" s="1" t="s">
        <v>3297</v>
      </c>
      <c r="BB156" s="1">
        <v>2022</v>
      </c>
      <c r="BC156" s="1">
        <v>13</v>
      </c>
      <c r="BD156" s="1" t="s">
        <v>82</v>
      </c>
      <c r="BE156" s="1" t="s">
        <v>82</v>
      </c>
      <c r="BF156" s="1" t="s">
        <v>82</v>
      </c>
      <c r="BG156" s="1" t="s">
        <v>82</v>
      </c>
      <c r="BH156" s="1" t="s">
        <v>82</v>
      </c>
      <c r="BI156" s="1" t="s">
        <v>82</v>
      </c>
      <c r="BJ156" s="1" t="s">
        <v>82</v>
      </c>
      <c r="BK156" s="1">
        <v>921937</v>
      </c>
      <c r="BL156" s="1" t="s">
        <v>3298</v>
      </c>
      <c r="BM156" s="1" t="str">
        <f>HYPERLINK("http://dx.doi.org/10.3389/fpls.2022.921937","http://dx.doi.org/10.3389/fpls.2022.921937")</f>
        <v>http://dx.doi.org/10.3389/fpls.2022.921937</v>
      </c>
      <c r="BN156" s="1" t="s">
        <v>82</v>
      </c>
      <c r="BO156" s="1" t="s">
        <v>82</v>
      </c>
      <c r="BP156" s="1">
        <v>19</v>
      </c>
      <c r="BQ156" s="1" t="s">
        <v>378</v>
      </c>
      <c r="BR156" s="1" t="s">
        <v>104</v>
      </c>
      <c r="BS156" s="1" t="s">
        <v>378</v>
      </c>
      <c r="BT156" s="1" t="s">
        <v>3299</v>
      </c>
      <c r="BU156" s="1">
        <v>35874017</v>
      </c>
      <c r="BV156" s="1" t="s">
        <v>592</v>
      </c>
      <c r="BW156" s="1" t="s">
        <v>82</v>
      </c>
      <c r="BX156" s="1" t="s">
        <v>82</v>
      </c>
      <c r="BY156" s="1" t="s">
        <v>108</v>
      </c>
      <c r="BZ156" s="1" t="s">
        <v>3300</v>
      </c>
      <c r="CA156" s="1" t="str">
        <f>HYPERLINK("https%3A%2F%2Fwww.webofscience.com%2Fwos%2Fwoscc%2Ffull-record%2FWOS:000829788500001","View Full Record in Web of Science")</f>
        <v>View Full Record in Web of Science</v>
      </c>
    </row>
    <row r="157" s="1" customFormat="1" ht="14.4" spans="1:79">
      <c r="A157">
        <v>156</v>
      </c>
      <c r="B157" s="2" t="s">
        <v>79</v>
      </c>
      <c r="C157" s="1" t="s">
        <v>80</v>
      </c>
      <c r="D157" s="1" t="s">
        <v>3301</v>
      </c>
      <c r="E157" s="1" t="s">
        <v>82</v>
      </c>
      <c r="F157" s="1" t="s">
        <v>82</v>
      </c>
      <c r="G157" s="1" t="s">
        <v>82</v>
      </c>
      <c r="H157" s="1" t="s">
        <v>3302</v>
      </c>
      <c r="I157" s="1" t="s">
        <v>82</v>
      </c>
      <c r="J157" s="1" t="s">
        <v>82</v>
      </c>
      <c r="K157" s="1" t="s">
        <v>3303</v>
      </c>
      <c r="L157" s="1" t="s">
        <v>2949</v>
      </c>
      <c r="M157" s="1">
        <v>6.627</v>
      </c>
      <c r="O157" s="1" t="s">
        <v>82</v>
      </c>
      <c r="P157" s="1" t="s">
        <v>82</v>
      </c>
      <c r="Q157" s="1" t="s">
        <v>87</v>
      </c>
      <c r="R157" s="1" t="s">
        <v>115</v>
      </c>
      <c r="S157" s="1" t="s">
        <v>82</v>
      </c>
      <c r="T157" s="1" t="s">
        <v>82</v>
      </c>
      <c r="U157" s="1" t="s">
        <v>82</v>
      </c>
      <c r="V157" s="1" t="s">
        <v>82</v>
      </c>
      <c r="W157" s="1" t="s">
        <v>82</v>
      </c>
      <c r="X157" s="1" t="s">
        <v>3304</v>
      </c>
      <c r="Y157" s="1" t="s">
        <v>3305</v>
      </c>
      <c r="Z157" s="1" t="s">
        <v>3306</v>
      </c>
      <c r="AA157" s="1">
        <v>1</v>
      </c>
      <c r="AB157" s="1" t="s">
        <v>3307</v>
      </c>
      <c r="AC157" s="1" t="s">
        <v>3308</v>
      </c>
      <c r="AD157" s="1" t="s">
        <v>93</v>
      </c>
      <c r="AE157" s="1" t="s">
        <v>3309</v>
      </c>
      <c r="AF157" s="1" t="s">
        <v>3310</v>
      </c>
      <c r="AG157" s="1" t="s">
        <v>3311</v>
      </c>
      <c r="AH157" s="1" t="s">
        <v>82</v>
      </c>
      <c r="AI157" s="1" t="s">
        <v>82</v>
      </c>
      <c r="AJ157" s="1" t="s">
        <v>82</v>
      </c>
      <c r="AK157" s="1" t="s">
        <v>82</v>
      </c>
      <c r="AL157" s="1" t="s">
        <v>82</v>
      </c>
      <c r="AM157" s="1" t="s">
        <v>82</v>
      </c>
      <c r="AN157" s="1">
        <v>78</v>
      </c>
      <c r="AO157" s="1">
        <v>1</v>
      </c>
      <c r="AP157" s="1">
        <v>1</v>
      </c>
      <c r="AQ157" s="1">
        <v>9</v>
      </c>
      <c r="AR157" s="1">
        <v>9</v>
      </c>
      <c r="AS157" s="1" t="s">
        <v>2958</v>
      </c>
      <c r="AT157" s="1" t="s">
        <v>2959</v>
      </c>
      <c r="AU157" s="1" t="s">
        <v>2960</v>
      </c>
      <c r="AV157" s="1" t="s">
        <v>2961</v>
      </c>
      <c r="AW157" s="1" t="s">
        <v>82</v>
      </c>
      <c r="AX157" s="1" t="s">
        <v>82</v>
      </c>
      <c r="AY157" s="1" t="s">
        <v>2962</v>
      </c>
      <c r="AZ157" s="1" t="s">
        <v>2963</v>
      </c>
      <c r="BA157" s="1" t="s">
        <v>3312</v>
      </c>
      <c r="BB157" s="1">
        <v>2022</v>
      </c>
      <c r="BC157" s="1">
        <v>13</v>
      </c>
      <c r="BD157" s="1" t="s">
        <v>82</v>
      </c>
      <c r="BE157" s="1" t="s">
        <v>82</v>
      </c>
      <c r="BF157" s="1" t="s">
        <v>82</v>
      </c>
      <c r="BG157" s="1" t="s">
        <v>82</v>
      </c>
      <c r="BH157" s="1" t="s">
        <v>82</v>
      </c>
      <c r="BI157" s="1" t="s">
        <v>82</v>
      </c>
      <c r="BJ157" s="1" t="s">
        <v>82</v>
      </c>
      <c r="BK157" s="1">
        <v>908852</v>
      </c>
      <c r="BL157" s="1" t="s">
        <v>3313</v>
      </c>
      <c r="BM157" s="1" t="str">
        <f>HYPERLINK("http://dx.doi.org/10.3389/fpls.2022.908852","http://dx.doi.org/10.3389/fpls.2022.908852")</f>
        <v>http://dx.doi.org/10.3389/fpls.2022.908852</v>
      </c>
      <c r="BN157" s="1" t="s">
        <v>82</v>
      </c>
      <c r="BO157" s="1" t="s">
        <v>82</v>
      </c>
      <c r="BP157" s="1">
        <v>15</v>
      </c>
      <c r="BQ157" s="1" t="s">
        <v>378</v>
      </c>
      <c r="BR157" s="1" t="s">
        <v>104</v>
      </c>
      <c r="BS157" s="1" t="s">
        <v>378</v>
      </c>
      <c r="BT157" s="1" t="s">
        <v>3314</v>
      </c>
      <c r="BU157" s="1">
        <v>35812980</v>
      </c>
      <c r="BV157" s="1" t="s">
        <v>635</v>
      </c>
      <c r="BW157" s="1" t="s">
        <v>82</v>
      </c>
      <c r="BX157" s="1" t="s">
        <v>82</v>
      </c>
      <c r="BY157" s="1" t="s">
        <v>108</v>
      </c>
      <c r="BZ157" s="1" t="s">
        <v>3315</v>
      </c>
      <c r="CA157" s="1" t="str">
        <f>HYPERLINK("https%3A%2F%2Fwww.webofscience.com%2Fwos%2Fwoscc%2Ffull-record%2FWOS:000822571400001","View Full Record in Web of Science")</f>
        <v>View Full Record in Web of Science</v>
      </c>
    </row>
    <row r="158" s="1" customFormat="1" ht="14.4" spans="1:79">
      <c r="A158">
        <v>157</v>
      </c>
      <c r="B158" s="2" t="s">
        <v>79</v>
      </c>
      <c r="C158" s="1" t="s">
        <v>80</v>
      </c>
      <c r="D158" s="1" t="s">
        <v>3316</v>
      </c>
      <c r="E158" s="1" t="s">
        <v>82</v>
      </c>
      <c r="F158" s="1" t="s">
        <v>82</v>
      </c>
      <c r="G158" s="1" t="s">
        <v>82</v>
      </c>
      <c r="H158" s="1" t="s">
        <v>3317</v>
      </c>
      <c r="I158" s="1" t="s">
        <v>82</v>
      </c>
      <c r="J158" s="1" t="s">
        <v>82</v>
      </c>
      <c r="K158" s="1" t="s">
        <v>3318</v>
      </c>
      <c r="L158" s="1" t="s">
        <v>2949</v>
      </c>
      <c r="M158" s="1">
        <v>6.627</v>
      </c>
      <c r="O158" s="1" t="s">
        <v>82</v>
      </c>
      <c r="P158" s="1" t="s">
        <v>82</v>
      </c>
      <c r="Q158" s="1" t="s">
        <v>87</v>
      </c>
      <c r="R158" s="1" t="s">
        <v>115</v>
      </c>
      <c r="S158" s="1" t="s">
        <v>82</v>
      </c>
      <c r="T158" s="1" t="s">
        <v>82</v>
      </c>
      <c r="U158" s="1" t="s">
        <v>82</v>
      </c>
      <c r="V158" s="1" t="s">
        <v>82</v>
      </c>
      <c r="W158" s="1" t="s">
        <v>82</v>
      </c>
      <c r="X158" s="1" t="s">
        <v>3319</v>
      </c>
      <c r="Y158" s="1" t="s">
        <v>3320</v>
      </c>
      <c r="Z158" s="1" t="s">
        <v>3321</v>
      </c>
      <c r="AA158" s="1">
        <v>1</v>
      </c>
      <c r="AB158" s="1" t="s">
        <v>3322</v>
      </c>
      <c r="AC158" s="1" t="s">
        <v>3323</v>
      </c>
      <c r="AD158" s="1" t="s">
        <v>93</v>
      </c>
      <c r="AE158" s="1" t="s">
        <v>1818</v>
      </c>
      <c r="AF158" s="1" t="s">
        <v>3324</v>
      </c>
      <c r="AG158" s="1" t="s">
        <v>3325</v>
      </c>
      <c r="AH158" s="1" t="s">
        <v>3326</v>
      </c>
      <c r="AI158" s="1" t="s">
        <v>3327</v>
      </c>
      <c r="AJ158" s="1" t="s">
        <v>3328</v>
      </c>
      <c r="AK158" s="1" t="s">
        <v>3329</v>
      </c>
      <c r="AL158" s="1" t="s">
        <v>3330</v>
      </c>
      <c r="AM158" s="1" t="s">
        <v>82</v>
      </c>
      <c r="AN158" s="1">
        <v>86</v>
      </c>
      <c r="AO158" s="1">
        <v>3</v>
      </c>
      <c r="AP158" s="1">
        <v>3</v>
      </c>
      <c r="AQ158" s="1">
        <v>17</v>
      </c>
      <c r="AR158" s="1">
        <v>23</v>
      </c>
      <c r="AS158" s="1" t="s">
        <v>2958</v>
      </c>
      <c r="AT158" s="1" t="s">
        <v>2959</v>
      </c>
      <c r="AU158" s="1" t="s">
        <v>2960</v>
      </c>
      <c r="AV158" s="1" t="s">
        <v>2961</v>
      </c>
      <c r="AW158" s="1" t="s">
        <v>82</v>
      </c>
      <c r="AX158" s="1" t="s">
        <v>82</v>
      </c>
      <c r="AY158" s="1" t="s">
        <v>2962</v>
      </c>
      <c r="AZ158" s="1" t="s">
        <v>2963</v>
      </c>
      <c r="BA158" s="1" t="s">
        <v>3331</v>
      </c>
      <c r="BB158" s="1">
        <v>2022</v>
      </c>
      <c r="BC158" s="1">
        <v>13</v>
      </c>
      <c r="BD158" s="1" t="s">
        <v>82</v>
      </c>
      <c r="BE158" s="1" t="s">
        <v>82</v>
      </c>
      <c r="BF158" s="1" t="s">
        <v>82</v>
      </c>
      <c r="BG158" s="1" t="s">
        <v>82</v>
      </c>
      <c r="BH158" s="1" t="s">
        <v>82</v>
      </c>
      <c r="BI158" s="1" t="s">
        <v>82</v>
      </c>
      <c r="BJ158" s="1" t="s">
        <v>82</v>
      </c>
      <c r="BK158" s="1">
        <v>768810</v>
      </c>
      <c r="BL158" s="1" t="s">
        <v>3332</v>
      </c>
      <c r="BM158" s="1" t="str">
        <f>HYPERLINK("http://dx.doi.org/10.3389/fpls.2022.768810","http://dx.doi.org/10.3389/fpls.2022.768810")</f>
        <v>http://dx.doi.org/10.3389/fpls.2022.768810</v>
      </c>
      <c r="BN158" s="1" t="s">
        <v>82</v>
      </c>
      <c r="BO158" s="1" t="s">
        <v>82</v>
      </c>
      <c r="BP158" s="1">
        <v>15</v>
      </c>
      <c r="BQ158" s="1" t="s">
        <v>378</v>
      </c>
      <c r="BR158" s="1" t="s">
        <v>104</v>
      </c>
      <c r="BS158" s="1" t="s">
        <v>378</v>
      </c>
      <c r="BT158" s="1" t="s">
        <v>3333</v>
      </c>
      <c r="BU158" s="1">
        <v>35599857</v>
      </c>
      <c r="BV158" s="1" t="s">
        <v>635</v>
      </c>
      <c r="BW158" s="1" t="s">
        <v>82</v>
      </c>
      <c r="BX158" s="1" t="s">
        <v>82</v>
      </c>
      <c r="BY158" s="1" t="s">
        <v>108</v>
      </c>
      <c r="BZ158" s="1" t="s">
        <v>3334</v>
      </c>
      <c r="CA158" s="1" t="str">
        <f>HYPERLINK("https%3A%2F%2Fwww.webofscience.com%2Fwos%2Fwoscc%2Ffull-record%2FWOS:000797886900001","View Full Record in Web of Science")</f>
        <v>View Full Record in Web of Science</v>
      </c>
    </row>
    <row r="159" s="1" customFormat="1" ht="14.4" spans="1:79">
      <c r="A159">
        <v>158</v>
      </c>
      <c r="B159" s="2" t="s">
        <v>79</v>
      </c>
      <c r="C159" s="1" t="s">
        <v>80</v>
      </c>
      <c r="D159" s="1" t="s">
        <v>3335</v>
      </c>
      <c r="E159" s="1" t="s">
        <v>82</v>
      </c>
      <c r="F159" s="1" t="s">
        <v>82</v>
      </c>
      <c r="G159" s="1" t="s">
        <v>82</v>
      </c>
      <c r="H159" s="1" t="s">
        <v>3336</v>
      </c>
      <c r="I159" s="1" t="s">
        <v>82</v>
      </c>
      <c r="J159" s="1" t="s">
        <v>82</v>
      </c>
      <c r="K159" s="1" t="s">
        <v>3337</v>
      </c>
      <c r="L159" s="1" t="s">
        <v>2949</v>
      </c>
      <c r="M159" s="1">
        <v>6.627</v>
      </c>
      <c r="O159" s="1" t="s">
        <v>82</v>
      </c>
      <c r="P159" s="1" t="s">
        <v>82</v>
      </c>
      <c r="Q159" s="1" t="s">
        <v>87</v>
      </c>
      <c r="R159" s="1" t="s">
        <v>115</v>
      </c>
      <c r="S159" s="1" t="s">
        <v>82</v>
      </c>
      <c r="T159" s="1" t="s">
        <v>82</v>
      </c>
      <c r="U159" s="1" t="s">
        <v>82</v>
      </c>
      <c r="V159" s="1" t="s">
        <v>82</v>
      </c>
      <c r="W159" s="1" t="s">
        <v>82</v>
      </c>
      <c r="X159" s="1" t="s">
        <v>3338</v>
      </c>
      <c r="Y159" s="1" t="s">
        <v>3339</v>
      </c>
      <c r="Z159" s="1" t="s">
        <v>3340</v>
      </c>
      <c r="AA159" s="1">
        <v>1</v>
      </c>
      <c r="AB159" s="1" t="s">
        <v>3341</v>
      </c>
      <c r="AC159" s="1" t="s">
        <v>3342</v>
      </c>
      <c r="AD159" s="1" t="s">
        <v>93</v>
      </c>
      <c r="AE159" s="1" t="s">
        <v>1630</v>
      </c>
      <c r="AF159" s="1" t="s">
        <v>3343</v>
      </c>
      <c r="AG159" s="1" t="s">
        <v>3344</v>
      </c>
      <c r="AH159" s="1" t="s">
        <v>82</v>
      </c>
      <c r="AI159" s="1" t="s">
        <v>82</v>
      </c>
      <c r="AJ159" s="1" t="s">
        <v>82</v>
      </c>
      <c r="AK159" s="1" t="s">
        <v>82</v>
      </c>
      <c r="AL159" s="1" t="s">
        <v>82</v>
      </c>
      <c r="AM159" s="1" t="s">
        <v>82</v>
      </c>
      <c r="AN159" s="1">
        <v>43</v>
      </c>
      <c r="AO159" s="1">
        <v>1</v>
      </c>
      <c r="AP159" s="1">
        <v>1</v>
      </c>
      <c r="AQ159" s="1">
        <v>9</v>
      </c>
      <c r="AR159" s="1">
        <v>18</v>
      </c>
      <c r="AS159" s="1" t="s">
        <v>2958</v>
      </c>
      <c r="AT159" s="1" t="s">
        <v>2959</v>
      </c>
      <c r="AU159" s="1" t="s">
        <v>2960</v>
      </c>
      <c r="AV159" s="1" t="s">
        <v>2961</v>
      </c>
      <c r="AW159" s="1" t="s">
        <v>82</v>
      </c>
      <c r="AX159" s="1" t="s">
        <v>82</v>
      </c>
      <c r="AY159" s="1" t="s">
        <v>2962</v>
      </c>
      <c r="AZ159" s="1" t="s">
        <v>2963</v>
      </c>
      <c r="BA159" s="1" t="s">
        <v>3331</v>
      </c>
      <c r="BB159" s="1">
        <v>2022</v>
      </c>
      <c r="BC159" s="1">
        <v>13</v>
      </c>
      <c r="BD159" s="1" t="s">
        <v>82</v>
      </c>
      <c r="BE159" s="1" t="s">
        <v>82</v>
      </c>
      <c r="BF159" s="1" t="s">
        <v>82</v>
      </c>
      <c r="BG159" s="1" t="s">
        <v>82</v>
      </c>
      <c r="BH159" s="1" t="s">
        <v>82</v>
      </c>
      <c r="BI159" s="1" t="s">
        <v>82</v>
      </c>
      <c r="BJ159" s="1" t="s">
        <v>82</v>
      </c>
      <c r="BK159" s="1">
        <v>900768</v>
      </c>
      <c r="BL159" s="1" t="s">
        <v>3345</v>
      </c>
      <c r="BM159" s="1" t="str">
        <f>HYPERLINK("http://dx.doi.org/10.3389/fpls.2022.900768","http://dx.doi.org/10.3389/fpls.2022.900768")</f>
        <v>http://dx.doi.org/10.3389/fpls.2022.900768</v>
      </c>
      <c r="BN159" s="1" t="s">
        <v>82</v>
      </c>
      <c r="BO159" s="1" t="s">
        <v>82</v>
      </c>
      <c r="BP159" s="1">
        <v>14</v>
      </c>
      <c r="BQ159" s="1" t="s">
        <v>378</v>
      </c>
      <c r="BR159" s="1" t="s">
        <v>104</v>
      </c>
      <c r="BS159" s="1" t="s">
        <v>378</v>
      </c>
      <c r="BT159" s="1" t="s">
        <v>3346</v>
      </c>
      <c r="BU159" s="1">
        <v>35599897</v>
      </c>
      <c r="BV159" s="1" t="s">
        <v>635</v>
      </c>
      <c r="BW159" s="1" t="s">
        <v>82</v>
      </c>
      <c r="BX159" s="1" t="s">
        <v>82</v>
      </c>
      <c r="BY159" s="1" t="s">
        <v>108</v>
      </c>
      <c r="BZ159" s="1" t="s">
        <v>3347</v>
      </c>
      <c r="CA159" s="1" t="str">
        <f>HYPERLINK("https%3A%2F%2Fwww.webofscience.com%2Fwos%2Fwoscc%2Ffull-record%2FWOS:000797482000001","View Full Record in Web of Science")</f>
        <v>View Full Record in Web of Science</v>
      </c>
    </row>
    <row r="160" s="1" customFormat="1" ht="14.4" spans="1:79">
      <c r="A160">
        <v>159</v>
      </c>
      <c r="B160" s="2" t="s">
        <v>79</v>
      </c>
      <c r="C160" s="1" t="s">
        <v>80</v>
      </c>
      <c r="D160" s="1" t="s">
        <v>3348</v>
      </c>
      <c r="E160" s="1" t="s">
        <v>82</v>
      </c>
      <c r="F160" s="1" t="s">
        <v>82</v>
      </c>
      <c r="G160" s="1" t="s">
        <v>82</v>
      </c>
      <c r="H160" s="1" t="s">
        <v>3349</v>
      </c>
      <c r="I160" s="1" t="s">
        <v>82</v>
      </c>
      <c r="J160" s="1" t="s">
        <v>82</v>
      </c>
      <c r="K160" s="1" t="s">
        <v>3350</v>
      </c>
      <c r="L160" s="1" t="s">
        <v>2949</v>
      </c>
      <c r="M160" s="1">
        <v>6.627</v>
      </c>
      <c r="O160" s="1" t="s">
        <v>82</v>
      </c>
      <c r="P160" s="1" t="s">
        <v>82</v>
      </c>
      <c r="Q160" s="1" t="s">
        <v>87</v>
      </c>
      <c r="R160" s="1" t="s">
        <v>115</v>
      </c>
      <c r="S160" s="1" t="s">
        <v>82</v>
      </c>
      <c r="T160" s="1" t="s">
        <v>82</v>
      </c>
      <c r="U160" s="1" t="s">
        <v>82</v>
      </c>
      <c r="V160" s="1" t="s">
        <v>82</v>
      </c>
      <c r="W160" s="1" t="s">
        <v>82</v>
      </c>
      <c r="X160" s="1" t="s">
        <v>3351</v>
      </c>
      <c r="Y160" s="1" t="s">
        <v>3352</v>
      </c>
      <c r="Z160" s="1" t="s">
        <v>3353</v>
      </c>
      <c r="AA160" s="1">
        <v>1</v>
      </c>
      <c r="AB160" s="1" t="s">
        <v>3354</v>
      </c>
      <c r="AC160" s="1" t="s">
        <v>3355</v>
      </c>
      <c r="AD160" s="1" t="s">
        <v>93</v>
      </c>
      <c r="AE160" s="1" t="s">
        <v>3356</v>
      </c>
      <c r="AF160" s="1" t="s">
        <v>3357</v>
      </c>
      <c r="AG160" s="1" t="s">
        <v>3358</v>
      </c>
      <c r="AH160" s="1" t="s">
        <v>3359</v>
      </c>
      <c r="AI160" s="1" t="s">
        <v>3360</v>
      </c>
      <c r="AJ160" s="1" t="s">
        <v>82</v>
      </c>
      <c r="AK160" s="1" t="s">
        <v>82</v>
      </c>
      <c r="AL160" s="1" t="s">
        <v>82</v>
      </c>
      <c r="AM160" s="1" t="s">
        <v>82</v>
      </c>
      <c r="AN160" s="1">
        <v>106</v>
      </c>
      <c r="AO160" s="1">
        <v>0</v>
      </c>
      <c r="AP160" s="1">
        <v>0</v>
      </c>
      <c r="AQ160" s="1">
        <v>9</v>
      </c>
      <c r="AR160" s="1">
        <v>13</v>
      </c>
      <c r="AS160" s="1" t="s">
        <v>2958</v>
      </c>
      <c r="AT160" s="1" t="s">
        <v>2959</v>
      </c>
      <c r="AU160" s="1" t="s">
        <v>2960</v>
      </c>
      <c r="AV160" s="1" t="s">
        <v>2961</v>
      </c>
      <c r="AW160" s="1" t="s">
        <v>82</v>
      </c>
      <c r="AX160" s="1" t="s">
        <v>82</v>
      </c>
      <c r="AY160" s="1" t="s">
        <v>2962</v>
      </c>
      <c r="AZ160" s="1" t="s">
        <v>2963</v>
      </c>
      <c r="BA160" s="1" t="s">
        <v>3361</v>
      </c>
      <c r="BB160" s="1">
        <v>2022</v>
      </c>
      <c r="BC160" s="1">
        <v>13</v>
      </c>
      <c r="BD160" s="1" t="s">
        <v>82</v>
      </c>
      <c r="BE160" s="1" t="s">
        <v>82</v>
      </c>
      <c r="BF160" s="1" t="s">
        <v>82</v>
      </c>
      <c r="BG160" s="1" t="s">
        <v>82</v>
      </c>
      <c r="BH160" s="1" t="s">
        <v>82</v>
      </c>
      <c r="BI160" s="1" t="s">
        <v>82</v>
      </c>
      <c r="BJ160" s="1" t="s">
        <v>82</v>
      </c>
      <c r="BK160" s="1">
        <v>779989</v>
      </c>
      <c r="BL160" s="1" t="s">
        <v>3362</v>
      </c>
      <c r="BM160" s="1" t="str">
        <f>HYPERLINK("http://dx.doi.org/10.3389/fpls.2022.779989","http://dx.doi.org/10.3389/fpls.2022.779989")</f>
        <v>http://dx.doi.org/10.3389/fpls.2022.779989</v>
      </c>
      <c r="BN160" s="1" t="s">
        <v>82</v>
      </c>
      <c r="BO160" s="1" t="s">
        <v>82</v>
      </c>
      <c r="BP160" s="1">
        <v>14</v>
      </c>
      <c r="BQ160" s="1" t="s">
        <v>378</v>
      </c>
      <c r="BR160" s="1" t="s">
        <v>104</v>
      </c>
      <c r="BS160" s="1" t="s">
        <v>378</v>
      </c>
      <c r="BT160" s="1" t="s">
        <v>3363</v>
      </c>
      <c r="BU160" s="1">
        <v>35574120</v>
      </c>
      <c r="BV160" s="1" t="s">
        <v>592</v>
      </c>
      <c r="BW160" s="1" t="s">
        <v>82</v>
      </c>
      <c r="BX160" s="1" t="s">
        <v>82</v>
      </c>
      <c r="BY160" s="1" t="s">
        <v>108</v>
      </c>
      <c r="BZ160" s="1" t="s">
        <v>3364</v>
      </c>
      <c r="CA160" s="1" t="str">
        <f>HYPERLINK("https%3A%2F%2Fwww.webofscience.com%2Fwos%2Fwoscc%2Ffull-record%2FWOS:000794928800001","View Full Record in Web of Science")</f>
        <v>View Full Record in Web of Science</v>
      </c>
    </row>
    <row r="161" s="1" customFormat="1" ht="14.4" spans="1:79">
      <c r="A161">
        <v>160</v>
      </c>
      <c r="B161" s="2" t="s">
        <v>79</v>
      </c>
      <c r="C161" s="1" t="s">
        <v>80</v>
      </c>
      <c r="D161" s="1" t="s">
        <v>3365</v>
      </c>
      <c r="E161" s="1" t="s">
        <v>82</v>
      </c>
      <c r="F161" s="1" t="s">
        <v>82</v>
      </c>
      <c r="G161" s="1" t="s">
        <v>82</v>
      </c>
      <c r="H161" s="1" t="s">
        <v>3366</v>
      </c>
      <c r="I161" s="1" t="s">
        <v>82</v>
      </c>
      <c r="J161" s="1" t="s">
        <v>82</v>
      </c>
      <c r="K161" s="1" t="s">
        <v>3367</v>
      </c>
      <c r="L161" s="1" t="s">
        <v>2949</v>
      </c>
      <c r="M161" s="1">
        <v>6.627</v>
      </c>
      <c r="O161" s="1" t="s">
        <v>82</v>
      </c>
      <c r="P161" s="1" t="s">
        <v>82</v>
      </c>
      <c r="Q161" s="1" t="s">
        <v>87</v>
      </c>
      <c r="R161" s="1" t="s">
        <v>273</v>
      </c>
      <c r="S161" s="1" t="s">
        <v>82</v>
      </c>
      <c r="T161" s="1" t="s">
        <v>82</v>
      </c>
      <c r="U161" s="1" t="s">
        <v>82</v>
      </c>
      <c r="V161" s="1" t="s">
        <v>82</v>
      </c>
      <c r="W161" s="1" t="s">
        <v>82</v>
      </c>
      <c r="X161" s="1" t="s">
        <v>3368</v>
      </c>
      <c r="Y161" s="1" t="s">
        <v>82</v>
      </c>
      <c r="Z161" s="1" t="s">
        <v>82</v>
      </c>
      <c r="AB161" s="1" t="s">
        <v>3369</v>
      </c>
      <c r="AC161" s="1" t="s">
        <v>3370</v>
      </c>
      <c r="AD161" s="1" t="s">
        <v>120</v>
      </c>
      <c r="AE161" s="1" t="s">
        <v>3371</v>
      </c>
      <c r="AF161" s="1" t="s">
        <v>3372</v>
      </c>
      <c r="AG161" s="1" t="s">
        <v>3373</v>
      </c>
      <c r="AH161" s="1" t="s">
        <v>3374</v>
      </c>
      <c r="AI161" s="1" t="s">
        <v>82</v>
      </c>
      <c r="AJ161" s="1" t="s">
        <v>82</v>
      </c>
      <c r="AK161" s="1" t="s">
        <v>82</v>
      </c>
      <c r="AL161" s="1" t="s">
        <v>82</v>
      </c>
      <c r="AM161" s="1" t="s">
        <v>82</v>
      </c>
      <c r="AN161" s="1">
        <v>0</v>
      </c>
      <c r="AO161" s="1">
        <v>0</v>
      </c>
      <c r="AP161" s="1">
        <v>0</v>
      </c>
      <c r="AQ161" s="1">
        <v>7</v>
      </c>
      <c r="AR161" s="1">
        <v>18</v>
      </c>
      <c r="AS161" s="1" t="s">
        <v>2958</v>
      </c>
      <c r="AT161" s="1" t="s">
        <v>2959</v>
      </c>
      <c r="AU161" s="1" t="s">
        <v>2960</v>
      </c>
      <c r="AV161" s="1" t="s">
        <v>2961</v>
      </c>
      <c r="AW161" s="1" t="s">
        <v>82</v>
      </c>
      <c r="AX161" s="1" t="s">
        <v>82</v>
      </c>
      <c r="AY161" s="1" t="s">
        <v>2962</v>
      </c>
      <c r="AZ161" s="1" t="s">
        <v>2963</v>
      </c>
      <c r="BA161" s="1" t="s">
        <v>3375</v>
      </c>
      <c r="BB161" s="1">
        <v>2022</v>
      </c>
      <c r="BC161" s="1">
        <v>13</v>
      </c>
      <c r="BD161" s="1" t="s">
        <v>82</v>
      </c>
      <c r="BE161" s="1" t="s">
        <v>82</v>
      </c>
      <c r="BF161" s="1" t="s">
        <v>82</v>
      </c>
      <c r="BG161" s="1" t="s">
        <v>82</v>
      </c>
      <c r="BH161" s="1" t="s">
        <v>82</v>
      </c>
      <c r="BI161" s="1" t="s">
        <v>82</v>
      </c>
      <c r="BJ161" s="1" t="s">
        <v>82</v>
      </c>
      <c r="BK161" s="1">
        <v>884890</v>
      </c>
      <c r="BL161" s="1" t="s">
        <v>3376</v>
      </c>
      <c r="BM161" s="1" t="str">
        <f>HYPERLINK("http://dx.doi.org/10.3389/fpls.2022.884890","http://dx.doi.org/10.3389/fpls.2022.884890")</f>
        <v>http://dx.doi.org/10.3389/fpls.2022.884890</v>
      </c>
      <c r="BN161" s="1" t="s">
        <v>82</v>
      </c>
      <c r="BO161" s="1" t="s">
        <v>82</v>
      </c>
      <c r="BP161" s="1">
        <v>3</v>
      </c>
      <c r="BQ161" s="1" t="s">
        <v>378</v>
      </c>
      <c r="BR161" s="1" t="s">
        <v>104</v>
      </c>
      <c r="BS161" s="1" t="s">
        <v>378</v>
      </c>
      <c r="BT161" s="1" t="s">
        <v>3377</v>
      </c>
      <c r="BU161" s="1">
        <v>35422833</v>
      </c>
      <c r="BV161" s="1" t="s">
        <v>635</v>
      </c>
      <c r="BW161" s="1" t="s">
        <v>82</v>
      </c>
      <c r="BX161" s="1" t="s">
        <v>82</v>
      </c>
      <c r="BY161" s="1" t="s">
        <v>108</v>
      </c>
      <c r="BZ161" s="1" t="s">
        <v>3378</v>
      </c>
      <c r="CA161" s="1" t="str">
        <f>HYPERLINK("https%3A%2F%2Fwww.webofscience.com%2Fwos%2Fwoscc%2Ffull-record%2FWOS:000791699900001","View Full Record in Web of Science")</f>
        <v>View Full Record in Web of Science</v>
      </c>
    </row>
    <row r="162" s="1" customFormat="1" ht="14.4" spans="1:79">
      <c r="A162">
        <v>161</v>
      </c>
      <c r="B162" s="2" t="s">
        <v>79</v>
      </c>
      <c r="C162" s="1" t="s">
        <v>80</v>
      </c>
      <c r="D162" s="1" t="s">
        <v>3379</v>
      </c>
      <c r="E162" s="1" t="s">
        <v>82</v>
      </c>
      <c r="F162" s="1" t="s">
        <v>82</v>
      </c>
      <c r="G162" s="1" t="s">
        <v>82</v>
      </c>
      <c r="H162" s="1" t="s">
        <v>3380</v>
      </c>
      <c r="I162" s="1" t="s">
        <v>82</v>
      </c>
      <c r="J162" s="1" t="s">
        <v>82</v>
      </c>
      <c r="K162" s="1" t="s">
        <v>3381</v>
      </c>
      <c r="L162" s="1" t="s">
        <v>2949</v>
      </c>
      <c r="M162" s="1">
        <v>6.627</v>
      </c>
      <c r="O162" s="1" t="s">
        <v>82</v>
      </c>
      <c r="P162" s="1" t="s">
        <v>82</v>
      </c>
      <c r="Q162" s="1" t="s">
        <v>87</v>
      </c>
      <c r="R162" s="1" t="s">
        <v>115</v>
      </c>
      <c r="S162" s="1" t="s">
        <v>82</v>
      </c>
      <c r="T162" s="1" t="s">
        <v>82</v>
      </c>
      <c r="U162" s="1" t="s">
        <v>82</v>
      </c>
      <c r="V162" s="1" t="s">
        <v>82</v>
      </c>
      <c r="W162" s="1" t="s">
        <v>82</v>
      </c>
      <c r="X162" s="1" t="s">
        <v>3382</v>
      </c>
      <c r="Y162" s="1" t="s">
        <v>3383</v>
      </c>
      <c r="Z162" s="1" t="s">
        <v>3384</v>
      </c>
      <c r="AB162" s="1" t="s">
        <v>3385</v>
      </c>
      <c r="AC162" s="1" t="s">
        <v>3386</v>
      </c>
      <c r="AD162" s="1" t="s">
        <v>120</v>
      </c>
      <c r="AE162" s="1" t="s">
        <v>3387</v>
      </c>
      <c r="AF162" s="1" t="s">
        <v>3388</v>
      </c>
      <c r="AG162" s="1" t="s">
        <v>3389</v>
      </c>
      <c r="AH162" s="1" t="s">
        <v>82</v>
      </c>
      <c r="AI162" s="1" t="s">
        <v>82</v>
      </c>
      <c r="AJ162" s="1" t="s">
        <v>3390</v>
      </c>
      <c r="AK162" s="1" t="s">
        <v>3391</v>
      </c>
      <c r="AL162" s="1" t="s">
        <v>3392</v>
      </c>
      <c r="AM162" s="1" t="s">
        <v>82</v>
      </c>
      <c r="AN162" s="1">
        <v>63</v>
      </c>
      <c r="AO162" s="1">
        <v>1</v>
      </c>
      <c r="AP162" s="1">
        <v>1</v>
      </c>
      <c r="AQ162" s="1">
        <v>4</v>
      </c>
      <c r="AR162" s="1">
        <v>6</v>
      </c>
      <c r="AS162" s="1" t="s">
        <v>2958</v>
      </c>
      <c r="AT162" s="1" t="s">
        <v>2959</v>
      </c>
      <c r="AU162" s="1" t="s">
        <v>2960</v>
      </c>
      <c r="AV162" s="1" t="s">
        <v>2961</v>
      </c>
      <c r="AW162" s="1" t="s">
        <v>82</v>
      </c>
      <c r="AX162" s="1" t="s">
        <v>82</v>
      </c>
      <c r="AY162" s="1" t="s">
        <v>2962</v>
      </c>
      <c r="AZ162" s="1" t="s">
        <v>2963</v>
      </c>
      <c r="BA162" s="1" t="s">
        <v>3393</v>
      </c>
      <c r="BB162" s="1">
        <v>2022</v>
      </c>
      <c r="BC162" s="1">
        <v>13</v>
      </c>
      <c r="BD162" s="1" t="s">
        <v>82</v>
      </c>
      <c r="BE162" s="1" t="s">
        <v>82</v>
      </c>
      <c r="BF162" s="1" t="s">
        <v>82</v>
      </c>
      <c r="BG162" s="1" t="s">
        <v>82</v>
      </c>
      <c r="BH162" s="1" t="s">
        <v>82</v>
      </c>
      <c r="BI162" s="1" t="s">
        <v>82</v>
      </c>
      <c r="BJ162" s="1" t="s">
        <v>82</v>
      </c>
      <c r="BK162" s="1">
        <v>852377</v>
      </c>
      <c r="BL162" s="1" t="s">
        <v>3394</v>
      </c>
      <c r="BM162" s="1" t="str">
        <f>HYPERLINK("http://dx.doi.org/10.3389/fpls.2022.852377","http://dx.doi.org/10.3389/fpls.2022.852377")</f>
        <v>http://dx.doi.org/10.3389/fpls.2022.852377</v>
      </c>
      <c r="BN162" s="1" t="s">
        <v>82</v>
      </c>
      <c r="BO162" s="1" t="s">
        <v>82</v>
      </c>
      <c r="BP162" s="1">
        <v>14</v>
      </c>
      <c r="BQ162" s="1" t="s">
        <v>378</v>
      </c>
      <c r="BR162" s="1" t="s">
        <v>104</v>
      </c>
      <c r="BS162" s="1" t="s">
        <v>378</v>
      </c>
      <c r="BT162" s="1" t="s">
        <v>3395</v>
      </c>
      <c r="BU162" s="1">
        <v>35401630</v>
      </c>
      <c r="BV162" s="1" t="s">
        <v>635</v>
      </c>
      <c r="BW162" s="1" t="s">
        <v>82</v>
      </c>
      <c r="BX162" s="1" t="s">
        <v>82</v>
      </c>
      <c r="BY162" s="1" t="s">
        <v>108</v>
      </c>
      <c r="BZ162" s="1" t="s">
        <v>3396</v>
      </c>
      <c r="CA162" s="1" t="str">
        <f>HYPERLINK("https%3A%2F%2Fwww.webofscience.com%2Fwos%2Fwoscc%2Ffull-record%2FWOS:000790943700001","View Full Record in Web of Science")</f>
        <v>View Full Record in Web of Science</v>
      </c>
    </row>
    <row r="163" s="1" customFormat="1" ht="14.4" spans="1:79">
      <c r="A163">
        <v>162</v>
      </c>
      <c r="B163" s="2" t="s">
        <v>110</v>
      </c>
      <c r="C163" s="1" t="s">
        <v>80</v>
      </c>
      <c r="D163" s="1" t="s">
        <v>3397</v>
      </c>
      <c r="E163" s="1" t="s">
        <v>82</v>
      </c>
      <c r="F163" s="1" t="s">
        <v>82</v>
      </c>
      <c r="G163" s="1" t="s">
        <v>82</v>
      </c>
      <c r="H163" s="1" t="s">
        <v>3398</v>
      </c>
      <c r="I163" s="1" t="s">
        <v>82</v>
      </c>
      <c r="J163" s="1" t="s">
        <v>82</v>
      </c>
      <c r="K163" s="1" t="s">
        <v>3399</v>
      </c>
      <c r="L163" s="1" t="s">
        <v>2949</v>
      </c>
      <c r="M163" s="1">
        <v>6.627</v>
      </c>
      <c r="O163" s="1" t="s">
        <v>82</v>
      </c>
      <c r="P163" s="1" t="s">
        <v>82</v>
      </c>
      <c r="Q163" s="1" t="s">
        <v>87</v>
      </c>
      <c r="R163" s="1" t="s">
        <v>115</v>
      </c>
      <c r="S163" s="1" t="s">
        <v>82</v>
      </c>
      <c r="T163" s="1" t="s">
        <v>82</v>
      </c>
      <c r="U163" s="1" t="s">
        <v>82</v>
      </c>
      <c r="V163" s="1" t="s">
        <v>82</v>
      </c>
      <c r="W163" s="1" t="s">
        <v>82</v>
      </c>
      <c r="X163" s="1" t="s">
        <v>3400</v>
      </c>
      <c r="Y163" s="1" t="s">
        <v>3401</v>
      </c>
      <c r="Z163" s="1" t="s">
        <v>3402</v>
      </c>
      <c r="AA163" s="1">
        <v>1</v>
      </c>
      <c r="AB163" s="1" t="s">
        <v>3403</v>
      </c>
      <c r="AC163" s="1" t="s">
        <v>3404</v>
      </c>
      <c r="AD163" s="1" t="s">
        <v>93</v>
      </c>
      <c r="AE163" s="1" t="s">
        <v>3405</v>
      </c>
      <c r="AF163" s="1" t="s">
        <v>3406</v>
      </c>
      <c r="AG163" s="1" t="s">
        <v>3407</v>
      </c>
      <c r="AH163" s="1" t="s">
        <v>3408</v>
      </c>
      <c r="AI163" s="1" t="s">
        <v>82</v>
      </c>
      <c r="AJ163" s="1" t="s">
        <v>82</v>
      </c>
      <c r="AK163" s="1" t="s">
        <v>82</v>
      </c>
      <c r="AL163" s="1" t="s">
        <v>82</v>
      </c>
      <c r="AM163" s="1" t="s">
        <v>82</v>
      </c>
      <c r="AN163" s="1">
        <v>99</v>
      </c>
      <c r="AO163" s="1">
        <v>1</v>
      </c>
      <c r="AP163" s="1">
        <v>1</v>
      </c>
      <c r="AQ163" s="1">
        <v>7</v>
      </c>
      <c r="AR163" s="1">
        <v>15</v>
      </c>
      <c r="AS163" s="1" t="s">
        <v>2958</v>
      </c>
      <c r="AT163" s="1" t="s">
        <v>2959</v>
      </c>
      <c r="AU163" s="1" t="s">
        <v>2960</v>
      </c>
      <c r="AV163" s="1" t="s">
        <v>2961</v>
      </c>
      <c r="AW163" s="1" t="s">
        <v>82</v>
      </c>
      <c r="AX163" s="1" t="s">
        <v>82</v>
      </c>
      <c r="AY163" s="1" t="s">
        <v>2962</v>
      </c>
      <c r="AZ163" s="1" t="s">
        <v>2963</v>
      </c>
      <c r="BA163" s="1" t="s">
        <v>464</v>
      </c>
      <c r="BB163" s="1">
        <v>2022</v>
      </c>
      <c r="BC163" s="1">
        <v>13</v>
      </c>
      <c r="BD163" s="1" t="s">
        <v>82</v>
      </c>
      <c r="BE163" s="1" t="s">
        <v>82</v>
      </c>
      <c r="BF163" s="1" t="s">
        <v>82</v>
      </c>
      <c r="BG163" s="1" t="s">
        <v>82</v>
      </c>
      <c r="BH163" s="1" t="s">
        <v>82</v>
      </c>
      <c r="BI163" s="1" t="s">
        <v>82</v>
      </c>
      <c r="BJ163" s="1" t="s">
        <v>82</v>
      </c>
      <c r="BK163" s="1">
        <v>832034</v>
      </c>
      <c r="BL163" s="1" t="s">
        <v>3409</v>
      </c>
      <c r="BM163" s="1" t="str">
        <f>HYPERLINK("http://dx.doi.org/10.3389/fpls.2022.832034","http://dx.doi.org/10.3389/fpls.2022.832034")</f>
        <v>http://dx.doi.org/10.3389/fpls.2022.832034</v>
      </c>
      <c r="BN163" s="1" t="s">
        <v>82</v>
      </c>
      <c r="BO163" s="1" t="s">
        <v>82</v>
      </c>
      <c r="BP163" s="1">
        <v>13</v>
      </c>
      <c r="BQ163" s="1" t="s">
        <v>378</v>
      </c>
      <c r="BR163" s="1" t="s">
        <v>104</v>
      </c>
      <c r="BS163" s="1" t="s">
        <v>378</v>
      </c>
      <c r="BT163" s="1" t="s">
        <v>3410</v>
      </c>
      <c r="BU163" s="1">
        <v>35444671</v>
      </c>
      <c r="BV163" s="1" t="s">
        <v>592</v>
      </c>
      <c r="BW163" s="1" t="s">
        <v>82</v>
      </c>
      <c r="BX163" s="1" t="s">
        <v>82</v>
      </c>
      <c r="BY163" s="1" t="s">
        <v>108</v>
      </c>
      <c r="BZ163" s="1" t="s">
        <v>3411</v>
      </c>
      <c r="CA163" s="1" t="str">
        <f>HYPERLINK("https%3A%2F%2Fwww.webofscience.com%2Fwos%2Fwoscc%2Ffull-record%2FWOS:000788683100001","View Full Record in Web of Science")</f>
        <v>View Full Record in Web of Science</v>
      </c>
    </row>
    <row r="164" s="1" customFormat="1" ht="14.4" spans="1:79">
      <c r="A164">
        <v>163</v>
      </c>
      <c r="B164" s="2" t="s">
        <v>79</v>
      </c>
      <c r="C164" s="1" t="s">
        <v>80</v>
      </c>
      <c r="D164" s="1" t="s">
        <v>3412</v>
      </c>
      <c r="E164" s="1" t="s">
        <v>82</v>
      </c>
      <c r="F164" s="1" t="s">
        <v>82</v>
      </c>
      <c r="G164" s="1" t="s">
        <v>82</v>
      </c>
      <c r="H164" s="1" t="s">
        <v>3413</v>
      </c>
      <c r="I164" s="1" t="s">
        <v>82</v>
      </c>
      <c r="J164" s="1" t="s">
        <v>82</v>
      </c>
      <c r="K164" s="1" t="s">
        <v>3414</v>
      </c>
      <c r="L164" s="1" t="s">
        <v>2949</v>
      </c>
      <c r="M164" s="1">
        <v>6.627</v>
      </c>
      <c r="O164" s="1" t="s">
        <v>82</v>
      </c>
      <c r="P164" s="1" t="s">
        <v>82</v>
      </c>
      <c r="Q164" s="1" t="s">
        <v>87</v>
      </c>
      <c r="R164" s="1" t="s">
        <v>115</v>
      </c>
      <c r="S164" s="1" t="s">
        <v>82</v>
      </c>
      <c r="T164" s="1" t="s">
        <v>82</v>
      </c>
      <c r="U164" s="1" t="s">
        <v>82</v>
      </c>
      <c r="V164" s="1" t="s">
        <v>82</v>
      </c>
      <c r="W164" s="1" t="s">
        <v>82</v>
      </c>
      <c r="X164" s="1" t="s">
        <v>3415</v>
      </c>
      <c r="Y164" s="1" t="s">
        <v>3416</v>
      </c>
      <c r="Z164" s="1" t="s">
        <v>3417</v>
      </c>
      <c r="AA164" s="1">
        <v>1</v>
      </c>
      <c r="AB164" s="1" t="s">
        <v>3418</v>
      </c>
      <c r="AC164" s="1" t="s">
        <v>3419</v>
      </c>
      <c r="AD164" s="1" t="s">
        <v>93</v>
      </c>
      <c r="AE164" s="1" t="s">
        <v>1673</v>
      </c>
      <c r="AF164" s="1" t="s">
        <v>3420</v>
      </c>
      <c r="AG164" s="1" t="s">
        <v>3421</v>
      </c>
      <c r="AH164" s="1" t="s">
        <v>82</v>
      </c>
      <c r="AI164" s="1" t="s">
        <v>82</v>
      </c>
      <c r="AJ164" s="1" t="s">
        <v>82</v>
      </c>
      <c r="AK164" s="1" t="s">
        <v>82</v>
      </c>
      <c r="AL164" s="1" t="s">
        <v>82</v>
      </c>
      <c r="AM164" s="1" t="s">
        <v>82</v>
      </c>
      <c r="AN164" s="1">
        <v>92</v>
      </c>
      <c r="AO164" s="1">
        <v>1</v>
      </c>
      <c r="AP164" s="1">
        <v>1</v>
      </c>
      <c r="AQ164" s="1">
        <v>12</v>
      </c>
      <c r="AR164" s="1">
        <v>35</v>
      </c>
      <c r="AS164" s="1" t="s">
        <v>2958</v>
      </c>
      <c r="AT164" s="1" t="s">
        <v>2959</v>
      </c>
      <c r="AU164" s="1" t="s">
        <v>2960</v>
      </c>
      <c r="AV164" s="1" t="s">
        <v>2961</v>
      </c>
      <c r="AW164" s="1" t="s">
        <v>82</v>
      </c>
      <c r="AX164" s="1" t="s">
        <v>82</v>
      </c>
      <c r="AY164" s="1" t="s">
        <v>2962</v>
      </c>
      <c r="AZ164" s="1" t="s">
        <v>2963</v>
      </c>
      <c r="BA164" s="1" t="s">
        <v>3422</v>
      </c>
      <c r="BB164" s="1">
        <v>2022</v>
      </c>
      <c r="BC164" s="1">
        <v>13</v>
      </c>
      <c r="BD164" s="1" t="s">
        <v>82</v>
      </c>
      <c r="BE164" s="1" t="s">
        <v>82</v>
      </c>
      <c r="BF164" s="1" t="s">
        <v>82</v>
      </c>
      <c r="BG164" s="1" t="s">
        <v>82</v>
      </c>
      <c r="BH164" s="1" t="s">
        <v>82</v>
      </c>
      <c r="BI164" s="1" t="s">
        <v>82</v>
      </c>
      <c r="BJ164" s="1" t="s">
        <v>82</v>
      </c>
      <c r="BK164" s="1">
        <v>811312</v>
      </c>
      <c r="BL164" s="1" t="s">
        <v>3423</v>
      </c>
      <c r="BM164" s="1" t="str">
        <f>HYPERLINK("http://dx.doi.org/10.3389/fpls.2022.811312","http://dx.doi.org/10.3389/fpls.2022.811312")</f>
        <v>http://dx.doi.org/10.3389/fpls.2022.811312</v>
      </c>
      <c r="BN164" s="1" t="s">
        <v>82</v>
      </c>
      <c r="BO164" s="1" t="s">
        <v>82</v>
      </c>
      <c r="BP164" s="1">
        <v>13</v>
      </c>
      <c r="BQ164" s="1" t="s">
        <v>378</v>
      </c>
      <c r="BR164" s="1" t="s">
        <v>104</v>
      </c>
      <c r="BS164" s="1" t="s">
        <v>378</v>
      </c>
      <c r="BT164" s="1" t="s">
        <v>3424</v>
      </c>
      <c r="BU164" s="1">
        <v>35251084</v>
      </c>
      <c r="BV164" s="1" t="s">
        <v>592</v>
      </c>
      <c r="BW164" s="1" t="s">
        <v>82</v>
      </c>
      <c r="BX164" s="1" t="s">
        <v>82</v>
      </c>
      <c r="BY164" s="1" t="s">
        <v>108</v>
      </c>
      <c r="BZ164" s="1" t="s">
        <v>3425</v>
      </c>
      <c r="CA164" s="1" t="str">
        <f>HYPERLINK("https%3A%2F%2Fwww.webofscience.com%2Fwos%2Fwoscc%2Ffull-record%2FWOS:000769493800001","View Full Record in Web of Science")</f>
        <v>View Full Record in Web of Science</v>
      </c>
    </row>
    <row r="165" s="1" customFormat="1" ht="14.4" spans="1:79">
      <c r="A165">
        <v>164</v>
      </c>
      <c r="B165" s="2" t="s">
        <v>79</v>
      </c>
      <c r="C165" s="1" t="s">
        <v>80</v>
      </c>
      <c r="D165" s="1" t="s">
        <v>3426</v>
      </c>
      <c r="E165" s="1" t="s">
        <v>82</v>
      </c>
      <c r="F165" s="1" t="s">
        <v>82</v>
      </c>
      <c r="G165" s="1" t="s">
        <v>82</v>
      </c>
      <c r="H165" s="1" t="s">
        <v>3427</v>
      </c>
      <c r="I165" s="1" t="s">
        <v>82</v>
      </c>
      <c r="J165" s="1" t="s">
        <v>82</v>
      </c>
      <c r="K165" s="1" t="s">
        <v>3428</v>
      </c>
      <c r="L165" s="1" t="s">
        <v>2949</v>
      </c>
      <c r="M165" s="1">
        <v>6.627</v>
      </c>
      <c r="O165" s="1" t="s">
        <v>82</v>
      </c>
      <c r="P165" s="1" t="s">
        <v>82</v>
      </c>
      <c r="Q165" s="1" t="s">
        <v>87</v>
      </c>
      <c r="R165" s="1" t="s">
        <v>115</v>
      </c>
      <c r="S165" s="1" t="s">
        <v>82</v>
      </c>
      <c r="T165" s="1" t="s">
        <v>82</v>
      </c>
      <c r="U165" s="1" t="s">
        <v>82</v>
      </c>
      <c r="V165" s="1" t="s">
        <v>82</v>
      </c>
      <c r="W165" s="1" t="s">
        <v>82</v>
      </c>
      <c r="X165" s="1" t="s">
        <v>3429</v>
      </c>
      <c r="Y165" s="1" t="s">
        <v>3430</v>
      </c>
      <c r="Z165" s="1" t="s">
        <v>3431</v>
      </c>
      <c r="AA165" s="1">
        <v>1</v>
      </c>
      <c r="AB165" s="1" t="s">
        <v>3253</v>
      </c>
      <c r="AC165" s="1" t="s">
        <v>3432</v>
      </c>
      <c r="AD165" s="1" t="s">
        <v>93</v>
      </c>
      <c r="AE165" s="1" t="s">
        <v>3433</v>
      </c>
      <c r="AF165" s="1" t="s">
        <v>3434</v>
      </c>
      <c r="AG165" s="1" t="s">
        <v>2113</v>
      </c>
      <c r="AH165" s="1" t="s">
        <v>82</v>
      </c>
      <c r="AI165" s="1" t="s">
        <v>82</v>
      </c>
      <c r="AJ165" s="1" t="s">
        <v>3435</v>
      </c>
      <c r="AK165" s="1" t="s">
        <v>2211</v>
      </c>
      <c r="AL165" s="1" t="s">
        <v>3436</v>
      </c>
      <c r="AM165" s="1" t="s">
        <v>82</v>
      </c>
      <c r="AN165" s="1">
        <v>59</v>
      </c>
      <c r="AO165" s="1">
        <v>2</v>
      </c>
      <c r="AP165" s="1">
        <v>2</v>
      </c>
      <c r="AQ165" s="1">
        <v>4</v>
      </c>
      <c r="AR165" s="1">
        <v>17</v>
      </c>
      <c r="AS165" s="1" t="s">
        <v>2958</v>
      </c>
      <c r="AT165" s="1" t="s">
        <v>2959</v>
      </c>
      <c r="AU165" s="1" t="s">
        <v>2960</v>
      </c>
      <c r="AV165" s="1" t="s">
        <v>2961</v>
      </c>
      <c r="AW165" s="1" t="s">
        <v>82</v>
      </c>
      <c r="AX165" s="1" t="s">
        <v>82</v>
      </c>
      <c r="AY165" s="1" t="s">
        <v>2962</v>
      </c>
      <c r="AZ165" s="1" t="s">
        <v>2963</v>
      </c>
      <c r="BA165" s="1" t="s">
        <v>3422</v>
      </c>
      <c r="BB165" s="1">
        <v>2022</v>
      </c>
      <c r="BC165" s="1">
        <v>13</v>
      </c>
      <c r="BD165" s="1" t="s">
        <v>82</v>
      </c>
      <c r="BE165" s="1" t="s">
        <v>82</v>
      </c>
      <c r="BF165" s="1" t="s">
        <v>82</v>
      </c>
      <c r="BG165" s="1" t="s">
        <v>82</v>
      </c>
      <c r="BH165" s="1" t="s">
        <v>82</v>
      </c>
      <c r="BI165" s="1" t="s">
        <v>82</v>
      </c>
      <c r="BJ165" s="1" t="s">
        <v>82</v>
      </c>
      <c r="BK165" s="1">
        <v>835571</v>
      </c>
      <c r="BL165" s="1" t="s">
        <v>3437</v>
      </c>
      <c r="BM165" s="1" t="str">
        <f>HYPERLINK("http://dx.doi.org/10.3389/fpls.2022.835571","http://dx.doi.org/10.3389/fpls.2022.835571")</f>
        <v>http://dx.doi.org/10.3389/fpls.2022.835571</v>
      </c>
      <c r="BN165" s="1" t="s">
        <v>82</v>
      </c>
      <c r="BO165" s="1" t="s">
        <v>82</v>
      </c>
      <c r="BP165" s="1">
        <v>11</v>
      </c>
      <c r="BQ165" s="1" t="s">
        <v>378</v>
      </c>
      <c r="BR165" s="1" t="s">
        <v>104</v>
      </c>
      <c r="BS165" s="1" t="s">
        <v>378</v>
      </c>
      <c r="BT165" s="1" t="s">
        <v>3438</v>
      </c>
      <c r="BU165" s="1">
        <v>35251106</v>
      </c>
      <c r="BV165" s="1" t="s">
        <v>592</v>
      </c>
      <c r="BW165" s="1" t="s">
        <v>82</v>
      </c>
      <c r="BX165" s="1" t="s">
        <v>82</v>
      </c>
      <c r="BY165" s="1" t="s">
        <v>108</v>
      </c>
      <c r="BZ165" s="1" t="s">
        <v>3439</v>
      </c>
      <c r="CA165" s="1" t="str">
        <f>HYPERLINK("https%3A%2F%2Fwww.webofscience.com%2Fwos%2Fwoscc%2Ffull-record%2FWOS:000764537200001","View Full Record in Web of Science")</f>
        <v>View Full Record in Web of Science</v>
      </c>
    </row>
    <row r="166" s="1" customFormat="1" ht="14.4" spans="1:79">
      <c r="A166">
        <v>165</v>
      </c>
      <c r="B166" s="2" t="s">
        <v>79</v>
      </c>
      <c r="C166" s="1" t="s">
        <v>80</v>
      </c>
      <c r="D166" s="1" t="s">
        <v>3440</v>
      </c>
      <c r="E166" s="1" t="s">
        <v>82</v>
      </c>
      <c r="F166" s="1" t="s">
        <v>82</v>
      </c>
      <c r="G166" s="1" t="s">
        <v>82</v>
      </c>
      <c r="H166" s="1" t="s">
        <v>3441</v>
      </c>
      <c r="I166" s="1" t="s">
        <v>82</v>
      </c>
      <c r="J166" s="1" t="s">
        <v>82</v>
      </c>
      <c r="K166" s="1" t="s">
        <v>3442</v>
      </c>
      <c r="L166" s="1" t="s">
        <v>2949</v>
      </c>
      <c r="M166" s="1">
        <v>6.627</v>
      </c>
      <c r="O166" s="1" t="s">
        <v>82</v>
      </c>
      <c r="P166" s="1" t="s">
        <v>82</v>
      </c>
      <c r="Q166" s="1" t="s">
        <v>87</v>
      </c>
      <c r="R166" s="1" t="s">
        <v>115</v>
      </c>
      <c r="S166" s="1" t="s">
        <v>82</v>
      </c>
      <c r="T166" s="1" t="s">
        <v>82</v>
      </c>
      <c r="U166" s="1" t="s">
        <v>82</v>
      </c>
      <c r="V166" s="1" t="s">
        <v>82</v>
      </c>
      <c r="W166" s="1" t="s">
        <v>82</v>
      </c>
      <c r="X166" s="1" t="s">
        <v>3443</v>
      </c>
      <c r="Y166" s="1" t="s">
        <v>3444</v>
      </c>
      <c r="Z166" s="1" t="s">
        <v>3445</v>
      </c>
      <c r="AB166" s="1" t="s">
        <v>3446</v>
      </c>
      <c r="AC166" s="1" t="s">
        <v>3447</v>
      </c>
      <c r="AD166" s="1" t="s">
        <v>206</v>
      </c>
      <c r="AE166" s="1" t="s">
        <v>3448</v>
      </c>
      <c r="AF166" s="1" t="s">
        <v>3449</v>
      </c>
      <c r="AG166" s="1" t="s">
        <v>3450</v>
      </c>
      <c r="AH166" s="1" t="s">
        <v>82</v>
      </c>
      <c r="AI166" s="1" t="s">
        <v>3451</v>
      </c>
      <c r="AJ166" s="1" t="s">
        <v>3452</v>
      </c>
      <c r="AK166" s="1" t="s">
        <v>3453</v>
      </c>
      <c r="AL166" s="1" t="s">
        <v>3454</v>
      </c>
      <c r="AM166" s="1" t="s">
        <v>82</v>
      </c>
      <c r="AN166" s="1">
        <v>93</v>
      </c>
      <c r="AO166" s="1">
        <v>9</v>
      </c>
      <c r="AP166" s="1">
        <v>9</v>
      </c>
      <c r="AQ166" s="1">
        <v>10</v>
      </c>
      <c r="AR166" s="1">
        <v>29</v>
      </c>
      <c r="AS166" s="1" t="s">
        <v>2958</v>
      </c>
      <c r="AT166" s="1" t="s">
        <v>2959</v>
      </c>
      <c r="AU166" s="1" t="s">
        <v>2960</v>
      </c>
      <c r="AV166" s="1" t="s">
        <v>2961</v>
      </c>
      <c r="AW166" s="1" t="s">
        <v>82</v>
      </c>
      <c r="AX166" s="1" t="s">
        <v>82</v>
      </c>
      <c r="AY166" s="1" t="s">
        <v>2962</v>
      </c>
      <c r="AZ166" s="1" t="s">
        <v>2963</v>
      </c>
      <c r="BA166" s="1" t="s">
        <v>3455</v>
      </c>
      <c r="BB166" s="1">
        <v>2022</v>
      </c>
      <c r="BC166" s="1">
        <v>13</v>
      </c>
      <c r="BD166" s="1" t="s">
        <v>82</v>
      </c>
      <c r="BE166" s="1" t="s">
        <v>82</v>
      </c>
      <c r="BF166" s="1" t="s">
        <v>82</v>
      </c>
      <c r="BG166" s="1" t="s">
        <v>82</v>
      </c>
      <c r="BH166" s="1" t="s">
        <v>82</v>
      </c>
      <c r="BI166" s="1" t="s">
        <v>82</v>
      </c>
      <c r="BJ166" s="1" t="s">
        <v>82</v>
      </c>
      <c r="BK166" s="1">
        <v>832884</v>
      </c>
      <c r="BL166" s="1" t="s">
        <v>3456</v>
      </c>
      <c r="BM166" s="1" t="str">
        <f>HYPERLINK("http://dx.doi.org/10.3389/fpls.2022.832884","http://dx.doi.org/10.3389/fpls.2022.832884")</f>
        <v>http://dx.doi.org/10.3389/fpls.2022.832884</v>
      </c>
      <c r="BN166" s="1" t="s">
        <v>82</v>
      </c>
      <c r="BO166" s="1" t="s">
        <v>82</v>
      </c>
      <c r="BP166" s="1">
        <v>15</v>
      </c>
      <c r="BQ166" s="1" t="s">
        <v>378</v>
      </c>
      <c r="BR166" s="1" t="s">
        <v>104</v>
      </c>
      <c r="BS166" s="1" t="s">
        <v>378</v>
      </c>
      <c r="BT166" s="1" t="s">
        <v>3457</v>
      </c>
      <c r="BU166" s="1">
        <v>35222490</v>
      </c>
      <c r="BV166" s="1" t="s">
        <v>592</v>
      </c>
      <c r="BW166" s="1" t="s">
        <v>82</v>
      </c>
      <c r="BX166" s="1" t="s">
        <v>82</v>
      </c>
      <c r="BY166" s="1" t="s">
        <v>108</v>
      </c>
      <c r="BZ166" s="1" t="s">
        <v>3458</v>
      </c>
      <c r="CA166" s="1" t="str">
        <f>HYPERLINK("https%3A%2F%2Fwww.webofscience.com%2Fwos%2Fwoscc%2Ffull-record%2FWOS:000760860800001","View Full Record in Web of Science")</f>
        <v>View Full Record in Web of Science</v>
      </c>
    </row>
    <row r="167" s="1" customFormat="1" ht="14.4" spans="1:79">
      <c r="A167">
        <v>166</v>
      </c>
      <c r="B167" s="2" t="s">
        <v>79</v>
      </c>
      <c r="C167" s="1" t="s">
        <v>80</v>
      </c>
      <c r="D167" s="1" t="s">
        <v>3459</v>
      </c>
      <c r="E167" s="1" t="s">
        <v>82</v>
      </c>
      <c r="F167" s="1" t="s">
        <v>82</v>
      </c>
      <c r="G167" s="1" t="s">
        <v>82</v>
      </c>
      <c r="H167" s="1" t="s">
        <v>3460</v>
      </c>
      <c r="I167" s="1" t="s">
        <v>82</v>
      </c>
      <c r="J167" s="1" t="s">
        <v>82</v>
      </c>
      <c r="K167" s="1" t="s">
        <v>3461</v>
      </c>
      <c r="L167" s="1" t="s">
        <v>2949</v>
      </c>
      <c r="M167" s="1">
        <v>6.627</v>
      </c>
      <c r="O167" s="1" t="s">
        <v>82</v>
      </c>
      <c r="P167" s="1" t="s">
        <v>82</v>
      </c>
      <c r="Q167" s="1" t="s">
        <v>87</v>
      </c>
      <c r="R167" s="1" t="s">
        <v>115</v>
      </c>
      <c r="S167" s="1" t="s">
        <v>82</v>
      </c>
      <c r="T167" s="1" t="s">
        <v>82</v>
      </c>
      <c r="U167" s="1" t="s">
        <v>82</v>
      </c>
      <c r="V167" s="1" t="s">
        <v>82</v>
      </c>
      <c r="W167" s="1" t="s">
        <v>82</v>
      </c>
      <c r="X167" s="1" t="s">
        <v>3462</v>
      </c>
      <c r="Y167" s="1" t="s">
        <v>3463</v>
      </c>
      <c r="Z167" s="1" t="s">
        <v>3464</v>
      </c>
      <c r="AA167" s="1">
        <v>1</v>
      </c>
      <c r="AB167" s="1" t="s">
        <v>3465</v>
      </c>
      <c r="AC167" s="1" t="s">
        <v>3466</v>
      </c>
      <c r="AD167" s="1" t="s">
        <v>93</v>
      </c>
      <c r="AE167" s="1" t="s">
        <v>3467</v>
      </c>
      <c r="AF167" s="1" t="s">
        <v>3468</v>
      </c>
      <c r="AG167" s="1" t="s">
        <v>3469</v>
      </c>
      <c r="AH167" s="1" t="s">
        <v>82</v>
      </c>
      <c r="AI167" s="1" t="s">
        <v>82</v>
      </c>
      <c r="AJ167" s="1" t="s">
        <v>3470</v>
      </c>
      <c r="AK167" s="1" t="s">
        <v>3471</v>
      </c>
      <c r="AL167" s="1" t="s">
        <v>3472</v>
      </c>
      <c r="AM167" s="1" t="s">
        <v>82</v>
      </c>
      <c r="AN167" s="1">
        <v>88</v>
      </c>
      <c r="AO167" s="1">
        <v>0</v>
      </c>
      <c r="AP167" s="1">
        <v>0</v>
      </c>
      <c r="AQ167" s="1">
        <v>4</v>
      </c>
      <c r="AR167" s="1">
        <v>12</v>
      </c>
      <c r="AS167" s="1" t="s">
        <v>2958</v>
      </c>
      <c r="AT167" s="1" t="s">
        <v>2959</v>
      </c>
      <c r="AU167" s="1" t="s">
        <v>2960</v>
      </c>
      <c r="AV167" s="1" t="s">
        <v>2961</v>
      </c>
      <c r="AW167" s="1" t="s">
        <v>82</v>
      </c>
      <c r="AX167" s="1" t="s">
        <v>82</v>
      </c>
      <c r="AY167" s="1" t="s">
        <v>2962</v>
      </c>
      <c r="AZ167" s="1" t="s">
        <v>2963</v>
      </c>
      <c r="BA167" s="1" t="s">
        <v>1094</v>
      </c>
      <c r="BB167" s="1">
        <v>2022</v>
      </c>
      <c r="BC167" s="1">
        <v>12</v>
      </c>
      <c r="BD167" s="1" t="s">
        <v>82</v>
      </c>
      <c r="BE167" s="1" t="s">
        <v>82</v>
      </c>
      <c r="BF167" s="1" t="s">
        <v>82</v>
      </c>
      <c r="BG167" s="1" t="s">
        <v>82</v>
      </c>
      <c r="BH167" s="1" t="s">
        <v>82</v>
      </c>
      <c r="BI167" s="1" t="s">
        <v>82</v>
      </c>
      <c r="BJ167" s="1" t="s">
        <v>82</v>
      </c>
      <c r="BK167" s="1">
        <v>829783</v>
      </c>
      <c r="BL167" s="1" t="s">
        <v>3473</v>
      </c>
      <c r="BM167" s="1" t="str">
        <f>HYPERLINK("http://dx.doi.org/10.3389/fpls.2021.829783","http://dx.doi.org/10.3389/fpls.2021.829783")</f>
        <v>http://dx.doi.org/10.3389/fpls.2021.829783</v>
      </c>
      <c r="BN167" s="1" t="s">
        <v>82</v>
      </c>
      <c r="BO167" s="1" t="s">
        <v>82</v>
      </c>
      <c r="BP167" s="1">
        <v>10</v>
      </c>
      <c r="BQ167" s="1" t="s">
        <v>378</v>
      </c>
      <c r="BR167" s="1" t="s">
        <v>104</v>
      </c>
      <c r="BS167" s="1" t="s">
        <v>378</v>
      </c>
      <c r="BT167" s="1" t="s">
        <v>3474</v>
      </c>
      <c r="BU167" s="1">
        <v>35185969</v>
      </c>
      <c r="BV167" s="1" t="s">
        <v>592</v>
      </c>
      <c r="BW167" s="1" t="s">
        <v>82</v>
      </c>
      <c r="BX167" s="1" t="s">
        <v>82</v>
      </c>
      <c r="BY167" s="1" t="s">
        <v>108</v>
      </c>
      <c r="BZ167" s="1" t="s">
        <v>3475</v>
      </c>
      <c r="CA167" s="1" t="str">
        <f>HYPERLINK("https%3A%2F%2Fwww.webofscience.com%2Fwos%2Fwoscc%2Ffull-record%2FWOS:000759940100001","View Full Record in Web of Science")</f>
        <v>View Full Record in Web of Science</v>
      </c>
    </row>
    <row r="168" s="1" customFormat="1" ht="14.4" spans="1:79">
      <c r="A168">
        <v>167</v>
      </c>
      <c r="B168" s="2" t="s">
        <v>79</v>
      </c>
      <c r="C168" s="1" t="s">
        <v>80</v>
      </c>
      <c r="D168" s="1" t="s">
        <v>3476</v>
      </c>
      <c r="E168" s="1" t="s">
        <v>82</v>
      </c>
      <c r="F168" s="1" t="s">
        <v>82</v>
      </c>
      <c r="G168" s="1" t="s">
        <v>82</v>
      </c>
      <c r="H168" s="1" t="s">
        <v>3477</v>
      </c>
      <c r="I168" s="1" t="s">
        <v>82</v>
      </c>
      <c r="J168" s="1" t="s">
        <v>82</v>
      </c>
      <c r="K168" s="1" t="s">
        <v>3478</v>
      </c>
      <c r="L168" s="1" t="s">
        <v>2949</v>
      </c>
      <c r="M168" s="1">
        <v>6.627</v>
      </c>
      <c r="O168" s="1" t="s">
        <v>82</v>
      </c>
      <c r="P168" s="1" t="s">
        <v>82</v>
      </c>
      <c r="Q168" s="1" t="s">
        <v>87</v>
      </c>
      <c r="R168" s="1" t="s">
        <v>115</v>
      </c>
      <c r="S168" s="1" t="s">
        <v>82</v>
      </c>
      <c r="T168" s="1" t="s">
        <v>82</v>
      </c>
      <c r="U168" s="1" t="s">
        <v>82</v>
      </c>
      <c r="V168" s="1" t="s">
        <v>82</v>
      </c>
      <c r="W168" s="1" t="s">
        <v>82</v>
      </c>
      <c r="X168" s="1" t="s">
        <v>3479</v>
      </c>
      <c r="Y168" s="1" t="s">
        <v>3480</v>
      </c>
      <c r="Z168" s="1" t="s">
        <v>3481</v>
      </c>
      <c r="AA168" s="1">
        <v>1</v>
      </c>
      <c r="AB168" s="1" t="s">
        <v>3482</v>
      </c>
      <c r="AC168" s="1" t="s">
        <v>3483</v>
      </c>
      <c r="AD168" s="1" t="s">
        <v>93</v>
      </c>
      <c r="AE168" s="1" t="s">
        <v>1630</v>
      </c>
      <c r="AF168" s="1" t="s">
        <v>3484</v>
      </c>
      <c r="AG168" s="1" t="s">
        <v>3485</v>
      </c>
      <c r="AH168" s="1" t="s">
        <v>2307</v>
      </c>
      <c r="AI168" s="1" t="s">
        <v>3486</v>
      </c>
      <c r="AJ168" s="1" t="s">
        <v>3487</v>
      </c>
      <c r="AK168" s="1" t="s">
        <v>3488</v>
      </c>
      <c r="AL168" s="1" t="s">
        <v>3489</v>
      </c>
      <c r="AM168" s="1" t="s">
        <v>82</v>
      </c>
      <c r="AN168" s="1">
        <v>111</v>
      </c>
      <c r="AO168" s="1">
        <v>4</v>
      </c>
      <c r="AP168" s="1">
        <v>4</v>
      </c>
      <c r="AQ168" s="1">
        <v>4</v>
      </c>
      <c r="AR168" s="1">
        <v>17</v>
      </c>
      <c r="AS168" s="1" t="s">
        <v>2958</v>
      </c>
      <c r="AT168" s="1" t="s">
        <v>2959</v>
      </c>
      <c r="AU168" s="1" t="s">
        <v>2960</v>
      </c>
      <c r="AV168" s="1" t="s">
        <v>2961</v>
      </c>
      <c r="AW168" s="1" t="s">
        <v>82</v>
      </c>
      <c r="AX168" s="1" t="s">
        <v>82</v>
      </c>
      <c r="AY168" s="1" t="s">
        <v>2962</v>
      </c>
      <c r="AZ168" s="1" t="s">
        <v>2963</v>
      </c>
      <c r="BA168" s="1" t="s">
        <v>3490</v>
      </c>
      <c r="BB168" s="1">
        <v>2022</v>
      </c>
      <c r="BC168" s="1">
        <v>12</v>
      </c>
      <c r="BD168" s="1" t="s">
        <v>82</v>
      </c>
      <c r="BE168" s="1" t="s">
        <v>82</v>
      </c>
      <c r="BF168" s="1" t="s">
        <v>82</v>
      </c>
      <c r="BG168" s="1" t="s">
        <v>82</v>
      </c>
      <c r="BH168" s="1" t="s">
        <v>82</v>
      </c>
      <c r="BI168" s="1" t="s">
        <v>82</v>
      </c>
      <c r="BJ168" s="1" t="s">
        <v>82</v>
      </c>
      <c r="BK168" s="1">
        <v>824672</v>
      </c>
      <c r="BL168" s="1" t="s">
        <v>3491</v>
      </c>
      <c r="BM168" s="1" t="str">
        <f>HYPERLINK("http://dx.doi.org/10.3389/fpls.2021.824672","http://dx.doi.org/10.3389/fpls.2021.824672")</f>
        <v>http://dx.doi.org/10.3389/fpls.2021.824672</v>
      </c>
      <c r="BN168" s="1" t="s">
        <v>82</v>
      </c>
      <c r="BO168" s="1" t="s">
        <v>82</v>
      </c>
      <c r="BP168" s="1">
        <v>16</v>
      </c>
      <c r="BQ168" s="1" t="s">
        <v>378</v>
      </c>
      <c r="BR168" s="1" t="s">
        <v>104</v>
      </c>
      <c r="BS168" s="1" t="s">
        <v>378</v>
      </c>
      <c r="BT168" s="1" t="s">
        <v>3492</v>
      </c>
      <c r="BU168" s="1">
        <v>35173754</v>
      </c>
      <c r="BV168" s="1" t="s">
        <v>592</v>
      </c>
      <c r="BW168" s="1" t="s">
        <v>82</v>
      </c>
      <c r="BX168" s="1" t="s">
        <v>82</v>
      </c>
      <c r="BY168" s="1" t="s">
        <v>108</v>
      </c>
      <c r="BZ168" s="1" t="s">
        <v>3493</v>
      </c>
      <c r="CA168" s="1" t="str">
        <f>HYPERLINK("https%3A%2F%2Fwww.webofscience.com%2Fwos%2Fwoscc%2Ffull-record%2FWOS:000758673600001","View Full Record in Web of Science")</f>
        <v>View Full Record in Web of Science</v>
      </c>
    </row>
    <row r="169" s="1" customFormat="1" ht="14.4" spans="1:79">
      <c r="A169">
        <v>168</v>
      </c>
      <c r="B169" s="2" t="s">
        <v>79</v>
      </c>
      <c r="C169" s="1" t="s">
        <v>80</v>
      </c>
      <c r="D169" s="1" t="s">
        <v>3365</v>
      </c>
      <c r="E169" s="1" t="s">
        <v>82</v>
      </c>
      <c r="F169" s="1" t="s">
        <v>82</v>
      </c>
      <c r="G169" s="1" t="s">
        <v>82</v>
      </c>
      <c r="H169" s="1" t="s">
        <v>3366</v>
      </c>
      <c r="I169" s="1" t="s">
        <v>82</v>
      </c>
      <c r="J169" s="1" t="s">
        <v>82</v>
      </c>
      <c r="K169" s="1" t="s">
        <v>3494</v>
      </c>
      <c r="L169" s="1" t="s">
        <v>2949</v>
      </c>
      <c r="M169" s="1">
        <v>6.627</v>
      </c>
      <c r="O169" s="1" t="s">
        <v>82</v>
      </c>
      <c r="P169" s="1" t="s">
        <v>82</v>
      </c>
      <c r="Q169" s="1" t="s">
        <v>87</v>
      </c>
      <c r="R169" s="1" t="s">
        <v>115</v>
      </c>
      <c r="S169" s="1" t="s">
        <v>82</v>
      </c>
      <c r="T169" s="1" t="s">
        <v>82</v>
      </c>
      <c r="U169" s="1" t="s">
        <v>82</v>
      </c>
      <c r="V169" s="1" t="s">
        <v>82</v>
      </c>
      <c r="W169" s="1" t="s">
        <v>82</v>
      </c>
      <c r="X169" s="1" t="s">
        <v>3368</v>
      </c>
      <c r="Y169" s="1" t="s">
        <v>3495</v>
      </c>
      <c r="Z169" s="1" t="s">
        <v>3496</v>
      </c>
      <c r="AB169" s="1" t="s">
        <v>3369</v>
      </c>
      <c r="AC169" s="1" t="s">
        <v>3497</v>
      </c>
      <c r="AD169" s="1" t="s">
        <v>120</v>
      </c>
      <c r="AE169" s="1" t="s">
        <v>3371</v>
      </c>
      <c r="AF169" s="1" t="s">
        <v>3498</v>
      </c>
      <c r="AG169" s="1" t="s">
        <v>3373</v>
      </c>
      <c r="AH169" s="1" t="s">
        <v>3374</v>
      </c>
      <c r="AI169" s="1" t="s">
        <v>3499</v>
      </c>
      <c r="AJ169" s="1" t="s">
        <v>3500</v>
      </c>
      <c r="AK169" s="1" t="s">
        <v>3501</v>
      </c>
      <c r="AL169" s="1" t="s">
        <v>3502</v>
      </c>
      <c r="AM169" s="1" t="s">
        <v>82</v>
      </c>
      <c r="AN169" s="1">
        <v>62</v>
      </c>
      <c r="AO169" s="1">
        <v>2</v>
      </c>
      <c r="AP169" s="1">
        <v>2</v>
      </c>
      <c r="AQ169" s="1">
        <v>15</v>
      </c>
      <c r="AR169" s="1">
        <v>38</v>
      </c>
      <c r="AS169" s="1" t="s">
        <v>2958</v>
      </c>
      <c r="AT169" s="1" t="s">
        <v>2959</v>
      </c>
      <c r="AU169" s="1" t="s">
        <v>2960</v>
      </c>
      <c r="AV169" s="1" t="s">
        <v>2961</v>
      </c>
      <c r="AW169" s="1" t="s">
        <v>82</v>
      </c>
      <c r="AX169" s="1" t="s">
        <v>82</v>
      </c>
      <c r="AY169" s="1" t="s">
        <v>2962</v>
      </c>
      <c r="AZ169" s="1" t="s">
        <v>2963</v>
      </c>
      <c r="BA169" s="1" t="s">
        <v>3503</v>
      </c>
      <c r="BB169" s="1">
        <v>2022</v>
      </c>
      <c r="BC169" s="1">
        <v>12</v>
      </c>
      <c r="BD169" s="1" t="s">
        <v>82</v>
      </c>
      <c r="BE169" s="1" t="s">
        <v>82</v>
      </c>
      <c r="BF169" s="1" t="s">
        <v>82</v>
      </c>
      <c r="BG169" s="1" t="s">
        <v>82</v>
      </c>
      <c r="BH169" s="1" t="s">
        <v>82</v>
      </c>
      <c r="BI169" s="1" t="s">
        <v>82</v>
      </c>
      <c r="BJ169" s="1" t="s">
        <v>82</v>
      </c>
      <c r="BK169" s="1">
        <v>789065</v>
      </c>
      <c r="BL169" s="1" t="s">
        <v>3504</v>
      </c>
      <c r="BM169" s="1" t="str">
        <f>HYPERLINK("http://dx.doi.org/10.3389/fpls.2021.789065","http://dx.doi.org/10.3389/fpls.2021.789065")</f>
        <v>http://dx.doi.org/10.3389/fpls.2021.789065</v>
      </c>
      <c r="BN169" s="1" t="s">
        <v>82</v>
      </c>
      <c r="BO169" s="1" t="s">
        <v>82</v>
      </c>
      <c r="BP169" s="1">
        <v>14</v>
      </c>
      <c r="BQ169" s="1" t="s">
        <v>378</v>
      </c>
      <c r="BR169" s="1" t="s">
        <v>104</v>
      </c>
      <c r="BS169" s="1" t="s">
        <v>378</v>
      </c>
      <c r="BT169" s="1" t="s">
        <v>3505</v>
      </c>
      <c r="BU169" s="1">
        <v>35126416</v>
      </c>
      <c r="BV169" s="1" t="s">
        <v>592</v>
      </c>
      <c r="BW169" s="1" t="s">
        <v>82</v>
      </c>
      <c r="BX169" s="1" t="s">
        <v>82</v>
      </c>
      <c r="BY169" s="1" t="s">
        <v>108</v>
      </c>
      <c r="BZ169" s="1" t="s">
        <v>3506</v>
      </c>
      <c r="CA169" s="1" t="str">
        <f>HYPERLINK("https%3A%2F%2Fwww.webofscience.com%2Fwos%2Fwoscc%2Ffull-record%2FWOS:000751455200001","View Full Record in Web of Science")</f>
        <v>View Full Record in Web of Science</v>
      </c>
    </row>
    <row r="170" s="1" customFormat="1" ht="14.4" spans="1:79">
      <c r="A170">
        <v>169</v>
      </c>
      <c r="B170" s="2" t="s">
        <v>79</v>
      </c>
      <c r="C170" s="1" t="s">
        <v>80</v>
      </c>
      <c r="D170" s="1" t="s">
        <v>3507</v>
      </c>
      <c r="E170" s="1" t="s">
        <v>82</v>
      </c>
      <c r="F170" s="1" t="s">
        <v>82</v>
      </c>
      <c r="G170" s="1" t="s">
        <v>82</v>
      </c>
      <c r="H170" s="1" t="s">
        <v>3508</v>
      </c>
      <c r="I170" s="1" t="s">
        <v>82</v>
      </c>
      <c r="J170" s="1" t="s">
        <v>82</v>
      </c>
      <c r="K170" s="1" t="s">
        <v>3509</v>
      </c>
      <c r="L170" s="1" t="s">
        <v>2949</v>
      </c>
      <c r="M170" s="1">
        <v>6.627</v>
      </c>
      <c r="O170" s="1" t="s">
        <v>82</v>
      </c>
      <c r="P170" s="1" t="s">
        <v>82</v>
      </c>
      <c r="Q170" s="1" t="s">
        <v>87</v>
      </c>
      <c r="R170" s="1" t="s">
        <v>200</v>
      </c>
      <c r="S170" s="1" t="s">
        <v>82</v>
      </c>
      <c r="T170" s="1" t="s">
        <v>82</v>
      </c>
      <c r="U170" s="1" t="s">
        <v>82</v>
      </c>
      <c r="V170" s="1" t="s">
        <v>82</v>
      </c>
      <c r="W170" s="1" t="s">
        <v>82</v>
      </c>
      <c r="X170" s="1" t="s">
        <v>3510</v>
      </c>
      <c r="Y170" s="1" t="s">
        <v>3511</v>
      </c>
      <c r="Z170" s="1" t="s">
        <v>3512</v>
      </c>
      <c r="AA170" s="1">
        <v>1</v>
      </c>
      <c r="AB170" s="1" t="s">
        <v>3235</v>
      </c>
      <c r="AC170" s="1" t="s">
        <v>3513</v>
      </c>
      <c r="AD170" s="1" t="s">
        <v>93</v>
      </c>
      <c r="AE170" s="1" t="s">
        <v>3237</v>
      </c>
      <c r="AF170" s="1" t="s">
        <v>3514</v>
      </c>
      <c r="AG170" s="1" t="s">
        <v>3239</v>
      </c>
      <c r="AH170" s="1" t="s">
        <v>3515</v>
      </c>
      <c r="AI170" s="1" t="s">
        <v>3516</v>
      </c>
      <c r="AJ170" s="1" t="s">
        <v>82</v>
      </c>
      <c r="AK170" s="1" t="s">
        <v>82</v>
      </c>
      <c r="AL170" s="1" t="s">
        <v>82</v>
      </c>
      <c r="AM170" s="1" t="s">
        <v>82</v>
      </c>
      <c r="AN170" s="1">
        <v>52</v>
      </c>
      <c r="AO170" s="1">
        <v>5</v>
      </c>
      <c r="AP170" s="1">
        <v>5</v>
      </c>
      <c r="AQ170" s="1">
        <v>39</v>
      </c>
      <c r="AR170" s="1">
        <v>83</v>
      </c>
      <c r="AS170" s="1" t="s">
        <v>2958</v>
      </c>
      <c r="AT170" s="1" t="s">
        <v>2959</v>
      </c>
      <c r="AU170" s="1" t="s">
        <v>2960</v>
      </c>
      <c r="AV170" s="1" t="s">
        <v>2961</v>
      </c>
      <c r="AW170" s="1" t="s">
        <v>82</v>
      </c>
      <c r="AX170" s="1" t="s">
        <v>82</v>
      </c>
      <c r="AY170" s="1" t="s">
        <v>2962</v>
      </c>
      <c r="AZ170" s="1" t="s">
        <v>2963</v>
      </c>
      <c r="BA170" s="1" t="s">
        <v>3517</v>
      </c>
      <c r="BB170" s="1">
        <v>2022</v>
      </c>
      <c r="BC170" s="1">
        <v>12</v>
      </c>
      <c r="BD170" s="1" t="s">
        <v>82</v>
      </c>
      <c r="BE170" s="1" t="s">
        <v>82</v>
      </c>
      <c r="BF170" s="1" t="s">
        <v>82</v>
      </c>
      <c r="BG170" s="1" t="s">
        <v>82</v>
      </c>
      <c r="BH170" s="1" t="s">
        <v>82</v>
      </c>
      <c r="BI170" s="1" t="s">
        <v>82</v>
      </c>
      <c r="BJ170" s="1" t="s">
        <v>82</v>
      </c>
      <c r="BK170" s="1">
        <v>808228</v>
      </c>
      <c r="BL170" s="1" t="s">
        <v>3518</v>
      </c>
      <c r="BM170" s="1" t="str">
        <f>HYPERLINK("http://dx.doi.org/10.3389/fpls.2021.808228","http://dx.doi.org/10.3389/fpls.2021.808228")</f>
        <v>http://dx.doi.org/10.3389/fpls.2021.808228</v>
      </c>
      <c r="BN170" s="1" t="s">
        <v>82</v>
      </c>
      <c r="BO170" s="1" t="s">
        <v>82</v>
      </c>
      <c r="BP170" s="1">
        <v>12</v>
      </c>
      <c r="BQ170" s="1" t="s">
        <v>378</v>
      </c>
      <c r="BR170" s="1" t="s">
        <v>104</v>
      </c>
      <c r="BS170" s="1" t="s">
        <v>378</v>
      </c>
      <c r="BT170" s="1" t="s">
        <v>3519</v>
      </c>
      <c r="BU170" s="1">
        <v>35087561</v>
      </c>
      <c r="BV170" s="1" t="s">
        <v>592</v>
      </c>
      <c r="BW170" s="1" t="s">
        <v>82</v>
      </c>
      <c r="BX170" s="1" t="s">
        <v>82</v>
      </c>
      <c r="BY170" s="1" t="s">
        <v>108</v>
      </c>
      <c r="BZ170" s="1" t="s">
        <v>3520</v>
      </c>
      <c r="CA170" s="1" t="str">
        <f>HYPERLINK("https%3A%2F%2Fwww.webofscience.com%2Fwos%2Fwoscc%2Ffull-record%2FWOS:000748015000001","View Full Record in Web of Science")</f>
        <v>View Full Record in Web of Science</v>
      </c>
    </row>
    <row r="171" s="1" customFormat="1" ht="14.4" spans="1:79">
      <c r="A171">
        <v>170</v>
      </c>
      <c r="B171" s="2" t="s">
        <v>79</v>
      </c>
      <c r="C171" s="1" t="s">
        <v>80</v>
      </c>
      <c r="D171" s="1" t="s">
        <v>3521</v>
      </c>
      <c r="E171" s="1" t="s">
        <v>82</v>
      </c>
      <c r="F171" s="1" t="s">
        <v>82</v>
      </c>
      <c r="G171" s="1" t="s">
        <v>82</v>
      </c>
      <c r="H171" s="1" t="s">
        <v>3522</v>
      </c>
      <c r="I171" s="1" t="s">
        <v>82</v>
      </c>
      <c r="J171" s="1" t="s">
        <v>82</v>
      </c>
      <c r="K171" s="1" t="s">
        <v>3523</v>
      </c>
      <c r="L171" s="1" t="s">
        <v>2949</v>
      </c>
      <c r="M171" s="1">
        <v>6.627</v>
      </c>
      <c r="O171" s="1" t="s">
        <v>82</v>
      </c>
      <c r="P171" s="1" t="s">
        <v>82</v>
      </c>
      <c r="Q171" s="1" t="s">
        <v>87</v>
      </c>
      <c r="R171" s="1" t="s">
        <v>115</v>
      </c>
      <c r="S171" s="1" t="s">
        <v>82</v>
      </c>
      <c r="T171" s="1" t="s">
        <v>82</v>
      </c>
      <c r="U171" s="1" t="s">
        <v>82</v>
      </c>
      <c r="V171" s="1" t="s">
        <v>82</v>
      </c>
      <c r="W171" s="1" t="s">
        <v>82</v>
      </c>
      <c r="X171" s="1" t="s">
        <v>3524</v>
      </c>
      <c r="Y171" s="1" t="s">
        <v>3525</v>
      </c>
      <c r="Z171" s="1" t="s">
        <v>3526</v>
      </c>
      <c r="AA171" s="1">
        <v>1</v>
      </c>
      <c r="AB171" s="1" t="s">
        <v>3527</v>
      </c>
      <c r="AC171" s="1" t="s">
        <v>3528</v>
      </c>
      <c r="AD171" s="1" t="s">
        <v>93</v>
      </c>
      <c r="AE171" s="1" t="s">
        <v>3529</v>
      </c>
      <c r="AF171" s="1" t="s">
        <v>3530</v>
      </c>
      <c r="AG171" s="1" t="s">
        <v>3531</v>
      </c>
      <c r="AH171" s="1" t="s">
        <v>82</v>
      </c>
      <c r="AI171" s="1" t="s">
        <v>3532</v>
      </c>
      <c r="AJ171" s="1" t="s">
        <v>82</v>
      </c>
      <c r="AK171" s="1" t="s">
        <v>82</v>
      </c>
      <c r="AL171" s="1" t="s">
        <v>82</v>
      </c>
      <c r="AM171" s="1" t="s">
        <v>82</v>
      </c>
      <c r="AN171" s="1">
        <v>97</v>
      </c>
      <c r="AO171" s="1">
        <v>2</v>
      </c>
      <c r="AP171" s="1">
        <v>2</v>
      </c>
      <c r="AQ171" s="1">
        <v>5</v>
      </c>
      <c r="AR171" s="1">
        <v>12</v>
      </c>
      <c r="AS171" s="1" t="s">
        <v>2958</v>
      </c>
      <c r="AT171" s="1" t="s">
        <v>2959</v>
      </c>
      <c r="AU171" s="1" t="s">
        <v>2960</v>
      </c>
      <c r="AV171" s="1" t="s">
        <v>2961</v>
      </c>
      <c r="AW171" s="1" t="s">
        <v>82</v>
      </c>
      <c r="AX171" s="1" t="s">
        <v>82</v>
      </c>
      <c r="AY171" s="1" t="s">
        <v>2962</v>
      </c>
      <c r="AZ171" s="1" t="s">
        <v>2963</v>
      </c>
      <c r="BA171" s="1" t="s">
        <v>3533</v>
      </c>
      <c r="BB171" s="1">
        <v>2022</v>
      </c>
      <c r="BC171" s="1">
        <v>12</v>
      </c>
      <c r="BD171" s="1" t="s">
        <v>82</v>
      </c>
      <c r="BE171" s="1" t="s">
        <v>82</v>
      </c>
      <c r="BF171" s="1" t="s">
        <v>82</v>
      </c>
      <c r="BG171" s="1" t="s">
        <v>82</v>
      </c>
      <c r="BH171" s="1" t="s">
        <v>82</v>
      </c>
      <c r="BI171" s="1" t="s">
        <v>82</v>
      </c>
      <c r="BJ171" s="1" t="s">
        <v>82</v>
      </c>
      <c r="BK171" s="1">
        <v>772655</v>
      </c>
      <c r="BL171" s="1" t="s">
        <v>3534</v>
      </c>
      <c r="BM171" s="1" t="str">
        <f>HYPERLINK("http://dx.doi.org/10.3389/fpls.2021.772655","http://dx.doi.org/10.3389/fpls.2021.772655")</f>
        <v>http://dx.doi.org/10.3389/fpls.2021.772655</v>
      </c>
      <c r="BN171" s="1" t="s">
        <v>82</v>
      </c>
      <c r="BO171" s="1" t="s">
        <v>82</v>
      </c>
      <c r="BP171" s="1">
        <v>17</v>
      </c>
      <c r="BQ171" s="1" t="s">
        <v>378</v>
      </c>
      <c r="BR171" s="1" t="s">
        <v>104</v>
      </c>
      <c r="BS171" s="1" t="s">
        <v>378</v>
      </c>
      <c r="BT171" s="1" t="s">
        <v>3535</v>
      </c>
      <c r="BU171" s="1">
        <v>35058947</v>
      </c>
      <c r="BV171" s="1" t="s">
        <v>592</v>
      </c>
      <c r="BW171" s="1" t="s">
        <v>82</v>
      </c>
      <c r="BX171" s="1" t="s">
        <v>82</v>
      </c>
      <c r="BY171" s="1" t="s">
        <v>108</v>
      </c>
      <c r="BZ171" s="1" t="s">
        <v>3536</v>
      </c>
      <c r="CA171" s="1" t="str">
        <f>HYPERLINK("https%3A%2F%2Fwww.webofscience.com%2Fwos%2Fwoscc%2Ffull-record%2FWOS:000745157700001","View Full Record in Web of Science")</f>
        <v>View Full Record in Web of Science</v>
      </c>
    </row>
    <row r="172" s="1" customFormat="1" ht="14.4" spans="1:79">
      <c r="A172">
        <v>171</v>
      </c>
      <c r="B172" s="2" t="s">
        <v>79</v>
      </c>
      <c r="C172" s="1" t="s">
        <v>80</v>
      </c>
      <c r="D172" s="1" t="s">
        <v>3537</v>
      </c>
      <c r="E172" s="1" t="s">
        <v>82</v>
      </c>
      <c r="F172" s="1" t="s">
        <v>82</v>
      </c>
      <c r="G172" s="1" t="s">
        <v>82</v>
      </c>
      <c r="H172" s="1" t="s">
        <v>3538</v>
      </c>
      <c r="I172" s="1" t="s">
        <v>82</v>
      </c>
      <c r="J172" s="1" t="s">
        <v>82</v>
      </c>
      <c r="K172" s="1" t="s">
        <v>3539</v>
      </c>
      <c r="L172" s="1" t="s">
        <v>3540</v>
      </c>
      <c r="M172" s="1">
        <v>6.622</v>
      </c>
      <c r="O172" s="1" t="s">
        <v>82</v>
      </c>
      <c r="P172" s="1" t="s">
        <v>82</v>
      </c>
      <c r="Q172" s="1" t="s">
        <v>87</v>
      </c>
      <c r="R172" s="1" t="s">
        <v>115</v>
      </c>
      <c r="S172" s="1" t="s">
        <v>82</v>
      </c>
      <c r="T172" s="1" t="s">
        <v>82</v>
      </c>
      <c r="U172" s="1" t="s">
        <v>82</v>
      </c>
      <c r="V172" s="1" t="s">
        <v>82</v>
      </c>
      <c r="W172" s="1" t="s">
        <v>82</v>
      </c>
      <c r="X172" s="1" t="s">
        <v>3541</v>
      </c>
      <c r="Y172" s="1" t="s">
        <v>3542</v>
      </c>
      <c r="Z172" s="1" t="s">
        <v>3543</v>
      </c>
      <c r="AB172" s="1" t="s">
        <v>3544</v>
      </c>
      <c r="AC172" s="1" t="s">
        <v>3545</v>
      </c>
      <c r="AD172" s="1" t="s">
        <v>206</v>
      </c>
      <c r="AE172" s="1" t="s">
        <v>3546</v>
      </c>
      <c r="AF172" s="1" t="s">
        <v>3547</v>
      </c>
      <c r="AG172" s="1" t="s">
        <v>3548</v>
      </c>
      <c r="AH172" s="1" t="s">
        <v>3549</v>
      </c>
      <c r="AI172" s="1" t="s">
        <v>3550</v>
      </c>
      <c r="AJ172" s="1" t="s">
        <v>3551</v>
      </c>
      <c r="AK172" s="1" t="s">
        <v>3552</v>
      </c>
      <c r="AL172" s="1" t="s">
        <v>3553</v>
      </c>
      <c r="AM172" s="1" t="s">
        <v>82</v>
      </c>
      <c r="AN172" s="1">
        <v>80</v>
      </c>
      <c r="AO172" s="1">
        <v>2</v>
      </c>
      <c r="AP172" s="1">
        <v>2</v>
      </c>
      <c r="AQ172" s="1">
        <v>6</v>
      </c>
      <c r="AR172" s="1">
        <v>36</v>
      </c>
      <c r="AS172" s="1" t="s">
        <v>1002</v>
      </c>
      <c r="AT172" s="1" t="s">
        <v>1003</v>
      </c>
      <c r="AU172" s="1" t="s">
        <v>1004</v>
      </c>
      <c r="AV172" s="1" t="s">
        <v>3554</v>
      </c>
      <c r="AW172" s="1" t="s">
        <v>3555</v>
      </c>
      <c r="AX172" s="1" t="s">
        <v>82</v>
      </c>
      <c r="AY172" s="1" t="s">
        <v>3556</v>
      </c>
      <c r="AZ172" s="1" t="s">
        <v>3557</v>
      </c>
      <c r="BA172" s="1" t="s">
        <v>2145</v>
      </c>
      <c r="BB172" s="1">
        <v>2022</v>
      </c>
      <c r="BC172" s="1">
        <v>31</v>
      </c>
      <c r="BD172" s="1">
        <v>5</v>
      </c>
      <c r="BE172" s="1" t="s">
        <v>82</v>
      </c>
      <c r="BF172" s="1" t="s">
        <v>82</v>
      </c>
      <c r="BG172" s="1" t="s">
        <v>82</v>
      </c>
      <c r="BH172" s="1" t="s">
        <v>82</v>
      </c>
      <c r="BI172" s="1">
        <v>1543</v>
      </c>
      <c r="BJ172" s="1">
        <v>1561</v>
      </c>
      <c r="BK172" s="1" t="s">
        <v>82</v>
      </c>
      <c r="BL172" s="1" t="s">
        <v>3558</v>
      </c>
      <c r="BM172" s="1" t="str">
        <f>HYPERLINK("http://dx.doi.org/10.1111/mec.16325","http://dx.doi.org/10.1111/mec.16325")</f>
        <v>http://dx.doi.org/10.1111/mec.16325</v>
      </c>
      <c r="BN172" s="1" t="s">
        <v>82</v>
      </c>
      <c r="BO172" s="1" t="s">
        <v>1462</v>
      </c>
      <c r="BP172" s="1">
        <v>19</v>
      </c>
      <c r="BQ172" s="1" t="s">
        <v>1788</v>
      </c>
      <c r="BR172" s="1" t="s">
        <v>104</v>
      </c>
      <c r="BS172" s="1" t="s">
        <v>1789</v>
      </c>
      <c r="BT172" s="1" t="s">
        <v>3559</v>
      </c>
      <c r="BU172" s="1">
        <v>34910340</v>
      </c>
      <c r="BV172" s="1" t="s">
        <v>353</v>
      </c>
      <c r="BW172" s="1" t="s">
        <v>82</v>
      </c>
      <c r="BX172" s="1" t="s">
        <v>82</v>
      </c>
      <c r="BY172" s="1" t="s">
        <v>108</v>
      </c>
      <c r="BZ172" s="1" t="s">
        <v>3560</v>
      </c>
      <c r="CA172" s="1" t="str">
        <f>HYPERLINK("https%3A%2F%2Fwww.webofscience.com%2Fwos%2Fwoscc%2Ffull-record%2FWOS:000736144600001","View Full Record in Web of Science")</f>
        <v>View Full Record in Web of Science</v>
      </c>
    </row>
    <row r="173" s="1" customFormat="1" ht="14.4" spans="1:79">
      <c r="A173">
        <v>172</v>
      </c>
      <c r="B173" s="2" t="s">
        <v>79</v>
      </c>
      <c r="C173" s="1" t="s">
        <v>80</v>
      </c>
      <c r="D173" s="1" t="s">
        <v>3561</v>
      </c>
      <c r="E173" s="1" t="s">
        <v>82</v>
      </c>
      <c r="F173" s="1" t="s">
        <v>82</v>
      </c>
      <c r="G173" s="1" t="s">
        <v>82</v>
      </c>
      <c r="H173" s="1" t="s">
        <v>3562</v>
      </c>
      <c r="I173" s="1" t="s">
        <v>82</v>
      </c>
      <c r="J173" s="1" t="s">
        <v>82</v>
      </c>
      <c r="K173" s="1" t="s">
        <v>3563</v>
      </c>
      <c r="L173" s="1" t="s">
        <v>3540</v>
      </c>
      <c r="M173" s="1">
        <v>6.622</v>
      </c>
      <c r="O173" s="1" t="s">
        <v>82</v>
      </c>
      <c r="P173" s="1" t="s">
        <v>82</v>
      </c>
      <c r="Q173" s="1" t="s">
        <v>87</v>
      </c>
      <c r="R173" s="1" t="s">
        <v>115</v>
      </c>
      <c r="S173" s="1" t="s">
        <v>82</v>
      </c>
      <c r="T173" s="1" t="s">
        <v>82</v>
      </c>
      <c r="U173" s="1" t="s">
        <v>82</v>
      </c>
      <c r="V173" s="1" t="s">
        <v>82</v>
      </c>
      <c r="W173" s="1" t="s">
        <v>82</v>
      </c>
      <c r="X173" s="1" t="s">
        <v>3564</v>
      </c>
      <c r="Y173" s="1" t="s">
        <v>3565</v>
      </c>
      <c r="Z173" s="1" t="s">
        <v>3566</v>
      </c>
      <c r="AA173" s="1">
        <v>1</v>
      </c>
      <c r="AB173" s="1" t="s">
        <v>3567</v>
      </c>
      <c r="AC173" s="1" t="s">
        <v>3568</v>
      </c>
      <c r="AD173" s="1" t="s">
        <v>93</v>
      </c>
      <c r="AE173" s="1" t="s">
        <v>3356</v>
      </c>
      <c r="AF173" s="1" t="s">
        <v>3569</v>
      </c>
      <c r="AG173" s="1" t="s">
        <v>3570</v>
      </c>
      <c r="AH173" s="1" t="s">
        <v>2430</v>
      </c>
      <c r="AI173" s="1" t="s">
        <v>3571</v>
      </c>
      <c r="AJ173" s="1" t="s">
        <v>3572</v>
      </c>
      <c r="AK173" s="1" t="s">
        <v>3573</v>
      </c>
      <c r="AL173" s="1" t="s">
        <v>3574</v>
      </c>
      <c r="AM173" s="1" t="s">
        <v>82</v>
      </c>
      <c r="AN173" s="1">
        <v>56</v>
      </c>
      <c r="AO173" s="1">
        <v>5</v>
      </c>
      <c r="AP173" s="1">
        <v>5</v>
      </c>
      <c r="AQ173" s="1">
        <v>15</v>
      </c>
      <c r="AR173" s="1">
        <v>72</v>
      </c>
      <c r="AS173" s="1" t="s">
        <v>1002</v>
      </c>
      <c r="AT173" s="1" t="s">
        <v>1003</v>
      </c>
      <c r="AU173" s="1" t="s">
        <v>1004</v>
      </c>
      <c r="AV173" s="1" t="s">
        <v>3554</v>
      </c>
      <c r="AW173" s="1" t="s">
        <v>3555</v>
      </c>
      <c r="AX173" s="1" t="s">
        <v>82</v>
      </c>
      <c r="AY173" s="1" t="s">
        <v>3556</v>
      </c>
      <c r="AZ173" s="1" t="s">
        <v>3557</v>
      </c>
      <c r="BA173" s="1" t="s">
        <v>397</v>
      </c>
      <c r="BB173" s="1">
        <v>2022</v>
      </c>
      <c r="BC173" s="1">
        <v>31</v>
      </c>
      <c r="BD173" s="1">
        <v>3</v>
      </c>
      <c r="BE173" s="1" t="s">
        <v>82</v>
      </c>
      <c r="BF173" s="1" t="s">
        <v>82</v>
      </c>
      <c r="BG173" s="1" t="s">
        <v>82</v>
      </c>
      <c r="BH173" s="1" t="s">
        <v>82</v>
      </c>
      <c r="BI173" s="1">
        <v>767</v>
      </c>
      <c r="BJ173" s="1">
        <v>779</v>
      </c>
      <c r="BK173" s="1" t="s">
        <v>82</v>
      </c>
      <c r="BL173" s="1" t="s">
        <v>3575</v>
      </c>
      <c r="BM173" s="1" t="str">
        <f>HYPERLINK("http://dx.doi.org/10.1111/mec.16289","http://dx.doi.org/10.1111/mec.16289")</f>
        <v>http://dx.doi.org/10.1111/mec.16289</v>
      </c>
      <c r="BN173" s="1" t="s">
        <v>82</v>
      </c>
      <c r="BO173" s="1" t="s">
        <v>1462</v>
      </c>
      <c r="BP173" s="1">
        <v>13</v>
      </c>
      <c r="BQ173" s="1" t="s">
        <v>1788</v>
      </c>
      <c r="BR173" s="1" t="s">
        <v>104</v>
      </c>
      <c r="BS173" s="1" t="s">
        <v>1789</v>
      </c>
      <c r="BT173" s="1" t="s">
        <v>3576</v>
      </c>
      <c r="BU173" s="1">
        <v>34826164</v>
      </c>
      <c r="BV173" s="1" t="s">
        <v>353</v>
      </c>
      <c r="BW173" s="1" t="s">
        <v>82</v>
      </c>
      <c r="BX173" s="1" t="s">
        <v>82</v>
      </c>
      <c r="BY173" s="1" t="s">
        <v>108</v>
      </c>
      <c r="BZ173" s="1" t="s">
        <v>3577</v>
      </c>
      <c r="CA173" s="1" t="str">
        <f>HYPERLINK("https%3A%2F%2Fwww.webofscience.com%2Fwos%2Fwoscc%2Ffull-record%2FWOS:000725924100001","View Full Record in Web of Science")</f>
        <v>View Full Record in Web of Science</v>
      </c>
    </row>
    <row r="174" s="1" customFormat="1" ht="14.4" spans="1:79">
      <c r="A174">
        <v>173</v>
      </c>
      <c r="B174" s="2" t="s">
        <v>79</v>
      </c>
      <c r="C174" s="1" t="s">
        <v>80</v>
      </c>
      <c r="D174" s="1" t="s">
        <v>3578</v>
      </c>
      <c r="E174" s="1" t="s">
        <v>82</v>
      </c>
      <c r="F174" s="1" t="s">
        <v>82</v>
      </c>
      <c r="G174" s="1" t="s">
        <v>82</v>
      </c>
      <c r="H174" s="1" t="s">
        <v>3579</v>
      </c>
      <c r="I174" s="1" t="s">
        <v>82</v>
      </c>
      <c r="J174" s="1" t="s">
        <v>82</v>
      </c>
      <c r="K174" s="1" t="s">
        <v>3580</v>
      </c>
      <c r="L174" s="1" t="s">
        <v>3581</v>
      </c>
      <c r="M174" s="1">
        <v>6.608</v>
      </c>
      <c r="O174" s="1" t="s">
        <v>82</v>
      </c>
      <c r="P174" s="1" t="s">
        <v>82</v>
      </c>
      <c r="Q174" s="1" t="s">
        <v>87</v>
      </c>
      <c r="R174" s="1" t="s">
        <v>115</v>
      </c>
      <c r="S174" s="1" t="s">
        <v>82</v>
      </c>
      <c r="T174" s="1" t="s">
        <v>82</v>
      </c>
      <c r="U174" s="1" t="s">
        <v>82</v>
      </c>
      <c r="V174" s="1" t="s">
        <v>82</v>
      </c>
      <c r="W174" s="1" t="s">
        <v>82</v>
      </c>
      <c r="X174" s="1" t="s">
        <v>3582</v>
      </c>
      <c r="Y174" s="1" t="s">
        <v>3583</v>
      </c>
      <c r="Z174" s="1" t="s">
        <v>3584</v>
      </c>
      <c r="AB174" s="1" t="s">
        <v>322</v>
      </c>
      <c r="AC174" s="1" t="s">
        <v>3585</v>
      </c>
      <c r="AD174" s="1" t="s">
        <v>120</v>
      </c>
      <c r="AE174" s="1" t="s">
        <v>3586</v>
      </c>
      <c r="AF174" s="1" t="s">
        <v>3587</v>
      </c>
      <c r="AG174" s="1" t="s">
        <v>3588</v>
      </c>
      <c r="AH174" s="1" t="s">
        <v>82</v>
      </c>
      <c r="AI174" s="1" t="s">
        <v>82</v>
      </c>
      <c r="AJ174" s="1" t="s">
        <v>3589</v>
      </c>
      <c r="AK174" s="1" t="s">
        <v>3590</v>
      </c>
      <c r="AL174" s="1" t="s">
        <v>3591</v>
      </c>
      <c r="AM174" s="1" t="s">
        <v>82</v>
      </c>
      <c r="AN174" s="1">
        <v>23</v>
      </c>
      <c r="AO174" s="1">
        <v>1</v>
      </c>
      <c r="AP174" s="1">
        <v>2</v>
      </c>
      <c r="AQ174" s="1">
        <v>5</v>
      </c>
      <c r="AR174" s="1">
        <v>11</v>
      </c>
      <c r="AS174" s="1" t="s">
        <v>3592</v>
      </c>
      <c r="AT174" s="1" t="s">
        <v>3593</v>
      </c>
      <c r="AU174" s="1" t="s">
        <v>3594</v>
      </c>
      <c r="AV174" s="1" t="s">
        <v>3595</v>
      </c>
      <c r="AW174" s="1" t="s">
        <v>3596</v>
      </c>
      <c r="AX174" s="1" t="s">
        <v>82</v>
      </c>
      <c r="AY174" s="1" t="s">
        <v>3597</v>
      </c>
      <c r="AZ174" s="1" t="s">
        <v>3598</v>
      </c>
      <c r="BA174" s="1" t="s">
        <v>82</v>
      </c>
      <c r="BB174" s="1">
        <v>2022</v>
      </c>
      <c r="BC174" s="1">
        <v>42</v>
      </c>
      <c r="BD174" s="1">
        <v>4</v>
      </c>
      <c r="BE174" s="1" t="s">
        <v>82</v>
      </c>
      <c r="BF174" s="1" t="s">
        <v>82</v>
      </c>
      <c r="BG174" s="1" t="s">
        <v>82</v>
      </c>
      <c r="BH174" s="1" t="s">
        <v>82</v>
      </c>
      <c r="BI174" s="1">
        <v>655</v>
      </c>
      <c r="BJ174" s="1">
        <v>658</v>
      </c>
      <c r="BK174" s="1" t="s">
        <v>82</v>
      </c>
      <c r="BL174" s="1" t="s">
        <v>3599</v>
      </c>
      <c r="BM174" s="1" t="str">
        <f>HYPERLINK("http://dx.doi.org/10.1127/entomologia/2022/1409","http://dx.doi.org/10.1127/entomologia/2022/1409")</f>
        <v>http://dx.doi.org/10.1127/entomologia/2022/1409</v>
      </c>
      <c r="BN174" s="1" t="s">
        <v>82</v>
      </c>
      <c r="BO174" s="1" t="s">
        <v>296</v>
      </c>
      <c r="BP174" s="1">
        <v>4</v>
      </c>
      <c r="BQ174" s="1" t="s">
        <v>3600</v>
      </c>
      <c r="BR174" s="1" t="s">
        <v>104</v>
      </c>
      <c r="BS174" s="1" t="s">
        <v>3600</v>
      </c>
      <c r="BT174" s="1" t="s">
        <v>3601</v>
      </c>
      <c r="BU174" s="1" t="s">
        <v>82</v>
      </c>
      <c r="BV174" s="1" t="s">
        <v>82</v>
      </c>
      <c r="BW174" s="1" t="s">
        <v>82</v>
      </c>
      <c r="BX174" s="1" t="s">
        <v>82</v>
      </c>
      <c r="BY174" s="1" t="s">
        <v>108</v>
      </c>
      <c r="BZ174" s="1" t="s">
        <v>3602</v>
      </c>
      <c r="CA174" s="1" t="str">
        <f>HYPERLINK("https%3A%2F%2Fwww.webofscience.com%2Fwos%2Fwoscc%2Ffull-record%2FWOS:000761957400001","View Full Record in Web of Science")</f>
        <v>View Full Record in Web of Science</v>
      </c>
    </row>
    <row r="175" s="1" customFormat="1" ht="14.4" spans="1:79">
      <c r="A175">
        <v>174</v>
      </c>
      <c r="B175" s="2" t="s">
        <v>79</v>
      </c>
      <c r="C175" s="1" t="s">
        <v>80</v>
      </c>
      <c r="D175" s="1" t="s">
        <v>3603</v>
      </c>
      <c r="E175" s="1" t="s">
        <v>82</v>
      </c>
      <c r="F175" s="1" t="s">
        <v>82</v>
      </c>
      <c r="G175" s="1" t="s">
        <v>82</v>
      </c>
      <c r="H175" s="1" t="s">
        <v>3604</v>
      </c>
      <c r="I175" s="1" t="s">
        <v>82</v>
      </c>
      <c r="J175" s="1" t="s">
        <v>82</v>
      </c>
      <c r="K175" s="1" t="s">
        <v>3605</v>
      </c>
      <c r="L175" s="1" t="s">
        <v>3606</v>
      </c>
      <c r="M175" s="1">
        <v>6.605</v>
      </c>
      <c r="O175" s="1" t="s">
        <v>82</v>
      </c>
      <c r="P175" s="1" t="s">
        <v>82</v>
      </c>
      <c r="Q175" s="1" t="s">
        <v>87</v>
      </c>
      <c r="R175" s="1" t="s">
        <v>115</v>
      </c>
      <c r="S175" s="1" t="s">
        <v>82</v>
      </c>
      <c r="T175" s="1" t="s">
        <v>82</v>
      </c>
      <c r="U175" s="1" t="s">
        <v>82</v>
      </c>
      <c r="V175" s="1" t="s">
        <v>82</v>
      </c>
      <c r="W175" s="1" t="s">
        <v>82</v>
      </c>
      <c r="X175" s="1" t="s">
        <v>3607</v>
      </c>
      <c r="Y175" s="1" t="s">
        <v>3608</v>
      </c>
      <c r="Z175" s="1" t="s">
        <v>3609</v>
      </c>
      <c r="AB175" s="1" t="s">
        <v>2093</v>
      </c>
      <c r="AC175" s="1" t="s">
        <v>3610</v>
      </c>
      <c r="AD175" s="1" t="s">
        <v>206</v>
      </c>
      <c r="AE175" s="1" t="s">
        <v>3611</v>
      </c>
      <c r="AF175" s="1" t="s">
        <v>3612</v>
      </c>
      <c r="AG175" s="1" t="s">
        <v>2097</v>
      </c>
      <c r="AH175" s="1" t="s">
        <v>82</v>
      </c>
      <c r="AI175" s="1" t="s">
        <v>82</v>
      </c>
      <c r="AJ175" s="1" t="s">
        <v>3613</v>
      </c>
      <c r="AK175" s="1" t="s">
        <v>3614</v>
      </c>
      <c r="AL175" s="1" t="s">
        <v>3615</v>
      </c>
      <c r="AM175" s="1" t="s">
        <v>82</v>
      </c>
      <c r="AN175" s="1">
        <v>62</v>
      </c>
      <c r="AO175" s="1">
        <v>3</v>
      </c>
      <c r="AP175" s="1">
        <v>3</v>
      </c>
      <c r="AQ175" s="1">
        <v>8</v>
      </c>
      <c r="AR175" s="1">
        <v>8</v>
      </c>
      <c r="AS175" s="1" t="s">
        <v>215</v>
      </c>
      <c r="AT175" s="1" t="s">
        <v>216</v>
      </c>
      <c r="AU175" s="1" t="s">
        <v>217</v>
      </c>
      <c r="AV175" s="1" t="s">
        <v>3616</v>
      </c>
      <c r="AW175" s="1" t="s">
        <v>3617</v>
      </c>
      <c r="AX175" s="1" t="s">
        <v>82</v>
      </c>
      <c r="AY175" s="1" t="s">
        <v>3618</v>
      </c>
      <c r="AZ175" s="1" t="s">
        <v>3619</v>
      </c>
      <c r="BA175" s="1" t="s">
        <v>1340</v>
      </c>
      <c r="BB175" s="1">
        <v>2022</v>
      </c>
      <c r="BC175" s="1">
        <v>58</v>
      </c>
      <c r="BD175" s="1">
        <v>7</v>
      </c>
      <c r="BE175" s="1" t="s">
        <v>82</v>
      </c>
      <c r="BF175" s="1" t="s">
        <v>82</v>
      </c>
      <c r="BG175" s="1" t="s">
        <v>82</v>
      </c>
      <c r="BH175" s="1" t="s">
        <v>82</v>
      </c>
      <c r="BI175" s="1">
        <v>733</v>
      </c>
      <c r="BJ175" s="1">
        <v>743</v>
      </c>
      <c r="BK175" s="1" t="s">
        <v>82</v>
      </c>
      <c r="BL175" s="1" t="s">
        <v>3620</v>
      </c>
      <c r="BM175" s="1" t="str">
        <f>HYPERLINK("http://dx.doi.org/10.1007/s00374-022-01659-4","http://dx.doi.org/10.1007/s00374-022-01659-4")</f>
        <v>http://dx.doi.org/10.1007/s00374-022-01659-4</v>
      </c>
      <c r="BN175" s="1" t="s">
        <v>82</v>
      </c>
      <c r="BO175" s="1" t="s">
        <v>424</v>
      </c>
      <c r="BP175" s="1">
        <v>11</v>
      </c>
      <c r="BQ175" s="1" t="s">
        <v>1880</v>
      </c>
      <c r="BR175" s="1" t="s">
        <v>104</v>
      </c>
      <c r="BS175" s="1" t="s">
        <v>1881</v>
      </c>
      <c r="BT175" s="1" t="s">
        <v>3621</v>
      </c>
      <c r="BU175" s="1" t="s">
        <v>82</v>
      </c>
      <c r="BV175" s="1" t="s">
        <v>82</v>
      </c>
      <c r="BW175" s="1" t="s">
        <v>82</v>
      </c>
      <c r="BX175" s="1" t="s">
        <v>82</v>
      </c>
      <c r="BY175" s="1" t="s">
        <v>108</v>
      </c>
      <c r="BZ175" s="1" t="s">
        <v>3622</v>
      </c>
      <c r="CA175" s="1" t="str">
        <f>HYPERLINK("https%3A%2F%2Fwww.webofscience.com%2Fwos%2Fwoscc%2Ffull-record%2FWOS:000840626200001","View Full Record in Web of Science")</f>
        <v>View Full Record in Web of Science</v>
      </c>
    </row>
    <row r="176" s="1" customFormat="1" ht="14.4" spans="1:79">
      <c r="A176">
        <v>175</v>
      </c>
      <c r="B176" s="2" t="s">
        <v>110</v>
      </c>
      <c r="C176" s="1" t="s">
        <v>80</v>
      </c>
      <c r="D176" s="1" t="s">
        <v>3623</v>
      </c>
      <c r="E176" s="1" t="s">
        <v>82</v>
      </c>
      <c r="F176" s="1" t="s">
        <v>82</v>
      </c>
      <c r="G176" s="1" t="s">
        <v>82</v>
      </c>
      <c r="H176" s="1" t="s">
        <v>3624</v>
      </c>
      <c r="I176" s="1" t="s">
        <v>82</v>
      </c>
      <c r="J176" s="1" t="s">
        <v>82</v>
      </c>
      <c r="K176" s="1" t="s">
        <v>3625</v>
      </c>
      <c r="L176" s="1" t="s">
        <v>3626</v>
      </c>
      <c r="M176" s="1">
        <v>6.575</v>
      </c>
      <c r="O176" s="1" t="s">
        <v>82</v>
      </c>
      <c r="P176" s="1" t="s">
        <v>82</v>
      </c>
      <c r="Q176" s="1" t="s">
        <v>87</v>
      </c>
      <c r="R176" s="1" t="s">
        <v>115</v>
      </c>
      <c r="S176" s="1" t="s">
        <v>82</v>
      </c>
      <c r="T176" s="1" t="s">
        <v>82</v>
      </c>
      <c r="U176" s="1" t="s">
        <v>82</v>
      </c>
      <c r="V176" s="1" t="s">
        <v>82</v>
      </c>
      <c r="W176" s="1" t="s">
        <v>82</v>
      </c>
      <c r="X176" s="1" t="s">
        <v>3627</v>
      </c>
      <c r="Y176" s="1" t="s">
        <v>3628</v>
      </c>
      <c r="Z176" s="1" t="s">
        <v>3629</v>
      </c>
      <c r="AB176" s="1" t="s">
        <v>3630</v>
      </c>
      <c r="AC176" s="1" t="s">
        <v>3631</v>
      </c>
      <c r="AD176" s="1" t="s">
        <v>206</v>
      </c>
      <c r="AE176" s="1" t="s">
        <v>3632</v>
      </c>
      <c r="AF176" s="1" t="s">
        <v>3633</v>
      </c>
      <c r="AG176" s="1" t="s">
        <v>3634</v>
      </c>
      <c r="AH176" s="1" t="s">
        <v>82</v>
      </c>
      <c r="AI176" s="1" t="s">
        <v>3635</v>
      </c>
      <c r="AJ176" s="1" t="s">
        <v>3636</v>
      </c>
      <c r="AK176" s="1" t="s">
        <v>3637</v>
      </c>
      <c r="AL176" s="1" t="s">
        <v>3638</v>
      </c>
      <c r="AM176" s="1" t="s">
        <v>82</v>
      </c>
      <c r="AN176" s="1">
        <v>43</v>
      </c>
      <c r="AO176" s="1">
        <v>0</v>
      </c>
      <c r="AP176" s="1">
        <v>0</v>
      </c>
      <c r="AQ176" s="1">
        <v>13</v>
      </c>
      <c r="AR176" s="1">
        <v>21</v>
      </c>
      <c r="AS176" s="1" t="s">
        <v>1002</v>
      </c>
      <c r="AT176" s="1" t="s">
        <v>1003</v>
      </c>
      <c r="AU176" s="1" t="s">
        <v>1004</v>
      </c>
      <c r="AV176" s="1" t="s">
        <v>3639</v>
      </c>
      <c r="AW176" s="1" t="s">
        <v>3640</v>
      </c>
      <c r="AX176" s="1" t="s">
        <v>82</v>
      </c>
      <c r="AY176" s="1" t="s">
        <v>3641</v>
      </c>
      <c r="AZ176" s="1" t="s">
        <v>3642</v>
      </c>
      <c r="BA176" s="1" t="s">
        <v>2521</v>
      </c>
      <c r="BB176" s="1">
        <v>2022</v>
      </c>
      <c r="BC176" s="1">
        <v>66</v>
      </c>
      <c r="BD176" s="1">
        <v>16</v>
      </c>
      <c r="BE176" s="1" t="s">
        <v>82</v>
      </c>
      <c r="BF176" s="1" t="s">
        <v>82</v>
      </c>
      <c r="BG176" s="1" t="s">
        <v>82</v>
      </c>
      <c r="BH176" s="1" t="s">
        <v>82</v>
      </c>
      <c r="BI176" s="1" t="s">
        <v>82</v>
      </c>
      <c r="BJ176" s="1" t="s">
        <v>82</v>
      </c>
      <c r="BK176" s="1">
        <v>2200126</v>
      </c>
      <c r="BL176" s="1" t="s">
        <v>3643</v>
      </c>
      <c r="BM176" s="1" t="str">
        <f>HYPERLINK("http://dx.doi.org/10.1002/mnfr.202200126","http://dx.doi.org/10.1002/mnfr.202200126")</f>
        <v>http://dx.doi.org/10.1002/mnfr.202200126</v>
      </c>
      <c r="BN176" s="1" t="s">
        <v>82</v>
      </c>
      <c r="BO176" s="1" t="s">
        <v>1298</v>
      </c>
      <c r="BP176" s="1">
        <v>9</v>
      </c>
      <c r="BQ176" s="1" t="s">
        <v>3644</v>
      </c>
      <c r="BR176" s="1" t="s">
        <v>104</v>
      </c>
      <c r="BS176" s="1" t="s">
        <v>3644</v>
      </c>
      <c r="BT176" s="1" t="s">
        <v>3645</v>
      </c>
      <c r="BU176" s="1">
        <v>35712860</v>
      </c>
      <c r="BV176" s="1" t="s">
        <v>82</v>
      </c>
      <c r="BW176" s="1" t="s">
        <v>82</v>
      </c>
      <c r="BX176" s="1" t="s">
        <v>82</v>
      </c>
      <c r="BY176" s="1" t="s">
        <v>108</v>
      </c>
      <c r="BZ176" s="1" t="s">
        <v>3646</v>
      </c>
      <c r="CA176" s="1" t="str">
        <f>HYPERLINK("https%3A%2F%2Fwww.webofscience.com%2Fwos%2Fwoscc%2Ffull-record%2FWOS:000815624200001","View Full Record in Web of Science")</f>
        <v>View Full Record in Web of Science</v>
      </c>
    </row>
    <row r="177" s="1" customFormat="1" ht="14.4" spans="1:79">
      <c r="A177">
        <v>176</v>
      </c>
      <c r="B177" s="2" t="s">
        <v>79</v>
      </c>
      <c r="C177" s="1" t="s">
        <v>80</v>
      </c>
      <c r="D177" s="1" t="s">
        <v>3647</v>
      </c>
      <c r="E177" s="1" t="s">
        <v>82</v>
      </c>
      <c r="F177" s="1" t="s">
        <v>82</v>
      </c>
      <c r="G177" s="1" t="s">
        <v>82</v>
      </c>
      <c r="H177" s="1" t="s">
        <v>3648</v>
      </c>
      <c r="I177" s="1" t="s">
        <v>82</v>
      </c>
      <c r="J177" s="1" t="s">
        <v>82</v>
      </c>
      <c r="K177" s="1" t="s">
        <v>3649</v>
      </c>
      <c r="L177" s="1" t="s">
        <v>3650</v>
      </c>
      <c r="M177" s="1">
        <v>6.449</v>
      </c>
      <c r="O177" s="1" t="s">
        <v>82</v>
      </c>
      <c r="P177" s="1" t="s">
        <v>82</v>
      </c>
      <c r="Q177" s="1" t="s">
        <v>87</v>
      </c>
      <c r="R177" s="1" t="s">
        <v>115</v>
      </c>
      <c r="S177" s="1" t="s">
        <v>82</v>
      </c>
      <c r="T177" s="1" t="s">
        <v>82</v>
      </c>
      <c r="U177" s="1" t="s">
        <v>82</v>
      </c>
      <c r="V177" s="1" t="s">
        <v>82</v>
      </c>
      <c r="W177" s="1" t="s">
        <v>82</v>
      </c>
      <c r="X177" s="1" t="s">
        <v>3651</v>
      </c>
      <c r="Y177" s="1" t="s">
        <v>3652</v>
      </c>
      <c r="Z177" s="1" t="s">
        <v>3653</v>
      </c>
      <c r="AB177" s="1" t="s">
        <v>3654</v>
      </c>
      <c r="AC177" s="1" t="s">
        <v>3655</v>
      </c>
      <c r="AD177" s="1" t="s">
        <v>206</v>
      </c>
      <c r="AE177" s="1" t="s">
        <v>3656</v>
      </c>
      <c r="AF177" s="1" t="s">
        <v>3657</v>
      </c>
      <c r="AG177" s="1" t="s">
        <v>3658</v>
      </c>
      <c r="AH177" s="1" t="s">
        <v>82</v>
      </c>
      <c r="AI177" s="1" t="s">
        <v>82</v>
      </c>
      <c r="AJ177" s="1" t="s">
        <v>3659</v>
      </c>
      <c r="AK177" s="1" t="s">
        <v>3660</v>
      </c>
      <c r="AL177" s="1" t="s">
        <v>3661</v>
      </c>
      <c r="AM177" s="1" t="s">
        <v>82</v>
      </c>
      <c r="AN177" s="1">
        <v>78</v>
      </c>
      <c r="AO177" s="1">
        <v>0</v>
      </c>
      <c r="AP177" s="1">
        <v>0</v>
      </c>
      <c r="AQ177" s="1">
        <v>16</v>
      </c>
      <c r="AR177" s="1">
        <v>18</v>
      </c>
      <c r="AS177" s="1" t="s">
        <v>479</v>
      </c>
      <c r="AT177" s="1" t="s">
        <v>480</v>
      </c>
      <c r="AU177" s="1" t="s">
        <v>481</v>
      </c>
      <c r="AV177" s="1" t="s">
        <v>3662</v>
      </c>
      <c r="AW177" s="1" t="s">
        <v>3663</v>
      </c>
      <c r="AX177" s="1" t="s">
        <v>82</v>
      </c>
      <c r="AY177" s="1" t="s">
        <v>3664</v>
      </c>
      <c r="AZ177" s="1" t="s">
        <v>3665</v>
      </c>
      <c r="BA177" s="1" t="s">
        <v>1296</v>
      </c>
      <c r="BB177" s="1">
        <v>2022</v>
      </c>
      <c r="BC177" s="1">
        <v>184</v>
      </c>
      <c r="BD177" s="1" t="s">
        <v>82</v>
      </c>
      <c r="BE177" s="1" t="s">
        <v>82</v>
      </c>
      <c r="BF177" s="1" t="s">
        <v>82</v>
      </c>
      <c r="BG177" s="1" t="s">
        <v>82</v>
      </c>
      <c r="BH177" s="1" t="s">
        <v>82</v>
      </c>
      <c r="BI177" s="1" t="s">
        <v>82</v>
      </c>
      <c r="BJ177" s="1" t="s">
        <v>82</v>
      </c>
      <c r="BK177" s="1">
        <v>115056</v>
      </c>
      <c r="BL177" s="1" t="s">
        <v>3666</v>
      </c>
      <c r="BM177" s="1" t="str">
        <f>HYPERLINK("http://dx.doi.org/10.1016/j.indcrop.2022.115056","http://dx.doi.org/10.1016/j.indcrop.2022.115056")</f>
        <v>http://dx.doi.org/10.1016/j.indcrop.2022.115056</v>
      </c>
      <c r="BN177" s="1" t="s">
        <v>82</v>
      </c>
      <c r="BO177" s="1" t="s">
        <v>247</v>
      </c>
      <c r="BP177" s="1">
        <v>12</v>
      </c>
      <c r="BQ177" s="1" t="s">
        <v>3667</v>
      </c>
      <c r="BR177" s="1" t="s">
        <v>104</v>
      </c>
      <c r="BS177" s="1" t="s">
        <v>1881</v>
      </c>
      <c r="BT177" s="1" t="s">
        <v>3668</v>
      </c>
      <c r="BU177" s="1" t="s">
        <v>82</v>
      </c>
      <c r="BV177" s="1" t="s">
        <v>82</v>
      </c>
      <c r="BW177" s="1" t="s">
        <v>82</v>
      </c>
      <c r="BX177" s="1" t="s">
        <v>82</v>
      </c>
      <c r="BY177" s="1" t="s">
        <v>108</v>
      </c>
      <c r="BZ177" s="1" t="s">
        <v>3669</v>
      </c>
      <c r="CA177" s="1" t="str">
        <f>HYPERLINK("https%3A%2F%2Fwww.webofscience.com%2Fwos%2Fwoscc%2Ffull-record%2FWOS:000802702800004","View Full Record in Web of Science")</f>
        <v>View Full Record in Web of Science</v>
      </c>
    </row>
    <row r="178" s="1" customFormat="1" ht="14.4" spans="1:79">
      <c r="A178">
        <v>177</v>
      </c>
      <c r="B178" s="2" t="s">
        <v>110</v>
      </c>
      <c r="C178" s="1" t="s">
        <v>80</v>
      </c>
      <c r="D178" s="1" t="s">
        <v>3670</v>
      </c>
      <c r="E178" s="1" t="s">
        <v>82</v>
      </c>
      <c r="F178" s="1" t="s">
        <v>82</v>
      </c>
      <c r="G178" s="1" t="s">
        <v>82</v>
      </c>
      <c r="H178" s="1" t="s">
        <v>3671</v>
      </c>
      <c r="I178" s="1" t="s">
        <v>82</v>
      </c>
      <c r="J178" s="1" t="s">
        <v>82</v>
      </c>
      <c r="K178" s="1" t="s">
        <v>3672</v>
      </c>
      <c r="L178" s="1" t="s">
        <v>3650</v>
      </c>
      <c r="M178" s="1">
        <v>6.449</v>
      </c>
      <c r="O178" s="1" t="s">
        <v>82</v>
      </c>
      <c r="P178" s="1" t="s">
        <v>82</v>
      </c>
      <c r="Q178" s="1" t="s">
        <v>87</v>
      </c>
      <c r="R178" s="1" t="s">
        <v>115</v>
      </c>
      <c r="S178" s="1" t="s">
        <v>82</v>
      </c>
      <c r="T178" s="1" t="s">
        <v>82</v>
      </c>
      <c r="U178" s="1" t="s">
        <v>82</v>
      </c>
      <c r="V178" s="1" t="s">
        <v>82</v>
      </c>
      <c r="W178" s="1" t="s">
        <v>82</v>
      </c>
      <c r="X178" s="1" t="s">
        <v>3673</v>
      </c>
      <c r="Y178" s="1" t="s">
        <v>3674</v>
      </c>
      <c r="Z178" s="1" t="s">
        <v>3675</v>
      </c>
      <c r="AA178" s="1">
        <v>1</v>
      </c>
      <c r="AB178" s="1" t="s">
        <v>3676</v>
      </c>
      <c r="AC178" s="1" t="s">
        <v>3677</v>
      </c>
      <c r="AD178" s="1" t="s">
        <v>93</v>
      </c>
      <c r="AE178" s="1" t="s">
        <v>3678</v>
      </c>
      <c r="AF178" s="1" t="s">
        <v>3679</v>
      </c>
      <c r="AG178" s="1" t="s">
        <v>1552</v>
      </c>
      <c r="AH178" s="1" t="s">
        <v>82</v>
      </c>
      <c r="AI178" s="1" t="s">
        <v>82</v>
      </c>
      <c r="AJ178" s="1" t="s">
        <v>3680</v>
      </c>
      <c r="AK178" s="1" t="s">
        <v>3681</v>
      </c>
      <c r="AL178" s="1" t="s">
        <v>3682</v>
      </c>
      <c r="AM178" s="1" t="s">
        <v>82</v>
      </c>
      <c r="AN178" s="1">
        <v>80</v>
      </c>
      <c r="AO178" s="1">
        <v>1</v>
      </c>
      <c r="AP178" s="1">
        <v>1</v>
      </c>
      <c r="AQ178" s="1">
        <v>6</v>
      </c>
      <c r="AR178" s="1">
        <v>13</v>
      </c>
      <c r="AS178" s="1" t="s">
        <v>479</v>
      </c>
      <c r="AT178" s="1" t="s">
        <v>480</v>
      </c>
      <c r="AU178" s="1" t="s">
        <v>481</v>
      </c>
      <c r="AV178" s="1" t="s">
        <v>3662</v>
      </c>
      <c r="AW178" s="1" t="s">
        <v>3663</v>
      </c>
      <c r="AX178" s="1" t="s">
        <v>82</v>
      </c>
      <c r="AY178" s="1" t="s">
        <v>3664</v>
      </c>
      <c r="AZ178" s="1" t="s">
        <v>3665</v>
      </c>
      <c r="BA178" s="1" t="s">
        <v>1403</v>
      </c>
      <c r="BB178" s="1">
        <v>2022</v>
      </c>
      <c r="BC178" s="1">
        <v>181</v>
      </c>
      <c r="BD178" s="1" t="s">
        <v>82</v>
      </c>
      <c r="BE178" s="1" t="s">
        <v>82</v>
      </c>
      <c r="BF178" s="1" t="s">
        <v>82</v>
      </c>
      <c r="BG178" s="1" t="s">
        <v>82</v>
      </c>
      <c r="BH178" s="1" t="s">
        <v>82</v>
      </c>
      <c r="BI178" s="1" t="s">
        <v>82</v>
      </c>
      <c r="BJ178" s="1" t="s">
        <v>82</v>
      </c>
      <c r="BK178" s="1">
        <v>114814</v>
      </c>
      <c r="BL178" s="1" t="s">
        <v>3683</v>
      </c>
      <c r="BM178" s="1" t="str">
        <f>HYPERLINK("http://dx.doi.org/10.1016/j.indcrop.2022.114814","http://dx.doi.org/10.1016/j.indcrop.2022.114814")</f>
        <v>http://dx.doi.org/10.1016/j.indcrop.2022.114814</v>
      </c>
      <c r="BN178" s="1" t="s">
        <v>82</v>
      </c>
      <c r="BO178" s="1" t="s">
        <v>282</v>
      </c>
      <c r="BP178" s="1">
        <v>10</v>
      </c>
      <c r="BQ178" s="1" t="s">
        <v>3667</v>
      </c>
      <c r="BR178" s="1" t="s">
        <v>104</v>
      </c>
      <c r="BS178" s="1" t="s">
        <v>1881</v>
      </c>
      <c r="BT178" s="1" t="s">
        <v>3684</v>
      </c>
      <c r="BU178" s="1" t="s">
        <v>82</v>
      </c>
      <c r="BV178" s="1" t="s">
        <v>82</v>
      </c>
      <c r="BW178" s="1" t="s">
        <v>82</v>
      </c>
      <c r="BX178" s="1" t="s">
        <v>82</v>
      </c>
      <c r="BY178" s="1" t="s">
        <v>108</v>
      </c>
      <c r="BZ178" s="1" t="s">
        <v>3685</v>
      </c>
      <c r="CA178" s="1" t="str">
        <f>HYPERLINK("https%3A%2F%2Fwww.webofscience.com%2Fwos%2Fwoscc%2Ffull-record%2FWOS:000790555400001","View Full Record in Web of Science")</f>
        <v>View Full Record in Web of Science</v>
      </c>
    </row>
    <row r="179" s="1" customFormat="1" ht="14.4" spans="1:79">
      <c r="A179">
        <v>178</v>
      </c>
      <c r="B179" s="2" t="s">
        <v>79</v>
      </c>
      <c r="C179" s="1" t="s">
        <v>80</v>
      </c>
      <c r="D179" s="1" t="s">
        <v>3686</v>
      </c>
      <c r="E179" s="1" t="s">
        <v>82</v>
      </c>
      <c r="F179" s="1" t="s">
        <v>82</v>
      </c>
      <c r="G179" s="1" t="s">
        <v>82</v>
      </c>
      <c r="H179" s="1" t="s">
        <v>3687</v>
      </c>
      <c r="I179" s="1" t="s">
        <v>82</v>
      </c>
      <c r="J179" s="1" t="s">
        <v>82</v>
      </c>
      <c r="K179" s="1" t="s">
        <v>3688</v>
      </c>
      <c r="L179" s="1" t="s">
        <v>3650</v>
      </c>
      <c r="M179" s="1">
        <v>6.449</v>
      </c>
      <c r="O179" s="1" t="s">
        <v>82</v>
      </c>
      <c r="P179" s="1" t="s">
        <v>82</v>
      </c>
      <c r="Q179" s="1" t="s">
        <v>87</v>
      </c>
      <c r="R179" s="1" t="s">
        <v>115</v>
      </c>
      <c r="S179" s="1" t="s">
        <v>82</v>
      </c>
      <c r="T179" s="1" t="s">
        <v>82</v>
      </c>
      <c r="U179" s="1" t="s">
        <v>82</v>
      </c>
      <c r="V179" s="1" t="s">
        <v>82</v>
      </c>
      <c r="W179" s="1" t="s">
        <v>82</v>
      </c>
      <c r="X179" s="1" t="s">
        <v>3689</v>
      </c>
      <c r="Y179" s="1" t="s">
        <v>3690</v>
      </c>
      <c r="Z179" s="1" t="s">
        <v>3691</v>
      </c>
      <c r="AB179" s="1" t="s">
        <v>3692</v>
      </c>
      <c r="AC179" s="1" t="s">
        <v>3693</v>
      </c>
      <c r="AD179" s="1" t="s">
        <v>206</v>
      </c>
      <c r="AE179" s="1" t="s">
        <v>3694</v>
      </c>
      <c r="AF179" s="1" t="s">
        <v>3695</v>
      </c>
      <c r="AG179" s="1" t="s">
        <v>3696</v>
      </c>
      <c r="AH179" s="1" t="s">
        <v>82</v>
      </c>
      <c r="AI179" s="1" t="s">
        <v>2414</v>
      </c>
      <c r="AJ179" s="1" t="s">
        <v>3697</v>
      </c>
      <c r="AK179" s="1" t="s">
        <v>3698</v>
      </c>
      <c r="AL179" s="1" t="s">
        <v>3699</v>
      </c>
      <c r="AM179" s="1" t="s">
        <v>82</v>
      </c>
      <c r="AN179" s="1">
        <v>67</v>
      </c>
      <c r="AO179" s="1">
        <v>0</v>
      </c>
      <c r="AP179" s="1">
        <v>0</v>
      </c>
      <c r="AQ179" s="1">
        <v>7</v>
      </c>
      <c r="AR179" s="1">
        <v>19</v>
      </c>
      <c r="AS179" s="1" t="s">
        <v>479</v>
      </c>
      <c r="AT179" s="1" t="s">
        <v>480</v>
      </c>
      <c r="AU179" s="1" t="s">
        <v>481</v>
      </c>
      <c r="AV179" s="1" t="s">
        <v>3662</v>
      </c>
      <c r="AW179" s="1" t="s">
        <v>3663</v>
      </c>
      <c r="AX179" s="1" t="s">
        <v>82</v>
      </c>
      <c r="AY179" s="1" t="s">
        <v>3664</v>
      </c>
      <c r="AZ179" s="1" t="s">
        <v>3665</v>
      </c>
      <c r="BA179" s="1" t="s">
        <v>1146</v>
      </c>
      <c r="BB179" s="1">
        <v>2022</v>
      </c>
      <c r="BC179" s="1">
        <v>180</v>
      </c>
      <c r="BD179" s="1" t="s">
        <v>82</v>
      </c>
      <c r="BE179" s="1" t="s">
        <v>82</v>
      </c>
      <c r="BF179" s="1" t="s">
        <v>82</v>
      </c>
      <c r="BG179" s="1" t="s">
        <v>82</v>
      </c>
      <c r="BH179" s="1" t="s">
        <v>82</v>
      </c>
      <c r="BI179" s="1" t="s">
        <v>82</v>
      </c>
      <c r="BJ179" s="1" t="s">
        <v>82</v>
      </c>
      <c r="BK179" s="1">
        <v>114702</v>
      </c>
      <c r="BL179" s="1" t="s">
        <v>3700</v>
      </c>
      <c r="BM179" s="1" t="str">
        <f>HYPERLINK("http://dx.doi.org/10.1016/j.indcrop.2022.114702","http://dx.doi.org/10.1016/j.indcrop.2022.114702")</f>
        <v>http://dx.doi.org/10.1016/j.indcrop.2022.114702</v>
      </c>
      <c r="BN179" s="1" t="s">
        <v>82</v>
      </c>
      <c r="BO179" s="1" t="s">
        <v>296</v>
      </c>
      <c r="BP179" s="1">
        <v>12</v>
      </c>
      <c r="BQ179" s="1" t="s">
        <v>3667</v>
      </c>
      <c r="BR179" s="1" t="s">
        <v>104</v>
      </c>
      <c r="BS179" s="1" t="s">
        <v>1881</v>
      </c>
      <c r="BT179" s="1" t="s">
        <v>3701</v>
      </c>
      <c r="BU179" s="1" t="s">
        <v>82</v>
      </c>
      <c r="BV179" s="1" t="s">
        <v>82</v>
      </c>
      <c r="BW179" s="1" t="s">
        <v>82</v>
      </c>
      <c r="BX179" s="1" t="s">
        <v>82</v>
      </c>
      <c r="BY179" s="1" t="s">
        <v>108</v>
      </c>
      <c r="BZ179" s="1" t="s">
        <v>3702</v>
      </c>
      <c r="CA179" s="1" t="str">
        <f>HYPERLINK("https%3A%2F%2Fwww.webofscience.com%2Fwos%2Fwoscc%2Ffull-record%2FWOS:000788724500008","View Full Record in Web of Science")</f>
        <v>View Full Record in Web of Science</v>
      </c>
    </row>
    <row r="180" s="1" customFormat="1" ht="14.4" spans="1:79">
      <c r="A180">
        <v>179</v>
      </c>
      <c r="B180" s="2" t="s">
        <v>110</v>
      </c>
      <c r="C180" s="1" t="s">
        <v>80</v>
      </c>
      <c r="D180" s="1" t="s">
        <v>3703</v>
      </c>
      <c r="E180" s="1" t="s">
        <v>82</v>
      </c>
      <c r="F180" s="1" t="s">
        <v>82</v>
      </c>
      <c r="G180" s="1" t="s">
        <v>82</v>
      </c>
      <c r="H180" s="1" t="s">
        <v>3704</v>
      </c>
      <c r="I180" s="1" t="s">
        <v>82</v>
      </c>
      <c r="J180" s="1" t="s">
        <v>82</v>
      </c>
      <c r="K180" s="1" t="s">
        <v>3705</v>
      </c>
      <c r="L180" s="1" t="s">
        <v>3650</v>
      </c>
      <c r="M180" s="1">
        <v>6.449</v>
      </c>
      <c r="O180" s="1" t="s">
        <v>82</v>
      </c>
      <c r="P180" s="1" t="s">
        <v>82</v>
      </c>
      <c r="Q180" s="1" t="s">
        <v>87</v>
      </c>
      <c r="R180" s="1" t="s">
        <v>115</v>
      </c>
      <c r="S180" s="1" t="s">
        <v>82</v>
      </c>
      <c r="T180" s="1" t="s">
        <v>82</v>
      </c>
      <c r="U180" s="1" t="s">
        <v>82</v>
      </c>
      <c r="V180" s="1" t="s">
        <v>82</v>
      </c>
      <c r="W180" s="1" t="s">
        <v>82</v>
      </c>
      <c r="X180" s="1" t="s">
        <v>3706</v>
      </c>
      <c r="Y180" s="1" t="s">
        <v>3707</v>
      </c>
      <c r="Z180" s="1" t="s">
        <v>3708</v>
      </c>
      <c r="AB180" s="1" t="s">
        <v>3709</v>
      </c>
      <c r="AC180" s="1" t="s">
        <v>3710</v>
      </c>
      <c r="AD180" s="1" t="s">
        <v>120</v>
      </c>
      <c r="AE180" s="1" t="s">
        <v>3711</v>
      </c>
      <c r="AF180" s="1" t="s">
        <v>3712</v>
      </c>
      <c r="AG180" s="1" t="s">
        <v>3713</v>
      </c>
      <c r="AH180" s="1" t="s">
        <v>82</v>
      </c>
      <c r="AI180" s="1" t="s">
        <v>82</v>
      </c>
      <c r="AJ180" s="1" t="s">
        <v>3714</v>
      </c>
      <c r="AK180" s="1" t="s">
        <v>3715</v>
      </c>
      <c r="AL180" s="1" t="s">
        <v>3716</v>
      </c>
      <c r="AM180" s="1" t="s">
        <v>82</v>
      </c>
      <c r="AN180" s="1">
        <v>52</v>
      </c>
      <c r="AO180" s="1">
        <v>1</v>
      </c>
      <c r="AP180" s="1">
        <v>1</v>
      </c>
      <c r="AQ180" s="1">
        <v>10</v>
      </c>
      <c r="AR180" s="1">
        <v>21</v>
      </c>
      <c r="AS180" s="1" t="s">
        <v>479</v>
      </c>
      <c r="AT180" s="1" t="s">
        <v>480</v>
      </c>
      <c r="AU180" s="1" t="s">
        <v>481</v>
      </c>
      <c r="AV180" s="1" t="s">
        <v>3662</v>
      </c>
      <c r="AW180" s="1" t="s">
        <v>3663</v>
      </c>
      <c r="AX180" s="1" t="s">
        <v>82</v>
      </c>
      <c r="AY180" s="1" t="s">
        <v>3664</v>
      </c>
      <c r="AZ180" s="1" t="s">
        <v>3665</v>
      </c>
      <c r="BA180" s="1" t="s">
        <v>657</v>
      </c>
      <c r="BB180" s="1">
        <v>2022</v>
      </c>
      <c r="BC180" s="1">
        <v>178</v>
      </c>
      <c r="BD180" s="1" t="s">
        <v>82</v>
      </c>
      <c r="BE180" s="1" t="s">
        <v>82</v>
      </c>
      <c r="BF180" s="1" t="s">
        <v>82</v>
      </c>
      <c r="BG180" s="1" t="s">
        <v>82</v>
      </c>
      <c r="BH180" s="1" t="s">
        <v>82</v>
      </c>
      <c r="BI180" s="1" t="s">
        <v>82</v>
      </c>
      <c r="BJ180" s="1" t="s">
        <v>82</v>
      </c>
      <c r="BK180" s="1">
        <v>114651</v>
      </c>
      <c r="BL180" s="1" t="s">
        <v>3717</v>
      </c>
      <c r="BM180" s="1" t="str">
        <f>HYPERLINK("http://dx.doi.org/10.1016/j.indcrop.2022.114651","http://dx.doi.org/10.1016/j.indcrop.2022.114651")</f>
        <v>http://dx.doi.org/10.1016/j.indcrop.2022.114651</v>
      </c>
      <c r="BN180" s="1" t="s">
        <v>82</v>
      </c>
      <c r="BO180" s="1" t="s">
        <v>296</v>
      </c>
      <c r="BP180" s="1">
        <v>10</v>
      </c>
      <c r="BQ180" s="1" t="s">
        <v>3667</v>
      </c>
      <c r="BR180" s="1" t="s">
        <v>104</v>
      </c>
      <c r="BS180" s="1" t="s">
        <v>1881</v>
      </c>
      <c r="BT180" s="1" t="s">
        <v>3718</v>
      </c>
      <c r="BU180" s="1" t="s">
        <v>82</v>
      </c>
      <c r="BV180" s="1" t="s">
        <v>82</v>
      </c>
      <c r="BW180" s="1" t="s">
        <v>82</v>
      </c>
      <c r="BX180" s="1" t="s">
        <v>82</v>
      </c>
      <c r="BY180" s="1" t="s">
        <v>108</v>
      </c>
      <c r="BZ180" s="1" t="s">
        <v>3719</v>
      </c>
      <c r="CA180" s="1" t="str">
        <f>HYPERLINK("https%3A%2F%2Fwww.webofscience.com%2Fwos%2Fwoscc%2Ffull-record%2FWOS:000779723400003","View Full Record in Web of Science")</f>
        <v>View Full Record in Web of Science</v>
      </c>
    </row>
    <row r="181" s="1" customFormat="1" ht="14.4" spans="1:79">
      <c r="A181">
        <v>180</v>
      </c>
      <c r="B181" s="2" t="s">
        <v>79</v>
      </c>
      <c r="C181" s="1" t="s">
        <v>80</v>
      </c>
      <c r="D181" s="1" t="s">
        <v>3720</v>
      </c>
      <c r="E181" s="1" t="s">
        <v>82</v>
      </c>
      <c r="F181" s="1" t="s">
        <v>82</v>
      </c>
      <c r="G181" s="1" t="s">
        <v>82</v>
      </c>
      <c r="H181" s="1" t="s">
        <v>3721</v>
      </c>
      <c r="I181" s="1" t="s">
        <v>82</v>
      </c>
      <c r="J181" s="1" t="s">
        <v>82</v>
      </c>
      <c r="K181" s="1" t="s">
        <v>3722</v>
      </c>
      <c r="L181" s="1" t="s">
        <v>3650</v>
      </c>
      <c r="M181" s="1">
        <v>6.449</v>
      </c>
      <c r="O181" s="1" t="s">
        <v>82</v>
      </c>
      <c r="P181" s="1" t="s">
        <v>82</v>
      </c>
      <c r="Q181" s="1" t="s">
        <v>87</v>
      </c>
      <c r="R181" s="1" t="s">
        <v>115</v>
      </c>
      <c r="S181" s="1" t="s">
        <v>82</v>
      </c>
      <c r="T181" s="1" t="s">
        <v>82</v>
      </c>
      <c r="U181" s="1" t="s">
        <v>82</v>
      </c>
      <c r="V181" s="1" t="s">
        <v>82</v>
      </c>
      <c r="W181" s="1" t="s">
        <v>82</v>
      </c>
      <c r="X181" s="1" t="s">
        <v>3723</v>
      </c>
      <c r="Y181" s="1" t="s">
        <v>3724</v>
      </c>
      <c r="Z181" s="1" t="s">
        <v>3725</v>
      </c>
      <c r="AB181" s="1" t="s">
        <v>2328</v>
      </c>
      <c r="AC181" s="1" t="s">
        <v>3726</v>
      </c>
      <c r="AD181" s="1" t="s">
        <v>206</v>
      </c>
      <c r="AE181" s="1" t="s">
        <v>2330</v>
      </c>
      <c r="AF181" s="1" t="s">
        <v>3727</v>
      </c>
      <c r="AG181" s="1" t="s">
        <v>3728</v>
      </c>
      <c r="AH181" s="1" t="s">
        <v>82</v>
      </c>
      <c r="AI181" s="1" t="s">
        <v>82</v>
      </c>
      <c r="AJ181" s="1" t="s">
        <v>3729</v>
      </c>
      <c r="AK181" s="1" t="s">
        <v>3730</v>
      </c>
      <c r="AL181" s="1" t="s">
        <v>3731</v>
      </c>
      <c r="AM181" s="1" t="s">
        <v>82</v>
      </c>
      <c r="AN181" s="1">
        <v>71</v>
      </c>
      <c r="AO181" s="1">
        <v>1</v>
      </c>
      <c r="AP181" s="1">
        <v>1</v>
      </c>
      <c r="AQ181" s="1">
        <v>4</v>
      </c>
      <c r="AR181" s="1">
        <v>14</v>
      </c>
      <c r="AS181" s="1" t="s">
        <v>479</v>
      </c>
      <c r="AT181" s="1" t="s">
        <v>480</v>
      </c>
      <c r="AU181" s="1" t="s">
        <v>481</v>
      </c>
      <c r="AV181" s="1" t="s">
        <v>3662</v>
      </c>
      <c r="AW181" s="1" t="s">
        <v>3663</v>
      </c>
      <c r="AX181" s="1" t="s">
        <v>82</v>
      </c>
      <c r="AY181" s="1" t="s">
        <v>3664</v>
      </c>
      <c r="AZ181" s="1" t="s">
        <v>3665</v>
      </c>
      <c r="BA181" s="1" t="s">
        <v>2145</v>
      </c>
      <c r="BB181" s="1">
        <v>2022</v>
      </c>
      <c r="BC181" s="1">
        <v>177</v>
      </c>
      <c r="BD181" s="1" t="s">
        <v>82</v>
      </c>
      <c r="BE181" s="1" t="s">
        <v>82</v>
      </c>
      <c r="BF181" s="1" t="s">
        <v>82</v>
      </c>
      <c r="BG181" s="1" t="s">
        <v>82</v>
      </c>
      <c r="BH181" s="1" t="s">
        <v>82</v>
      </c>
      <c r="BI181" s="1" t="s">
        <v>82</v>
      </c>
      <c r="BJ181" s="1" t="s">
        <v>82</v>
      </c>
      <c r="BK181" s="1">
        <v>114510</v>
      </c>
      <c r="BL181" s="1" t="s">
        <v>3732</v>
      </c>
      <c r="BM181" s="1" t="str">
        <f>HYPERLINK("http://dx.doi.org/10.1016/j.indcrop.2021.114510","http://dx.doi.org/10.1016/j.indcrop.2021.114510")</f>
        <v>http://dx.doi.org/10.1016/j.indcrop.2021.114510</v>
      </c>
      <c r="BN181" s="1" t="s">
        <v>82</v>
      </c>
      <c r="BO181" s="1" t="s">
        <v>82</v>
      </c>
      <c r="BP181" s="1">
        <v>12</v>
      </c>
      <c r="BQ181" s="1" t="s">
        <v>3667</v>
      </c>
      <c r="BR181" s="1" t="s">
        <v>104</v>
      </c>
      <c r="BS181" s="1" t="s">
        <v>1881</v>
      </c>
      <c r="BT181" s="1" t="s">
        <v>3733</v>
      </c>
      <c r="BU181" s="1" t="s">
        <v>82</v>
      </c>
      <c r="BV181" s="1" t="s">
        <v>82</v>
      </c>
      <c r="BW181" s="1" t="s">
        <v>82</v>
      </c>
      <c r="BX181" s="1" t="s">
        <v>82</v>
      </c>
      <c r="BY181" s="1" t="s">
        <v>108</v>
      </c>
      <c r="BZ181" s="1" t="s">
        <v>3734</v>
      </c>
      <c r="CA181" s="1" t="str">
        <f>HYPERLINK("https%3A%2F%2Fwww.webofscience.com%2Fwos%2Fwoscc%2Ffull-record%2FWOS:000742671500005","View Full Record in Web of Science")</f>
        <v>View Full Record in Web of Science</v>
      </c>
    </row>
    <row r="182" s="1" customFormat="1" ht="14.4" spans="1:79">
      <c r="A182">
        <v>181</v>
      </c>
      <c r="B182" s="2" t="s">
        <v>110</v>
      </c>
      <c r="C182" s="1" t="s">
        <v>80</v>
      </c>
      <c r="D182" s="1" t="s">
        <v>3735</v>
      </c>
      <c r="E182" s="1" t="s">
        <v>82</v>
      </c>
      <c r="F182" s="1" t="s">
        <v>82</v>
      </c>
      <c r="G182" s="1" t="s">
        <v>82</v>
      </c>
      <c r="H182" s="1" t="s">
        <v>3736</v>
      </c>
      <c r="I182" s="1" t="s">
        <v>82</v>
      </c>
      <c r="J182" s="1" t="s">
        <v>82</v>
      </c>
      <c r="K182" s="1" t="s">
        <v>3737</v>
      </c>
      <c r="L182" s="1" t="s">
        <v>3650</v>
      </c>
      <c r="M182" s="1">
        <v>6.449</v>
      </c>
      <c r="O182" s="1" t="s">
        <v>82</v>
      </c>
      <c r="P182" s="1" t="s">
        <v>82</v>
      </c>
      <c r="Q182" s="1" t="s">
        <v>87</v>
      </c>
      <c r="R182" s="1" t="s">
        <v>115</v>
      </c>
      <c r="S182" s="1" t="s">
        <v>82</v>
      </c>
      <c r="T182" s="1" t="s">
        <v>82</v>
      </c>
      <c r="U182" s="1" t="s">
        <v>82</v>
      </c>
      <c r="V182" s="1" t="s">
        <v>82</v>
      </c>
      <c r="W182" s="1" t="s">
        <v>82</v>
      </c>
      <c r="X182" s="1" t="s">
        <v>3738</v>
      </c>
      <c r="Y182" s="1" t="s">
        <v>3739</v>
      </c>
      <c r="Z182" s="1" t="s">
        <v>3740</v>
      </c>
      <c r="AB182" s="1" t="s">
        <v>3741</v>
      </c>
      <c r="AC182" s="1" t="s">
        <v>3742</v>
      </c>
      <c r="AD182" s="1" t="s">
        <v>120</v>
      </c>
      <c r="AE182" s="1" t="s">
        <v>3743</v>
      </c>
      <c r="AF182" s="1" t="s">
        <v>3744</v>
      </c>
      <c r="AG182" s="1" t="s">
        <v>3745</v>
      </c>
      <c r="AH182" s="1" t="s">
        <v>3746</v>
      </c>
      <c r="AI182" s="1" t="s">
        <v>82</v>
      </c>
      <c r="AJ182" s="1" t="s">
        <v>3747</v>
      </c>
      <c r="AK182" s="1" t="s">
        <v>3748</v>
      </c>
      <c r="AL182" s="1" t="s">
        <v>3749</v>
      </c>
      <c r="AM182" s="1" t="s">
        <v>82</v>
      </c>
      <c r="AN182" s="1">
        <v>31</v>
      </c>
      <c r="AO182" s="1">
        <v>3</v>
      </c>
      <c r="AP182" s="1">
        <v>3</v>
      </c>
      <c r="AQ182" s="1">
        <v>7</v>
      </c>
      <c r="AR182" s="1">
        <v>20</v>
      </c>
      <c r="AS182" s="1" t="s">
        <v>479</v>
      </c>
      <c r="AT182" s="1" t="s">
        <v>480</v>
      </c>
      <c r="AU182" s="1" t="s">
        <v>481</v>
      </c>
      <c r="AV182" s="1" t="s">
        <v>3662</v>
      </c>
      <c r="AW182" s="1" t="s">
        <v>3663</v>
      </c>
      <c r="AX182" s="1" t="s">
        <v>82</v>
      </c>
      <c r="AY182" s="1" t="s">
        <v>3664</v>
      </c>
      <c r="AZ182" s="1" t="s">
        <v>3665</v>
      </c>
      <c r="BA182" s="1" t="s">
        <v>2145</v>
      </c>
      <c r="BB182" s="1">
        <v>2022</v>
      </c>
      <c r="BC182" s="1">
        <v>177</v>
      </c>
      <c r="BD182" s="1" t="s">
        <v>82</v>
      </c>
      <c r="BE182" s="1" t="s">
        <v>82</v>
      </c>
      <c r="BF182" s="1" t="s">
        <v>82</v>
      </c>
      <c r="BG182" s="1" t="s">
        <v>82</v>
      </c>
      <c r="BH182" s="1" t="s">
        <v>82</v>
      </c>
      <c r="BI182" s="1" t="s">
        <v>82</v>
      </c>
      <c r="BJ182" s="1" t="s">
        <v>82</v>
      </c>
      <c r="BK182" s="1">
        <v>114441</v>
      </c>
      <c r="BL182" s="1" t="s">
        <v>3750</v>
      </c>
      <c r="BM182" s="1" t="str">
        <f>HYPERLINK("http://dx.doi.org/10.1016/j.indcrop.2021.114441","http://dx.doi.org/10.1016/j.indcrop.2021.114441")</f>
        <v>http://dx.doi.org/10.1016/j.indcrop.2021.114441</v>
      </c>
      <c r="BN182" s="1" t="s">
        <v>82</v>
      </c>
      <c r="BO182" s="1" t="s">
        <v>1462</v>
      </c>
      <c r="BP182" s="1">
        <v>10</v>
      </c>
      <c r="BQ182" s="1" t="s">
        <v>3667</v>
      </c>
      <c r="BR182" s="1" t="s">
        <v>104</v>
      </c>
      <c r="BS182" s="1" t="s">
        <v>1881</v>
      </c>
      <c r="BT182" s="1" t="s">
        <v>3751</v>
      </c>
      <c r="BU182" s="1" t="s">
        <v>82</v>
      </c>
      <c r="BV182" s="1" t="s">
        <v>82</v>
      </c>
      <c r="BW182" s="1" t="s">
        <v>82</v>
      </c>
      <c r="BX182" s="1" t="s">
        <v>82</v>
      </c>
      <c r="BY182" s="1" t="s">
        <v>108</v>
      </c>
      <c r="BZ182" s="1" t="s">
        <v>3752</v>
      </c>
      <c r="CA182" s="1" t="str">
        <f>HYPERLINK("https%3A%2F%2Fwww.webofscience.com%2Fwos%2Fwoscc%2Ffull-record%2FWOS:000736973700008","View Full Record in Web of Science")</f>
        <v>View Full Record in Web of Science</v>
      </c>
    </row>
    <row r="183" s="1" customFormat="1" ht="14.4" spans="1:79">
      <c r="A183">
        <v>182</v>
      </c>
      <c r="B183" s="2" t="s">
        <v>110</v>
      </c>
      <c r="C183" s="1" t="s">
        <v>80</v>
      </c>
      <c r="D183" s="1" t="s">
        <v>3753</v>
      </c>
      <c r="E183" s="1" t="s">
        <v>82</v>
      </c>
      <c r="F183" s="1" t="s">
        <v>82</v>
      </c>
      <c r="G183" s="1" t="s">
        <v>82</v>
      </c>
      <c r="H183" s="1" t="s">
        <v>3754</v>
      </c>
      <c r="I183" s="1" t="s">
        <v>82</v>
      </c>
      <c r="J183" s="1" t="s">
        <v>82</v>
      </c>
      <c r="K183" s="1" t="s">
        <v>3755</v>
      </c>
      <c r="L183" s="1" t="s">
        <v>3756</v>
      </c>
      <c r="M183" s="1">
        <v>6.443</v>
      </c>
      <c r="O183" s="1" t="s">
        <v>82</v>
      </c>
      <c r="P183" s="1" t="s">
        <v>82</v>
      </c>
      <c r="Q183" s="1" t="s">
        <v>87</v>
      </c>
      <c r="R183" s="1" t="s">
        <v>115</v>
      </c>
      <c r="S183" s="1" t="s">
        <v>82</v>
      </c>
      <c r="T183" s="1" t="s">
        <v>82</v>
      </c>
      <c r="U183" s="1" t="s">
        <v>82</v>
      </c>
      <c r="V183" s="1" t="s">
        <v>82</v>
      </c>
      <c r="W183" s="1" t="s">
        <v>82</v>
      </c>
      <c r="X183" s="1" t="s">
        <v>3757</v>
      </c>
      <c r="Y183" s="1" t="s">
        <v>3758</v>
      </c>
      <c r="Z183" s="1" t="s">
        <v>3759</v>
      </c>
      <c r="AB183" s="1" t="s">
        <v>3760</v>
      </c>
      <c r="AC183" s="1" t="s">
        <v>3761</v>
      </c>
      <c r="AD183" s="1" t="s">
        <v>120</v>
      </c>
      <c r="AE183" s="1" t="s">
        <v>1650</v>
      </c>
      <c r="AF183" s="1" t="s">
        <v>3762</v>
      </c>
      <c r="AG183" s="1" t="s">
        <v>2279</v>
      </c>
      <c r="AH183" s="1" t="s">
        <v>82</v>
      </c>
      <c r="AI183" s="1" t="s">
        <v>82</v>
      </c>
      <c r="AJ183" s="1" t="s">
        <v>3763</v>
      </c>
      <c r="AK183" s="1" t="s">
        <v>3764</v>
      </c>
      <c r="AL183" s="1" t="s">
        <v>3765</v>
      </c>
      <c r="AM183" s="1" t="s">
        <v>82</v>
      </c>
      <c r="AN183" s="1">
        <v>37</v>
      </c>
      <c r="AO183" s="1">
        <v>0</v>
      </c>
      <c r="AP183" s="1">
        <v>0</v>
      </c>
      <c r="AQ183" s="1">
        <v>16</v>
      </c>
      <c r="AR183" s="1">
        <v>16</v>
      </c>
      <c r="AS183" s="1" t="s">
        <v>479</v>
      </c>
      <c r="AT183" s="1" t="s">
        <v>480</v>
      </c>
      <c r="AU183" s="1" t="s">
        <v>481</v>
      </c>
      <c r="AV183" s="1" t="s">
        <v>3766</v>
      </c>
      <c r="AW183" s="1" t="s">
        <v>82</v>
      </c>
      <c r="AX183" s="1" t="s">
        <v>82</v>
      </c>
      <c r="AY183" s="1" t="s">
        <v>3767</v>
      </c>
      <c r="AZ183" s="1" t="s">
        <v>3768</v>
      </c>
      <c r="BA183" s="1" t="s">
        <v>3769</v>
      </c>
      <c r="BB183" s="1">
        <v>2022</v>
      </c>
      <c r="BC183" s="1">
        <v>15</v>
      </c>
      <c r="BD183" s="1" t="s">
        <v>82</v>
      </c>
      <c r="BE183" s="1" t="s">
        <v>82</v>
      </c>
      <c r="BF183" s="1" t="s">
        <v>82</v>
      </c>
      <c r="BG183" s="1" t="s">
        <v>82</v>
      </c>
      <c r="BH183" s="1" t="s">
        <v>82</v>
      </c>
      <c r="BI183" s="1" t="s">
        <v>82</v>
      </c>
      <c r="BJ183" s="1" t="s">
        <v>82</v>
      </c>
      <c r="BK183" s="1">
        <v>100400</v>
      </c>
      <c r="BL183" s="1" t="s">
        <v>3770</v>
      </c>
      <c r="BM183" s="1" t="str">
        <f>HYPERLINK("http://dx.doi.org/10.1016/j.fochx.2022.100400","http://dx.doi.org/10.1016/j.fochx.2022.100400")</f>
        <v>http://dx.doi.org/10.1016/j.fochx.2022.100400</v>
      </c>
      <c r="BN183" s="1" t="s">
        <v>82</v>
      </c>
      <c r="BO183" s="1" t="s">
        <v>1257</v>
      </c>
      <c r="BP183" s="1">
        <v>8</v>
      </c>
      <c r="BQ183" s="1" t="s">
        <v>3771</v>
      </c>
      <c r="BR183" s="1" t="s">
        <v>104</v>
      </c>
      <c r="BS183" s="1" t="s">
        <v>3772</v>
      </c>
      <c r="BT183" s="1" t="s">
        <v>3773</v>
      </c>
      <c r="BU183" s="1">
        <v>36211763</v>
      </c>
      <c r="BV183" s="1" t="s">
        <v>592</v>
      </c>
      <c r="BW183" s="1" t="s">
        <v>82</v>
      </c>
      <c r="BX183" s="1" t="s">
        <v>82</v>
      </c>
      <c r="BY183" s="1" t="s">
        <v>108</v>
      </c>
      <c r="BZ183" s="1" t="s">
        <v>3774</v>
      </c>
      <c r="CA183" s="1" t="str">
        <f>HYPERLINK("https%3A%2F%2Fwww.webofscience.com%2Fwos%2Fwoscc%2Ffull-record%2FWOS:000836397300003","View Full Record in Web of Science")</f>
        <v>View Full Record in Web of Science</v>
      </c>
    </row>
    <row r="184" s="1" customFormat="1" ht="14.4" spans="1:79">
      <c r="A184">
        <v>183</v>
      </c>
      <c r="B184" s="2" t="s">
        <v>79</v>
      </c>
      <c r="C184" s="1" t="s">
        <v>80</v>
      </c>
      <c r="D184" s="1" t="s">
        <v>3775</v>
      </c>
      <c r="E184" s="1" t="s">
        <v>82</v>
      </c>
      <c r="F184" s="1" t="s">
        <v>82</v>
      </c>
      <c r="G184" s="1" t="s">
        <v>82</v>
      </c>
      <c r="H184" s="1" t="s">
        <v>3776</v>
      </c>
      <c r="I184" s="1" t="s">
        <v>82</v>
      </c>
      <c r="J184" s="1" t="s">
        <v>82</v>
      </c>
      <c r="K184" s="1" t="s">
        <v>3777</v>
      </c>
      <c r="L184" s="1" t="s">
        <v>3778</v>
      </c>
      <c r="M184" s="1">
        <v>6.431</v>
      </c>
      <c r="O184" s="1" t="s">
        <v>82</v>
      </c>
      <c r="P184" s="1" t="s">
        <v>82</v>
      </c>
      <c r="Q184" s="1" t="s">
        <v>87</v>
      </c>
      <c r="R184" s="1" t="s">
        <v>115</v>
      </c>
      <c r="S184" s="1" t="s">
        <v>82</v>
      </c>
      <c r="T184" s="1" t="s">
        <v>82</v>
      </c>
      <c r="U184" s="1" t="s">
        <v>82</v>
      </c>
      <c r="V184" s="1" t="s">
        <v>82</v>
      </c>
      <c r="W184" s="1" t="s">
        <v>82</v>
      </c>
      <c r="X184" s="1" t="s">
        <v>3779</v>
      </c>
      <c r="Y184" s="1" t="s">
        <v>3780</v>
      </c>
      <c r="Z184" s="1" t="s">
        <v>3781</v>
      </c>
      <c r="AA184" s="1">
        <v>1</v>
      </c>
      <c r="AB184" s="1" t="s">
        <v>3782</v>
      </c>
      <c r="AC184" s="1" t="s">
        <v>3783</v>
      </c>
      <c r="AD184" s="1" t="s">
        <v>93</v>
      </c>
      <c r="AE184" s="1" t="s">
        <v>3784</v>
      </c>
      <c r="AF184" s="1" t="s">
        <v>3785</v>
      </c>
      <c r="AG184" s="1" t="s">
        <v>3325</v>
      </c>
      <c r="AH184" s="1" t="s">
        <v>3786</v>
      </c>
      <c r="AI184" s="1" t="s">
        <v>3787</v>
      </c>
      <c r="AJ184" s="1" t="s">
        <v>3788</v>
      </c>
      <c r="AK184" s="1" t="s">
        <v>3789</v>
      </c>
      <c r="AL184" s="1" t="s">
        <v>3790</v>
      </c>
      <c r="AM184" s="1" t="s">
        <v>82</v>
      </c>
      <c r="AN184" s="1">
        <v>62</v>
      </c>
      <c r="AO184" s="1">
        <v>0</v>
      </c>
      <c r="AP184" s="1">
        <v>0</v>
      </c>
      <c r="AQ184" s="1">
        <v>95</v>
      </c>
      <c r="AR184" s="1">
        <v>148</v>
      </c>
      <c r="AS184" s="1" t="s">
        <v>1002</v>
      </c>
      <c r="AT184" s="1" t="s">
        <v>1003</v>
      </c>
      <c r="AU184" s="1" t="s">
        <v>1004</v>
      </c>
      <c r="AV184" s="1" t="s">
        <v>3791</v>
      </c>
      <c r="AW184" s="1" t="s">
        <v>3792</v>
      </c>
      <c r="AX184" s="1" t="s">
        <v>82</v>
      </c>
      <c r="AY184" s="1" t="s">
        <v>3778</v>
      </c>
      <c r="AZ184" s="1" t="s">
        <v>3793</v>
      </c>
      <c r="BA184" s="1" t="s">
        <v>222</v>
      </c>
      <c r="BB184" s="1">
        <v>2022</v>
      </c>
      <c r="BC184" s="1">
        <v>103</v>
      </c>
      <c r="BD184" s="1">
        <v>9</v>
      </c>
      <c r="BE184" s="1" t="s">
        <v>82</v>
      </c>
      <c r="BF184" s="1" t="s">
        <v>82</v>
      </c>
      <c r="BG184" s="1" t="s">
        <v>82</v>
      </c>
      <c r="BH184" s="1" t="s">
        <v>82</v>
      </c>
      <c r="BI184" s="1" t="s">
        <v>82</v>
      </c>
      <c r="BJ184" s="1" t="s">
        <v>82</v>
      </c>
      <c r="BK184" s="1" t="s">
        <v>3794</v>
      </c>
      <c r="BL184" s="1" t="s">
        <v>3795</v>
      </c>
      <c r="BM184" s="1" t="str">
        <f>HYPERLINK("http://dx.doi.org/10.1002/ecy.3745","http://dx.doi.org/10.1002/ecy.3745")</f>
        <v>http://dx.doi.org/10.1002/ecy.3745</v>
      </c>
      <c r="BN184" s="1" t="s">
        <v>82</v>
      </c>
      <c r="BO184" s="1" t="s">
        <v>1298</v>
      </c>
      <c r="BP184" s="1">
        <v>15</v>
      </c>
      <c r="BQ184" s="1" t="s">
        <v>3793</v>
      </c>
      <c r="BR184" s="1" t="s">
        <v>104</v>
      </c>
      <c r="BS184" s="1" t="s">
        <v>545</v>
      </c>
      <c r="BT184" s="1" t="s">
        <v>3796</v>
      </c>
      <c r="BU184" s="1">
        <v>35522230</v>
      </c>
      <c r="BV184" s="1" t="s">
        <v>82</v>
      </c>
      <c r="BW184" s="1" t="s">
        <v>82</v>
      </c>
      <c r="BX184" s="1" t="s">
        <v>82</v>
      </c>
      <c r="BY184" s="1" t="s">
        <v>108</v>
      </c>
      <c r="BZ184" s="1" t="s">
        <v>3797</v>
      </c>
      <c r="CA184" s="1" t="str">
        <f>HYPERLINK("https%3A%2F%2Fwww.webofscience.com%2Fwos%2Fwoscc%2Ffull-record%2FWOS:000815786400001","View Full Record in Web of Science")</f>
        <v>View Full Record in Web of Science</v>
      </c>
    </row>
    <row r="185" s="1" customFormat="1" ht="14.4" spans="1:79">
      <c r="A185">
        <v>184</v>
      </c>
      <c r="B185" s="2" t="s">
        <v>79</v>
      </c>
      <c r="C185" s="1" t="s">
        <v>80</v>
      </c>
      <c r="D185" s="1" t="s">
        <v>3798</v>
      </c>
      <c r="E185" s="1" t="s">
        <v>82</v>
      </c>
      <c r="F185" s="1" t="s">
        <v>82</v>
      </c>
      <c r="G185" s="1" t="s">
        <v>82</v>
      </c>
      <c r="H185" s="1" t="s">
        <v>3799</v>
      </c>
      <c r="I185" s="1" t="s">
        <v>82</v>
      </c>
      <c r="J185" s="1" t="s">
        <v>82</v>
      </c>
      <c r="K185" s="1" t="s">
        <v>3800</v>
      </c>
      <c r="L185" s="1" t="s">
        <v>3778</v>
      </c>
      <c r="M185" s="1">
        <v>6.431</v>
      </c>
      <c r="O185" s="1" t="s">
        <v>82</v>
      </c>
      <c r="P185" s="1" t="s">
        <v>82</v>
      </c>
      <c r="Q185" s="1" t="s">
        <v>87</v>
      </c>
      <c r="R185" s="1" t="s">
        <v>115</v>
      </c>
      <c r="S185" s="1" t="s">
        <v>82</v>
      </c>
      <c r="T185" s="1" t="s">
        <v>82</v>
      </c>
      <c r="U185" s="1" t="s">
        <v>82</v>
      </c>
      <c r="V185" s="1" t="s">
        <v>82</v>
      </c>
      <c r="W185" s="1" t="s">
        <v>82</v>
      </c>
      <c r="X185" s="1" t="s">
        <v>3801</v>
      </c>
      <c r="Y185" s="1" t="s">
        <v>3802</v>
      </c>
      <c r="Z185" s="1" t="s">
        <v>82</v>
      </c>
      <c r="AB185" s="1" t="s">
        <v>3803</v>
      </c>
      <c r="AC185" s="1" t="s">
        <v>3804</v>
      </c>
      <c r="AD185" s="1" t="s">
        <v>120</v>
      </c>
      <c r="AE185" s="1" t="s">
        <v>3805</v>
      </c>
      <c r="AF185" s="1" t="s">
        <v>3806</v>
      </c>
      <c r="AG185" s="1" t="s">
        <v>3807</v>
      </c>
      <c r="AH185" s="1" t="s">
        <v>82</v>
      </c>
      <c r="AI185" s="1" t="s">
        <v>3808</v>
      </c>
      <c r="AJ185" s="1" t="s">
        <v>3809</v>
      </c>
      <c r="AK185" s="1" t="s">
        <v>3810</v>
      </c>
      <c r="AL185" s="1" t="s">
        <v>3811</v>
      </c>
      <c r="AM185" s="1" t="s">
        <v>82</v>
      </c>
      <c r="AN185" s="1">
        <v>26</v>
      </c>
      <c r="AO185" s="1">
        <v>0</v>
      </c>
      <c r="AP185" s="1">
        <v>0</v>
      </c>
      <c r="AQ185" s="1">
        <v>16</v>
      </c>
      <c r="AR185" s="1">
        <v>22</v>
      </c>
      <c r="AS185" s="1" t="s">
        <v>1002</v>
      </c>
      <c r="AT185" s="1" t="s">
        <v>1003</v>
      </c>
      <c r="AU185" s="1" t="s">
        <v>1004</v>
      </c>
      <c r="AV185" s="1" t="s">
        <v>3791</v>
      </c>
      <c r="AW185" s="1" t="s">
        <v>3792</v>
      </c>
      <c r="AX185" s="1" t="s">
        <v>82</v>
      </c>
      <c r="AY185" s="1" t="s">
        <v>3778</v>
      </c>
      <c r="AZ185" s="1" t="s">
        <v>3793</v>
      </c>
      <c r="BA185" s="1" t="s">
        <v>2521</v>
      </c>
      <c r="BB185" s="1">
        <v>2022</v>
      </c>
      <c r="BC185" s="1">
        <v>103</v>
      </c>
      <c r="BD185" s="1">
        <v>8</v>
      </c>
      <c r="BE185" s="1" t="s">
        <v>82</v>
      </c>
      <c r="BF185" s="1" t="s">
        <v>82</v>
      </c>
      <c r="BG185" s="1" t="s">
        <v>82</v>
      </c>
      <c r="BH185" s="1" t="s">
        <v>82</v>
      </c>
      <c r="BI185" s="1" t="s">
        <v>82</v>
      </c>
      <c r="BJ185" s="1" t="s">
        <v>82</v>
      </c>
      <c r="BK185" s="1" t="s">
        <v>3812</v>
      </c>
      <c r="BL185" s="1" t="s">
        <v>3813</v>
      </c>
      <c r="BM185" s="1" t="str">
        <f>HYPERLINK("http://dx.doi.org/10.1002/ecy.3729","http://dx.doi.org/10.1002/ecy.3729")</f>
        <v>http://dx.doi.org/10.1002/ecy.3729</v>
      </c>
      <c r="BN185" s="1" t="s">
        <v>82</v>
      </c>
      <c r="BO185" s="1" t="s">
        <v>247</v>
      </c>
      <c r="BP185" s="1">
        <v>5</v>
      </c>
      <c r="BQ185" s="1" t="s">
        <v>3793</v>
      </c>
      <c r="BR185" s="1" t="s">
        <v>104</v>
      </c>
      <c r="BS185" s="1" t="s">
        <v>545</v>
      </c>
      <c r="BT185" s="1" t="s">
        <v>3814</v>
      </c>
      <c r="BU185" s="1">
        <v>35419821</v>
      </c>
      <c r="BV185" s="1" t="s">
        <v>82</v>
      </c>
      <c r="BW185" s="1" t="s">
        <v>82</v>
      </c>
      <c r="BX185" s="1" t="s">
        <v>82</v>
      </c>
      <c r="BY185" s="1" t="s">
        <v>108</v>
      </c>
      <c r="BZ185" s="1" t="s">
        <v>3815</v>
      </c>
      <c r="CA185" s="1" t="str">
        <f>HYPERLINK("https%3A%2F%2Fwww.webofscience.com%2Fwos%2Fwoscc%2Ffull-record%2FWOS:000800775200001","View Full Record in Web of Science")</f>
        <v>View Full Record in Web of Science</v>
      </c>
    </row>
    <row r="186" s="1" customFormat="1" ht="14.4" spans="1:79">
      <c r="A186">
        <v>185</v>
      </c>
      <c r="B186" s="2" t="s">
        <v>110</v>
      </c>
      <c r="C186" s="1" t="s">
        <v>80</v>
      </c>
      <c r="D186" s="1" t="s">
        <v>3816</v>
      </c>
      <c r="E186" s="1" t="s">
        <v>82</v>
      </c>
      <c r="F186" s="1" t="s">
        <v>82</v>
      </c>
      <c r="G186" s="1" t="s">
        <v>82</v>
      </c>
      <c r="H186" s="1" t="s">
        <v>3817</v>
      </c>
      <c r="I186" s="1" t="s">
        <v>82</v>
      </c>
      <c r="J186" s="1" t="s">
        <v>82</v>
      </c>
      <c r="K186" s="1" t="s">
        <v>3818</v>
      </c>
      <c r="L186" s="1" t="s">
        <v>3778</v>
      </c>
      <c r="M186" s="1">
        <v>6.431</v>
      </c>
      <c r="O186" s="1" t="s">
        <v>82</v>
      </c>
      <c r="P186" s="1" t="s">
        <v>82</v>
      </c>
      <c r="Q186" s="1" t="s">
        <v>87</v>
      </c>
      <c r="R186" s="1" t="s">
        <v>115</v>
      </c>
      <c r="S186" s="1" t="s">
        <v>82</v>
      </c>
      <c r="T186" s="1" t="s">
        <v>82</v>
      </c>
      <c r="U186" s="1" t="s">
        <v>82</v>
      </c>
      <c r="V186" s="1" t="s">
        <v>82</v>
      </c>
      <c r="W186" s="1" t="s">
        <v>82</v>
      </c>
      <c r="X186" s="1" t="s">
        <v>3819</v>
      </c>
      <c r="Y186" s="1" t="s">
        <v>3820</v>
      </c>
      <c r="Z186" s="1" t="s">
        <v>82</v>
      </c>
      <c r="AA186" s="1">
        <v>1</v>
      </c>
      <c r="AB186" s="1" t="s">
        <v>3821</v>
      </c>
      <c r="AC186" s="1" t="s">
        <v>3822</v>
      </c>
      <c r="AD186" s="1" t="s">
        <v>93</v>
      </c>
      <c r="AE186" s="1" t="s">
        <v>3823</v>
      </c>
      <c r="AF186" s="1" t="s">
        <v>3824</v>
      </c>
      <c r="AG186" s="1" t="s">
        <v>3825</v>
      </c>
      <c r="AH186" s="1" t="s">
        <v>3826</v>
      </c>
      <c r="AI186" s="1" t="s">
        <v>82</v>
      </c>
      <c r="AJ186" s="1" t="s">
        <v>3827</v>
      </c>
      <c r="AK186" s="1" t="s">
        <v>3828</v>
      </c>
      <c r="AL186" s="1" t="s">
        <v>3829</v>
      </c>
      <c r="AM186" s="1" t="s">
        <v>82</v>
      </c>
      <c r="AN186" s="1">
        <v>12</v>
      </c>
      <c r="AO186" s="1">
        <v>0</v>
      </c>
      <c r="AP186" s="1">
        <v>0</v>
      </c>
      <c r="AQ186" s="1">
        <v>15</v>
      </c>
      <c r="AR186" s="1">
        <v>38</v>
      </c>
      <c r="AS186" s="1" t="s">
        <v>1002</v>
      </c>
      <c r="AT186" s="1" t="s">
        <v>1003</v>
      </c>
      <c r="AU186" s="1" t="s">
        <v>1004</v>
      </c>
      <c r="AV186" s="1" t="s">
        <v>3791</v>
      </c>
      <c r="AW186" s="1" t="s">
        <v>3792</v>
      </c>
      <c r="AX186" s="1" t="s">
        <v>82</v>
      </c>
      <c r="AY186" s="1" t="s">
        <v>3778</v>
      </c>
      <c r="AZ186" s="1" t="s">
        <v>3793</v>
      </c>
      <c r="BA186" s="1" t="s">
        <v>245</v>
      </c>
      <c r="BB186" s="1">
        <v>2022</v>
      </c>
      <c r="BC186" s="1">
        <v>103</v>
      </c>
      <c r="BD186" s="1">
        <v>5</v>
      </c>
      <c r="BE186" s="1" t="s">
        <v>82</v>
      </c>
      <c r="BF186" s="1" t="s">
        <v>82</v>
      </c>
      <c r="BG186" s="1" t="s">
        <v>82</v>
      </c>
      <c r="BH186" s="1" t="s">
        <v>82</v>
      </c>
      <c r="BI186" s="1" t="s">
        <v>82</v>
      </c>
      <c r="BJ186" s="1" t="s">
        <v>82</v>
      </c>
      <c r="BK186" s="1" t="s">
        <v>3830</v>
      </c>
      <c r="BL186" s="1" t="s">
        <v>3831</v>
      </c>
      <c r="BM186" s="1" t="str">
        <f>HYPERLINK("http://dx.doi.org/10.1002/ecy.3663","http://dx.doi.org/10.1002/ecy.3663")</f>
        <v>http://dx.doi.org/10.1002/ecy.3663</v>
      </c>
      <c r="BN186" s="1" t="s">
        <v>82</v>
      </c>
      <c r="BO186" s="1" t="s">
        <v>282</v>
      </c>
      <c r="BP186" s="1">
        <v>6</v>
      </c>
      <c r="BQ186" s="1" t="s">
        <v>3793</v>
      </c>
      <c r="BR186" s="1" t="s">
        <v>104</v>
      </c>
      <c r="BS186" s="1" t="s">
        <v>545</v>
      </c>
      <c r="BT186" s="1" t="s">
        <v>3832</v>
      </c>
      <c r="BU186" s="1">
        <v>35157316</v>
      </c>
      <c r="BV186" s="1" t="s">
        <v>82</v>
      </c>
      <c r="BW186" s="1" t="s">
        <v>82</v>
      </c>
      <c r="BX186" s="1" t="s">
        <v>82</v>
      </c>
      <c r="BY186" s="1" t="s">
        <v>108</v>
      </c>
      <c r="BZ186" s="1" t="s">
        <v>3833</v>
      </c>
      <c r="CA186" s="1" t="str">
        <f>HYPERLINK("https%3A%2F%2Fwww.webofscience.com%2Fwos%2Fwoscc%2Ffull-record%2FWOS:000774764200001","View Full Record in Web of Science")</f>
        <v>View Full Record in Web of Science</v>
      </c>
    </row>
    <row r="187" s="1" customFormat="1" ht="14.4" spans="1:79">
      <c r="A187">
        <v>186</v>
      </c>
      <c r="B187" s="2" t="s">
        <v>79</v>
      </c>
      <c r="C187" s="1" t="s">
        <v>80</v>
      </c>
      <c r="D187" s="1" t="s">
        <v>3834</v>
      </c>
      <c r="E187" s="1" t="s">
        <v>82</v>
      </c>
      <c r="F187" s="1" t="s">
        <v>82</v>
      </c>
      <c r="G187" s="1" t="s">
        <v>82</v>
      </c>
      <c r="H187" s="1" t="s">
        <v>3835</v>
      </c>
      <c r="I187" s="1" t="s">
        <v>82</v>
      </c>
      <c r="J187" s="1" t="s">
        <v>82</v>
      </c>
      <c r="K187" s="1" t="s">
        <v>3836</v>
      </c>
      <c r="L187" s="1" t="s">
        <v>3837</v>
      </c>
      <c r="M187" s="1">
        <v>6.381</v>
      </c>
      <c r="O187" s="1" t="s">
        <v>82</v>
      </c>
      <c r="P187" s="1" t="s">
        <v>82</v>
      </c>
      <c r="Q187" s="1" t="s">
        <v>87</v>
      </c>
      <c r="R187" s="1" t="s">
        <v>115</v>
      </c>
      <c r="S187" s="1" t="s">
        <v>82</v>
      </c>
      <c r="T187" s="1" t="s">
        <v>82</v>
      </c>
      <c r="U187" s="1" t="s">
        <v>82</v>
      </c>
      <c r="V187" s="1" t="s">
        <v>82</v>
      </c>
      <c r="W187" s="1" t="s">
        <v>82</v>
      </c>
      <c r="X187" s="1" t="s">
        <v>3838</v>
      </c>
      <c r="Y187" s="1" t="s">
        <v>3839</v>
      </c>
      <c r="Z187" s="1" t="s">
        <v>3840</v>
      </c>
      <c r="AB187" s="1" t="s">
        <v>3841</v>
      </c>
      <c r="AC187" s="1" t="s">
        <v>3842</v>
      </c>
      <c r="AD187" s="1" t="s">
        <v>120</v>
      </c>
      <c r="AE187" s="1" t="s">
        <v>3843</v>
      </c>
      <c r="AF187" s="1" t="s">
        <v>3844</v>
      </c>
      <c r="AG187" s="1" t="s">
        <v>3845</v>
      </c>
      <c r="AH187" s="1" t="s">
        <v>3846</v>
      </c>
      <c r="AI187" s="1" t="s">
        <v>3847</v>
      </c>
      <c r="AJ187" s="1" t="s">
        <v>3848</v>
      </c>
      <c r="AK187" s="1" t="s">
        <v>3849</v>
      </c>
      <c r="AL187" s="1" t="s">
        <v>3850</v>
      </c>
      <c r="AM187" s="1" t="s">
        <v>82</v>
      </c>
      <c r="AN187" s="1">
        <v>103</v>
      </c>
      <c r="AO187" s="1">
        <v>1</v>
      </c>
      <c r="AP187" s="1">
        <v>1</v>
      </c>
      <c r="AQ187" s="1">
        <v>18</v>
      </c>
      <c r="AR187" s="1">
        <v>18</v>
      </c>
      <c r="AS187" s="1" t="s">
        <v>1002</v>
      </c>
      <c r="AT187" s="1" t="s">
        <v>1003</v>
      </c>
      <c r="AU187" s="1" t="s">
        <v>1004</v>
      </c>
      <c r="AV187" s="1" t="s">
        <v>3851</v>
      </c>
      <c r="AW187" s="1" t="s">
        <v>3852</v>
      </c>
      <c r="AX187" s="1" t="s">
        <v>82</v>
      </c>
      <c r="AY187" s="1" t="s">
        <v>3853</v>
      </c>
      <c r="AZ187" s="1" t="s">
        <v>3854</v>
      </c>
      <c r="BA187" s="1" t="s">
        <v>2123</v>
      </c>
      <c r="BB187" s="1">
        <v>2022</v>
      </c>
      <c r="BC187" s="1">
        <v>110</v>
      </c>
      <c r="BD187" s="1">
        <v>12</v>
      </c>
      <c r="BE187" s="1" t="s">
        <v>82</v>
      </c>
      <c r="BF187" s="1" t="s">
        <v>82</v>
      </c>
      <c r="BG187" s="1" t="s">
        <v>82</v>
      </c>
      <c r="BH187" s="1" t="s">
        <v>82</v>
      </c>
      <c r="BI187" s="1">
        <v>3023</v>
      </c>
      <c r="BJ187" s="1">
        <v>3038</v>
      </c>
      <c r="BK187" s="1" t="s">
        <v>82</v>
      </c>
      <c r="BL187" s="1" t="s">
        <v>3855</v>
      </c>
      <c r="BM187" s="1" t="str">
        <f>HYPERLINK("http://dx.doi.org/10.1111/1365-2745.14011","http://dx.doi.org/10.1111/1365-2745.14011")</f>
        <v>http://dx.doi.org/10.1111/1365-2745.14011</v>
      </c>
      <c r="BN187" s="1" t="s">
        <v>82</v>
      </c>
      <c r="BO187" s="1" t="s">
        <v>2084</v>
      </c>
      <c r="BP187" s="1">
        <v>16</v>
      </c>
      <c r="BQ187" s="1" t="s">
        <v>3856</v>
      </c>
      <c r="BR187" s="1" t="s">
        <v>104</v>
      </c>
      <c r="BS187" s="1" t="s">
        <v>3857</v>
      </c>
      <c r="BT187" s="1" t="s">
        <v>3858</v>
      </c>
      <c r="BU187" s="1" t="s">
        <v>82</v>
      </c>
      <c r="BV187" s="1" t="s">
        <v>316</v>
      </c>
      <c r="BW187" s="1" t="s">
        <v>82</v>
      </c>
      <c r="BX187" s="1" t="s">
        <v>82</v>
      </c>
      <c r="BY187" s="1" t="s">
        <v>108</v>
      </c>
      <c r="BZ187" s="1" t="s">
        <v>3859</v>
      </c>
      <c r="CA187" s="1" t="str">
        <f>HYPERLINK("https%3A%2F%2Fwww.webofscience.com%2Fwos%2Fwoscc%2Ffull-record%2FWOS:000871174000001","View Full Record in Web of Science")</f>
        <v>View Full Record in Web of Science</v>
      </c>
    </row>
    <row r="188" s="1" customFormat="1" ht="14.4" spans="1:79">
      <c r="A188">
        <v>187</v>
      </c>
      <c r="B188" s="2" t="s">
        <v>110</v>
      </c>
      <c r="C188" s="1" t="s">
        <v>80</v>
      </c>
      <c r="D188" s="1" t="s">
        <v>3860</v>
      </c>
      <c r="E188" s="1" t="s">
        <v>82</v>
      </c>
      <c r="F188" s="1" t="s">
        <v>82</v>
      </c>
      <c r="G188" s="1" t="s">
        <v>82</v>
      </c>
      <c r="H188" s="1" t="s">
        <v>3861</v>
      </c>
      <c r="I188" s="1" t="s">
        <v>82</v>
      </c>
      <c r="J188" s="1" t="s">
        <v>82</v>
      </c>
      <c r="K188" s="1" t="s">
        <v>3862</v>
      </c>
      <c r="L188" s="1" t="s">
        <v>3837</v>
      </c>
      <c r="M188" s="1">
        <v>6.381</v>
      </c>
      <c r="O188" s="1" t="s">
        <v>82</v>
      </c>
      <c r="P188" s="1" t="s">
        <v>82</v>
      </c>
      <c r="Q188" s="1" t="s">
        <v>87</v>
      </c>
      <c r="R188" s="1" t="s">
        <v>115</v>
      </c>
      <c r="S188" s="1" t="s">
        <v>82</v>
      </c>
      <c r="T188" s="1" t="s">
        <v>82</v>
      </c>
      <c r="U188" s="1" t="s">
        <v>82</v>
      </c>
      <c r="V188" s="1" t="s">
        <v>82</v>
      </c>
      <c r="W188" s="1" t="s">
        <v>82</v>
      </c>
      <c r="X188" s="1" t="s">
        <v>3863</v>
      </c>
      <c r="Y188" s="1" t="s">
        <v>3864</v>
      </c>
      <c r="Z188" s="1" t="s">
        <v>3865</v>
      </c>
      <c r="AB188" s="1" t="s">
        <v>3866</v>
      </c>
      <c r="AC188" s="1" t="s">
        <v>3867</v>
      </c>
      <c r="AD188" s="1" t="s">
        <v>120</v>
      </c>
      <c r="AE188" s="1" t="s">
        <v>3868</v>
      </c>
      <c r="AF188" s="1" t="s">
        <v>3869</v>
      </c>
      <c r="AG188" s="1" t="s">
        <v>3870</v>
      </c>
      <c r="AH188" s="1" t="s">
        <v>82</v>
      </c>
      <c r="AI188" s="1" t="s">
        <v>3871</v>
      </c>
      <c r="AJ188" s="1" t="s">
        <v>3872</v>
      </c>
      <c r="AK188" s="1" t="s">
        <v>3873</v>
      </c>
      <c r="AL188" s="1" t="s">
        <v>3874</v>
      </c>
      <c r="AM188" s="1" t="s">
        <v>82</v>
      </c>
      <c r="AN188" s="1">
        <v>99</v>
      </c>
      <c r="AO188" s="1">
        <v>0</v>
      </c>
      <c r="AP188" s="1">
        <v>0</v>
      </c>
      <c r="AQ188" s="1">
        <v>32</v>
      </c>
      <c r="AR188" s="1">
        <v>32</v>
      </c>
      <c r="AS188" s="1" t="s">
        <v>1002</v>
      </c>
      <c r="AT188" s="1" t="s">
        <v>1003</v>
      </c>
      <c r="AU188" s="1" t="s">
        <v>1004</v>
      </c>
      <c r="AV188" s="1" t="s">
        <v>3851</v>
      </c>
      <c r="AW188" s="1" t="s">
        <v>3852</v>
      </c>
      <c r="AX188" s="1" t="s">
        <v>82</v>
      </c>
      <c r="AY188" s="1" t="s">
        <v>3853</v>
      </c>
      <c r="AZ188" s="1" t="s">
        <v>3854</v>
      </c>
      <c r="BA188" s="1" t="s">
        <v>486</v>
      </c>
      <c r="BB188" s="1">
        <v>2022</v>
      </c>
      <c r="BC188" s="1">
        <v>110</v>
      </c>
      <c r="BD188" s="1">
        <v>11</v>
      </c>
      <c r="BE188" s="1" t="s">
        <v>82</v>
      </c>
      <c r="BF188" s="1" t="s">
        <v>82</v>
      </c>
      <c r="BG188" s="1" t="s">
        <v>82</v>
      </c>
      <c r="BH188" s="1" t="s">
        <v>82</v>
      </c>
      <c r="BI188" s="1">
        <v>2731</v>
      </c>
      <c r="BJ188" s="1">
        <v>2744</v>
      </c>
      <c r="BK188" s="1" t="s">
        <v>82</v>
      </c>
      <c r="BL188" s="1" t="s">
        <v>3875</v>
      </c>
      <c r="BM188" s="1" t="str">
        <f>HYPERLINK("http://dx.doi.org/10.1111/1365-2745.13984","http://dx.doi.org/10.1111/1365-2745.13984")</f>
        <v>http://dx.doi.org/10.1111/1365-2745.13984</v>
      </c>
      <c r="BN188" s="1" t="s">
        <v>82</v>
      </c>
      <c r="BO188" s="1" t="s">
        <v>224</v>
      </c>
      <c r="BP188" s="1">
        <v>14</v>
      </c>
      <c r="BQ188" s="1" t="s">
        <v>3856</v>
      </c>
      <c r="BR188" s="1" t="s">
        <v>104</v>
      </c>
      <c r="BS188" s="1" t="s">
        <v>3857</v>
      </c>
      <c r="BT188" s="1" t="s">
        <v>3876</v>
      </c>
      <c r="BU188" s="1" t="s">
        <v>82</v>
      </c>
      <c r="BV188" s="1" t="s">
        <v>427</v>
      </c>
      <c r="BW188" s="1" t="s">
        <v>82</v>
      </c>
      <c r="BX188" s="1" t="s">
        <v>82</v>
      </c>
      <c r="BY188" s="1" t="s">
        <v>108</v>
      </c>
      <c r="BZ188" s="1" t="s">
        <v>3877</v>
      </c>
      <c r="CA188" s="1" t="str">
        <f>HYPERLINK("https%3A%2F%2Fwww.webofscience.com%2Fwos%2Fwoscc%2Ffull-record%2FWOS:000848550700001","View Full Record in Web of Science")</f>
        <v>View Full Record in Web of Science</v>
      </c>
    </row>
    <row r="189" s="1" customFormat="1" ht="14.4" spans="1:79">
      <c r="A189">
        <v>188</v>
      </c>
      <c r="B189" s="2" t="s">
        <v>79</v>
      </c>
      <c r="C189" s="1" t="s">
        <v>80</v>
      </c>
      <c r="D189" s="1" t="s">
        <v>3878</v>
      </c>
      <c r="E189" s="1" t="s">
        <v>82</v>
      </c>
      <c r="F189" s="1" t="s">
        <v>82</v>
      </c>
      <c r="G189" s="1" t="s">
        <v>82</v>
      </c>
      <c r="H189" s="1" t="s">
        <v>3879</v>
      </c>
      <c r="I189" s="1" t="s">
        <v>82</v>
      </c>
      <c r="J189" s="1" t="s">
        <v>82</v>
      </c>
      <c r="K189" s="1" t="s">
        <v>3880</v>
      </c>
      <c r="L189" s="1" t="s">
        <v>3837</v>
      </c>
      <c r="M189" s="1">
        <v>6.381</v>
      </c>
      <c r="O189" s="1" t="s">
        <v>82</v>
      </c>
      <c r="P189" s="1" t="s">
        <v>82</v>
      </c>
      <c r="Q189" s="1" t="s">
        <v>87</v>
      </c>
      <c r="R189" s="1" t="s">
        <v>115</v>
      </c>
      <c r="S189" s="1" t="s">
        <v>82</v>
      </c>
      <c r="T189" s="1" t="s">
        <v>82</v>
      </c>
      <c r="U189" s="1" t="s">
        <v>82</v>
      </c>
      <c r="V189" s="1" t="s">
        <v>82</v>
      </c>
      <c r="W189" s="1" t="s">
        <v>82</v>
      </c>
      <c r="X189" s="1" t="s">
        <v>3881</v>
      </c>
      <c r="Y189" s="1" t="s">
        <v>3882</v>
      </c>
      <c r="Z189" s="1" t="s">
        <v>3883</v>
      </c>
      <c r="AB189" s="1" t="s">
        <v>3884</v>
      </c>
      <c r="AC189" s="1" t="s">
        <v>3885</v>
      </c>
      <c r="AD189" s="1" t="s">
        <v>120</v>
      </c>
      <c r="AE189" s="1" t="s">
        <v>3886</v>
      </c>
      <c r="AF189" s="1" t="s">
        <v>3887</v>
      </c>
      <c r="AG189" s="1" t="s">
        <v>3888</v>
      </c>
      <c r="AH189" s="1" t="s">
        <v>3889</v>
      </c>
      <c r="AI189" s="1" t="s">
        <v>3890</v>
      </c>
      <c r="AJ189" s="1" t="s">
        <v>3891</v>
      </c>
      <c r="AK189" s="1" t="s">
        <v>3892</v>
      </c>
      <c r="AL189" s="1" t="s">
        <v>3893</v>
      </c>
      <c r="AM189" s="1" t="s">
        <v>82</v>
      </c>
      <c r="AN189" s="1">
        <v>65</v>
      </c>
      <c r="AO189" s="1">
        <v>5</v>
      </c>
      <c r="AP189" s="1">
        <v>5</v>
      </c>
      <c r="AQ189" s="1">
        <v>51</v>
      </c>
      <c r="AR189" s="1">
        <v>111</v>
      </c>
      <c r="AS189" s="1" t="s">
        <v>1002</v>
      </c>
      <c r="AT189" s="1" t="s">
        <v>1003</v>
      </c>
      <c r="AU189" s="1" t="s">
        <v>1004</v>
      </c>
      <c r="AV189" s="1" t="s">
        <v>3851</v>
      </c>
      <c r="AW189" s="1" t="s">
        <v>3852</v>
      </c>
      <c r="AX189" s="1" t="s">
        <v>82</v>
      </c>
      <c r="AY189" s="1" t="s">
        <v>3853</v>
      </c>
      <c r="AZ189" s="1" t="s">
        <v>3854</v>
      </c>
      <c r="BA189" s="1" t="s">
        <v>657</v>
      </c>
      <c r="BB189" s="1">
        <v>2022</v>
      </c>
      <c r="BC189" s="1">
        <v>110</v>
      </c>
      <c r="BD189" s="1">
        <v>4</v>
      </c>
      <c r="BE189" s="1" t="s">
        <v>82</v>
      </c>
      <c r="BF189" s="1" t="s">
        <v>82</v>
      </c>
      <c r="BG189" s="1" t="s">
        <v>82</v>
      </c>
      <c r="BH189" s="1" t="s">
        <v>82</v>
      </c>
      <c r="BI189" s="1">
        <v>860</v>
      </c>
      <c r="BJ189" s="1">
        <v>875</v>
      </c>
      <c r="BK189" s="1" t="s">
        <v>82</v>
      </c>
      <c r="BL189" s="1" t="s">
        <v>3894</v>
      </c>
      <c r="BM189" s="1" t="str">
        <f>HYPERLINK("http://dx.doi.org/10.1111/1365-2745.13848","http://dx.doi.org/10.1111/1365-2745.13848")</f>
        <v>http://dx.doi.org/10.1111/1365-2745.13848</v>
      </c>
      <c r="BN189" s="1" t="s">
        <v>82</v>
      </c>
      <c r="BO189" s="1" t="s">
        <v>296</v>
      </c>
      <c r="BP189" s="1">
        <v>16</v>
      </c>
      <c r="BQ189" s="1" t="s">
        <v>3856</v>
      </c>
      <c r="BR189" s="1" t="s">
        <v>104</v>
      </c>
      <c r="BS189" s="1" t="s">
        <v>3857</v>
      </c>
      <c r="BT189" s="1" t="s">
        <v>3895</v>
      </c>
      <c r="BU189" s="1" t="s">
        <v>82</v>
      </c>
      <c r="BV189" s="1" t="s">
        <v>3896</v>
      </c>
      <c r="BW189" s="1" t="s">
        <v>82</v>
      </c>
      <c r="BX189" s="1" t="s">
        <v>82</v>
      </c>
      <c r="BY189" s="1" t="s">
        <v>108</v>
      </c>
      <c r="BZ189" s="1" t="s">
        <v>3897</v>
      </c>
      <c r="CA189" s="1" t="str">
        <f>HYPERLINK("https%3A%2F%2Fwww.webofscience.com%2Fwos%2Fwoscc%2Ffull-record%2FWOS:000762811700001","View Full Record in Web of Science")</f>
        <v>View Full Record in Web of Science</v>
      </c>
    </row>
    <row r="190" s="1" customFormat="1" ht="14.4" spans="1:79">
      <c r="A190">
        <v>189</v>
      </c>
      <c r="B190" s="2" t="s">
        <v>79</v>
      </c>
      <c r="C190" s="1" t="s">
        <v>80</v>
      </c>
      <c r="D190" s="1" t="s">
        <v>3898</v>
      </c>
      <c r="E190" s="1" t="s">
        <v>82</v>
      </c>
      <c r="F190" s="1" t="s">
        <v>82</v>
      </c>
      <c r="G190" s="1" t="s">
        <v>82</v>
      </c>
      <c r="H190" s="1" t="s">
        <v>3899</v>
      </c>
      <c r="I190" s="1" t="s">
        <v>82</v>
      </c>
      <c r="J190" s="1" t="s">
        <v>82</v>
      </c>
      <c r="K190" s="1" t="s">
        <v>3900</v>
      </c>
      <c r="L190" s="1" t="s">
        <v>3901</v>
      </c>
      <c r="M190" s="1">
        <v>6.367</v>
      </c>
      <c r="O190" s="1" t="s">
        <v>82</v>
      </c>
      <c r="P190" s="1" t="s">
        <v>82</v>
      </c>
      <c r="Q190" s="1" t="s">
        <v>87</v>
      </c>
      <c r="R190" s="1" t="s">
        <v>115</v>
      </c>
      <c r="S190" s="1" t="s">
        <v>82</v>
      </c>
      <c r="T190" s="1" t="s">
        <v>82</v>
      </c>
      <c r="U190" s="1" t="s">
        <v>82</v>
      </c>
      <c r="V190" s="1" t="s">
        <v>82</v>
      </c>
      <c r="W190" s="1" t="s">
        <v>82</v>
      </c>
      <c r="X190" s="1" t="s">
        <v>3902</v>
      </c>
      <c r="Y190" s="1" t="s">
        <v>3903</v>
      </c>
      <c r="Z190" s="1" t="s">
        <v>3904</v>
      </c>
      <c r="AB190" s="1" t="s">
        <v>3905</v>
      </c>
      <c r="AC190" s="1" t="s">
        <v>3906</v>
      </c>
      <c r="AD190" s="1" t="s">
        <v>206</v>
      </c>
      <c r="AE190" s="1" t="s">
        <v>3907</v>
      </c>
      <c r="AF190" s="1" t="s">
        <v>3908</v>
      </c>
      <c r="AG190" s="1" t="s">
        <v>2097</v>
      </c>
      <c r="AH190" s="1" t="s">
        <v>3909</v>
      </c>
      <c r="AI190" s="1" t="s">
        <v>3910</v>
      </c>
      <c r="AJ190" s="1" t="s">
        <v>3911</v>
      </c>
      <c r="AK190" s="1" t="s">
        <v>3912</v>
      </c>
      <c r="AL190" s="1" t="s">
        <v>3913</v>
      </c>
      <c r="AM190" s="1" t="s">
        <v>82</v>
      </c>
      <c r="AN190" s="1">
        <v>79</v>
      </c>
      <c r="AO190" s="1">
        <v>5</v>
      </c>
      <c r="AP190" s="1">
        <v>5</v>
      </c>
      <c r="AQ190" s="1">
        <v>43</v>
      </c>
      <c r="AR190" s="1">
        <v>70</v>
      </c>
      <c r="AS190" s="1" t="s">
        <v>479</v>
      </c>
      <c r="AT190" s="1" t="s">
        <v>480</v>
      </c>
      <c r="AU190" s="1" t="s">
        <v>481</v>
      </c>
      <c r="AV190" s="1" t="s">
        <v>3914</v>
      </c>
      <c r="AW190" s="1" t="s">
        <v>3915</v>
      </c>
      <c r="AX190" s="1" t="s">
        <v>82</v>
      </c>
      <c r="AY190" s="1" t="s">
        <v>3901</v>
      </c>
      <c r="AZ190" s="1" t="s">
        <v>3916</v>
      </c>
      <c r="BA190" s="1" t="s">
        <v>1403</v>
      </c>
      <c r="BB190" s="1">
        <v>2022</v>
      </c>
      <c r="BC190" s="1">
        <v>214</v>
      </c>
      <c r="BD190" s="1" t="s">
        <v>82</v>
      </c>
      <c r="BE190" s="1" t="s">
        <v>82</v>
      </c>
      <c r="BF190" s="1" t="s">
        <v>82</v>
      </c>
      <c r="BG190" s="1" t="s">
        <v>82</v>
      </c>
      <c r="BH190" s="1" t="s">
        <v>82</v>
      </c>
      <c r="BI190" s="1" t="s">
        <v>82</v>
      </c>
      <c r="BJ190" s="1" t="s">
        <v>82</v>
      </c>
      <c r="BK190" s="1">
        <v>106226</v>
      </c>
      <c r="BL190" s="1" t="s">
        <v>3917</v>
      </c>
      <c r="BM190" s="1" t="str">
        <f>HYPERLINK("http://dx.doi.org/10.1016/j.catena.2022.106226","http://dx.doi.org/10.1016/j.catena.2022.106226")</f>
        <v>http://dx.doi.org/10.1016/j.catena.2022.106226</v>
      </c>
      <c r="BN190" s="1" t="s">
        <v>82</v>
      </c>
      <c r="BO190" s="1" t="s">
        <v>267</v>
      </c>
      <c r="BP190" s="1">
        <v>10</v>
      </c>
      <c r="BQ190" s="1" t="s">
        <v>3918</v>
      </c>
      <c r="BR190" s="1" t="s">
        <v>104</v>
      </c>
      <c r="BS190" s="1" t="s">
        <v>3919</v>
      </c>
      <c r="BT190" s="1" t="s">
        <v>3920</v>
      </c>
      <c r="BU190" s="1" t="s">
        <v>82</v>
      </c>
      <c r="BV190" s="1" t="s">
        <v>82</v>
      </c>
      <c r="BW190" s="1" t="s">
        <v>82</v>
      </c>
      <c r="BX190" s="1" t="s">
        <v>82</v>
      </c>
      <c r="BY190" s="1" t="s">
        <v>108</v>
      </c>
      <c r="BZ190" s="1" t="s">
        <v>3921</v>
      </c>
      <c r="CA190" s="1" t="str">
        <f>HYPERLINK("https%3A%2F%2Fwww.webofscience.com%2Fwos%2Fwoscc%2Ffull-record%2FWOS:000798080300002","View Full Record in Web of Science")</f>
        <v>View Full Record in Web of Science</v>
      </c>
    </row>
    <row r="191" s="1" customFormat="1" ht="14.4" spans="1:79">
      <c r="A191">
        <v>190</v>
      </c>
      <c r="B191" s="2" t="s">
        <v>79</v>
      </c>
      <c r="C191" s="1" t="s">
        <v>80</v>
      </c>
      <c r="D191" s="1" t="s">
        <v>3922</v>
      </c>
      <c r="E191" s="1" t="s">
        <v>82</v>
      </c>
      <c r="F191" s="1" t="s">
        <v>82</v>
      </c>
      <c r="G191" s="1" t="s">
        <v>82</v>
      </c>
      <c r="H191" s="1" t="s">
        <v>3923</v>
      </c>
      <c r="I191" s="1" t="s">
        <v>82</v>
      </c>
      <c r="J191" s="1" t="s">
        <v>82</v>
      </c>
      <c r="K191" s="1" t="s">
        <v>3924</v>
      </c>
      <c r="L191" s="1" t="s">
        <v>3901</v>
      </c>
      <c r="M191" s="1">
        <v>6.367</v>
      </c>
      <c r="O191" s="1" t="s">
        <v>82</v>
      </c>
      <c r="P191" s="1" t="s">
        <v>82</v>
      </c>
      <c r="Q191" s="1" t="s">
        <v>87</v>
      </c>
      <c r="R191" s="1" t="s">
        <v>115</v>
      </c>
      <c r="S191" s="1" t="s">
        <v>82</v>
      </c>
      <c r="T191" s="1" t="s">
        <v>82</v>
      </c>
      <c r="U191" s="1" t="s">
        <v>82</v>
      </c>
      <c r="V191" s="1" t="s">
        <v>82</v>
      </c>
      <c r="W191" s="1" t="s">
        <v>82</v>
      </c>
      <c r="X191" s="1" t="s">
        <v>3925</v>
      </c>
      <c r="Y191" s="1" t="s">
        <v>3926</v>
      </c>
      <c r="Z191" s="1" t="s">
        <v>3927</v>
      </c>
      <c r="AB191" s="1" t="s">
        <v>3928</v>
      </c>
      <c r="AC191" s="1" t="s">
        <v>3929</v>
      </c>
      <c r="AD191" s="1" t="s">
        <v>206</v>
      </c>
      <c r="AE191" s="1" t="s">
        <v>3930</v>
      </c>
      <c r="AF191" s="1" t="s">
        <v>3931</v>
      </c>
      <c r="AG191" s="1" t="s">
        <v>3932</v>
      </c>
      <c r="AH191" s="1" t="s">
        <v>3933</v>
      </c>
      <c r="AI191" s="1" t="s">
        <v>3934</v>
      </c>
      <c r="AJ191" s="1" t="s">
        <v>3935</v>
      </c>
      <c r="AK191" s="1" t="s">
        <v>3936</v>
      </c>
      <c r="AL191" s="1" t="s">
        <v>3937</v>
      </c>
      <c r="AM191" s="1" t="s">
        <v>82</v>
      </c>
      <c r="AN191" s="1">
        <v>38</v>
      </c>
      <c r="AO191" s="1">
        <v>4</v>
      </c>
      <c r="AP191" s="1">
        <v>4</v>
      </c>
      <c r="AQ191" s="1">
        <v>27</v>
      </c>
      <c r="AR191" s="1">
        <v>51</v>
      </c>
      <c r="AS191" s="1" t="s">
        <v>479</v>
      </c>
      <c r="AT191" s="1" t="s">
        <v>480</v>
      </c>
      <c r="AU191" s="1" t="s">
        <v>481</v>
      </c>
      <c r="AV191" s="1" t="s">
        <v>3914</v>
      </c>
      <c r="AW191" s="1" t="s">
        <v>3915</v>
      </c>
      <c r="AX191" s="1" t="s">
        <v>82</v>
      </c>
      <c r="AY191" s="1" t="s">
        <v>3901</v>
      </c>
      <c r="AZ191" s="1" t="s">
        <v>3916</v>
      </c>
      <c r="BA191" s="1" t="s">
        <v>657</v>
      </c>
      <c r="BB191" s="1">
        <v>2022</v>
      </c>
      <c r="BC191" s="1">
        <v>211</v>
      </c>
      <c r="BD191" s="1" t="s">
        <v>82</v>
      </c>
      <c r="BE191" s="1" t="s">
        <v>82</v>
      </c>
      <c r="BF191" s="1" t="s">
        <v>82</v>
      </c>
      <c r="BG191" s="1" t="s">
        <v>82</v>
      </c>
      <c r="BH191" s="1" t="s">
        <v>82</v>
      </c>
      <c r="BI191" s="1" t="s">
        <v>82</v>
      </c>
      <c r="BJ191" s="1" t="s">
        <v>82</v>
      </c>
      <c r="BK191" s="1">
        <v>106029</v>
      </c>
      <c r="BL191" s="1" t="s">
        <v>3938</v>
      </c>
      <c r="BM191" s="1" t="str">
        <f>HYPERLINK("http://dx.doi.org/10.1016/j.catena.2022.106029","http://dx.doi.org/10.1016/j.catena.2022.106029")</f>
        <v>http://dx.doi.org/10.1016/j.catena.2022.106029</v>
      </c>
      <c r="BN191" s="1" t="s">
        <v>82</v>
      </c>
      <c r="BO191" s="1" t="s">
        <v>82</v>
      </c>
      <c r="BP191" s="1">
        <v>9</v>
      </c>
      <c r="BQ191" s="1" t="s">
        <v>3918</v>
      </c>
      <c r="BR191" s="1" t="s">
        <v>104</v>
      </c>
      <c r="BS191" s="1" t="s">
        <v>3919</v>
      </c>
      <c r="BT191" s="1" t="s">
        <v>3939</v>
      </c>
      <c r="BU191" s="1" t="s">
        <v>82</v>
      </c>
      <c r="BV191" s="1" t="s">
        <v>82</v>
      </c>
      <c r="BW191" s="1" t="s">
        <v>82</v>
      </c>
      <c r="BX191" s="1" t="s">
        <v>82</v>
      </c>
      <c r="BY191" s="1" t="s">
        <v>108</v>
      </c>
      <c r="BZ191" s="1" t="s">
        <v>3940</v>
      </c>
      <c r="CA191" s="1" t="str">
        <f>HYPERLINK("https%3A%2F%2Fwww.webofscience.com%2Fwos%2Fwoscc%2Ffull-record%2FWOS:000790443600003","View Full Record in Web of Science")</f>
        <v>View Full Record in Web of Science</v>
      </c>
    </row>
    <row r="192" s="1" customFormat="1" ht="14.4" spans="1:79">
      <c r="A192">
        <v>191</v>
      </c>
      <c r="B192" s="2" t="s">
        <v>110</v>
      </c>
      <c r="C192" s="1" t="s">
        <v>80</v>
      </c>
      <c r="D192" s="1" t="s">
        <v>3941</v>
      </c>
      <c r="E192" s="1" t="s">
        <v>82</v>
      </c>
      <c r="F192" s="1" t="s">
        <v>82</v>
      </c>
      <c r="G192" s="1" t="s">
        <v>82</v>
      </c>
      <c r="H192" s="1" t="s">
        <v>3942</v>
      </c>
      <c r="I192" s="1" t="s">
        <v>82</v>
      </c>
      <c r="J192" s="1" t="s">
        <v>82</v>
      </c>
      <c r="K192" s="1" t="s">
        <v>3943</v>
      </c>
      <c r="L192" s="1" t="s">
        <v>3944</v>
      </c>
      <c r="M192" s="1">
        <v>6.269</v>
      </c>
      <c r="O192" s="1" t="s">
        <v>82</v>
      </c>
      <c r="Q192" s="1" t="s">
        <v>87</v>
      </c>
      <c r="R192" s="1" t="s">
        <v>115</v>
      </c>
      <c r="S192" s="1" t="s">
        <v>82</v>
      </c>
      <c r="T192" s="1" t="s">
        <v>82</v>
      </c>
      <c r="U192" s="1" t="s">
        <v>82</v>
      </c>
      <c r="V192" s="1" t="s">
        <v>82</v>
      </c>
      <c r="W192" s="1" t="s">
        <v>82</v>
      </c>
      <c r="X192" s="1" t="s">
        <v>3945</v>
      </c>
      <c r="Y192" s="1" t="s">
        <v>3946</v>
      </c>
      <c r="Z192" s="1" t="s">
        <v>3947</v>
      </c>
      <c r="AB192" s="3" t="s">
        <v>3948</v>
      </c>
      <c r="AC192" s="3" t="s">
        <v>3949</v>
      </c>
      <c r="AD192" s="1" t="s">
        <v>120</v>
      </c>
      <c r="AE192" s="1" t="s">
        <v>3950</v>
      </c>
      <c r="AF192" s="1" t="s">
        <v>3951</v>
      </c>
      <c r="AG192" s="1" t="s">
        <v>3952</v>
      </c>
      <c r="AH192" s="1" t="s">
        <v>82</v>
      </c>
      <c r="AI192" s="1" t="s">
        <v>82</v>
      </c>
      <c r="AJ192" s="1" t="s">
        <v>3953</v>
      </c>
      <c r="AK192" s="1" t="s">
        <v>3954</v>
      </c>
      <c r="AL192" s="1" t="s">
        <v>3955</v>
      </c>
      <c r="AM192" s="1" t="s">
        <v>82</v>
      </c>
      <c r="AN192" s="1">
        <v>79</v>
      </c>
      <c r="AO192" s="1">
        <v>0</v>
      </c>
      <c r="AP192" s="1">
        <v>0</v>
      </c>
      <c r="AQ192" s="1">
        <v>0</v>
      </c>
      <c r="AR192" s="1">
        <v>0</v>
      </c>
      <c r="AS192" s="1" t="s">
        <v>479</v>
      </c>
      <c r="AT192" s="1" t="s">
        <v>480</v>
      </c>
      <c r="AU192" s="1" t="s">
        <v>481</v>
      </c>
      <c r="AV192" s="1" t="s">
        <v>82</v>
      </c>
      <c r="AW192" s="1" t="s">
        <v>3956</v>
      </c>
      <c r="AX192" s="1" t="s">
        <v>82</v>
      </c>
      <c r="AY192" s="1" t="s">
        <v>3957</v>
      </c>
      <c r="AZ192" s="1" t="s">
        <v>3958</v>
      </c>
      <c r="BA192" s="1" t="s">
        <v>82</v>
      </c>
      <c r="BB192" s="1">
        <v>2022</v>
      </c>
      <c r="BC192" s="1">
        <v>5</v>
      </c>
      <c r="BD192" s="1" t="s">
        <v>82</v>
      </c>
      <c r="BE192" s="1" t="s">
        <v>82</v>
      </c>
      <c r="BF192" s="1" t="s">
        <v>82</v>
      </c>
      <c r="BG192" s="1" t="s">
        <v>82</v>
      </c>
      <c r="BH192" s="1" t="s">
        <v>82</v>
      </c>
      <c r="BI192" s="1">
        <v>1760</v>
      </c>
      <c r="BJ192" s="1">
        <v>1768</v>
      </c>
      <c r="BK192" s="1" t="s">
        <v>82</v>
      </c>
      <c r="BL192" s="1" t="s">
        <v>3959</v>
      </c>
      <c r="BM192" s="1" t="s">
        <v>3960</v>
      </c>
      <c r="BN192" s="1" t="s">
        <v>82</v>
      </c>
      <c r="BO192" s="1" t="s">
        <v>82</v>
      </c>
      <c r="BP192" s="1">
        <v>9</v>
      </c>
      <c r="BQ192" s="1" t="s">
        <v>3644</v>
      </c>
      <c r="BR192" s="1" t="s">
        <v>104</v>
      </c>
      <c r="BS192" s="1" t="s">
        <v>3644</v>
      </c>
      <c r="BT192" s="1" t="s">
        <v>3961</v>
      </c>
      <c r="BU192" s="1">
        <v>36268136</v>
      </c>
      <c r="BV192" s="1" t="s">
        <v>3962</v>
      </c>
      <c r="BW192" s="1" t="s">
        <v>82</v>
      </c>
      <c r="BX192" s="1" t="s">
        <v>82</v>
      </c>
      <c r="BY192" s="1" t="s">
        <v>771</v>
      </c>
      <c r="BZ192" s="1" t="s">
        <v>3963</v>
      </c>
      <c r="CA192" s="1" t="s">
        <v>342</v>
      </c>
    </row>
    <row r="193" s="1" customFormat="1" ht="14.4" spans="1:79">
      <c r="A193">
        <v>192</v>
      </c>
      <c r="B193" s="2" t="s">
        <v>110</v>
      </c>
      <c r="C193" s="1" t="s">
        <v>80</v>
      </c>
      <c r="D193" s="1" t="s">
        <v>3964</v>
      </c>
      <c r="E193" s="1" t="s">
        <v>82</v>
      </c>
      <c r="F193" s="1" t="s">
        <v>82</v>
      </c>
      <c r="G193" s="1" t="s">
        <v>82</v>
      </c>
      <c r="H193" s="1" t="s">
        <v>3965</v>
      </c>
      <c r="I193" s="1" t="s">
        <v>82</v>
      </c>
      <c r="J193" s="1" t="s">
        <v>82</v>
      </c>
      <c r="K193" s="1" t="s">
        <v>3966</v>
      </c>
      <c r="L193" s="1" t="s">
        <v>3967</v>
      </c>
      <c r="M193" s="1">
        <v>6.212</v>
      </c>
      <c r="O193" s="1" t="s">
        <v>82</v>
      </c>
      <c r="P193" s="1" t="s">
        <v>82</v>
      </c>
      <c r="Q193" s="1" t="s">
        <v>87</v>
      </c>
      <c r="R193" s="1" t="s">
        <v>115</v>
      </c>
      <c r="S193" s="1" t="s">
        <v>82</v>
      </c>
      <c r="T193" s="1" t="s">
        <v>82</v>
      </c>
      <c r="U193" s="1" t="s">
        <v>82</v>
      </c>
      <c r="V193" s="1" t="s">
        <v>82</v>
      </c>
      <c r="W193" s="1" t="s">
        <v>82</v>
      </c>
      <c r="X193" s="1" t="s">
        <v>3968</v>
      </c>
      <c r="Y193" s="1" t="s">
        <v>3969</v>
      </c>
      <c r="Z193" s="1" t="s">
        <v>3970</v>
      </c>
      <c r="AB193" s="1" t="s">
        <v>3971</v>
      </c>
      <c r="AC193" s="1" t="s">
        <v>3972</v>
      </c>
      <c r="AD193" s="1" t="s">
        <v>206</v>
      </c>
      <c r="AE193" s="1" t="s">
        <v>3973</v>
      </c>
      <c r="AF193" s="1" t="s">
        <v>3974</v>
      </c>
      <c r="AG193" s="1" t="s">
        <v>3975</v>
      </c>
      <c r="AH193" s="1" t="s">
        <v>82</v>
      </c>
      <c r="AI193" s="1" t="s">
        <v>82</v>
      </c>
      <c r="AJ193" s="1" t="s">
        <v>3976</v>
      </c>
      <c r="AK193" s="1" t="s">
        <v>3977</v>
      </c>
      <c r="AL193" s="1" t="s">
        <v>3978</v>
      </c>
      <c r="AM193" s="1" t="s">
        <v>82</v>
      </c>
      <c r="AN193" s="1">
        <v>46</v>
      </c>
      <c r="AO193" s="1">
        <v>2</v>
      </c>
      <c r="AP193" s="1">
        <v>2</v>
      </c>
      <c r="AQ193" s="1">
        <v>5</v>
      </c>
      <c r="AR193" s="1">
        <v>5</v>
      </c>
      <c r="AS193" s="1" t="s">
        <v>479</v>
      </c>
      <c r="AT193" s="1" t="s">
        <v>480</v>
      </c>
      <c r="AU193" s="1" t="s">
        <v>481</v>
      </c>
      <c r="AV193" s="1" t="s">
        <v>3979</v>
      </c>
      <c r="AW193" s="1" t="s">
        <v>3980</v>
      </c>
      <c r="AX193" s="1" t="s">
        <v>82</v>
      </c>
      <c r="AY193" s="1" t="s">
        <v>3981</v>
      </c>
      <c r="AZ193" s="1" t="s">
        <v>3982</v>
      </c>
      <c r="BA193" s="1" t="s">
        <v>222</v>
      </c>
      <c r="BB193" s="1">
        <v>2022</v>
      </c>
      <c r="BC193" s="1">
        <v>15</v>
      </c>
      <c r="BD193" s="1">
        <v>9</v>
      </c>
      <c r="BE193" s="1" t="s">
        <v>82</v>
      </c>
      <c r="BF193" s="1" t="s">
        <v>82</v>
      </c>
      <c r="BG193" s="1" t="s">
        <v>82</v>
      </c>
      <c r="BH193" s="1" t="s">
        <v>82</v>
      </c>
      <c r="BI193" s="1" t="s">
        <v>82</v>
      </c>
      <c r="BJ193" s="1" t="s">
        <v>82</v>
      </c>
      <c r="BK193" s="1">
        <v>104057</v>
      </c>
      <c r="BL193" s="1" t="s">
        <v>3983</v>
      </c>
      <c r="BM193" s="1" t="str">
        <f>HYPERLINK("http://dx.doi.org/10.1016/j.arabjc.2022.104057","http://dx.doi.org/10.1016/j.arabjc.2022.104057")</f>
        <v>http://dx.doi.org/10.1016/j.arabjc.2022.104057</v>
      </c>
      <c r="BN193" s="1" t="s">
        <v>82</v>
      </c>
      <c r="BO193" s="1" t="s">
        <v>82</v>
      </c>
      <c r="BP193" s="1">
        <v>12</v>
      </c>
      <c r="BQ193" s="1" t="s">
        <v>705</v>
      </c>
      <c r="BR193" s="1" t="s">
        <v>104</v>
      </c>
      <c r="BS193" s="1" t="s">
        <v>706</v>
      </c>
      <c r="BT193" s="1" t="s">
        <v>3984</v>
      </c>
      <c r="BU193" s="1" t="s">
        <v>82</v>
      </c>
      <c r="BV193" s="1" t="s">
        <v>808</v>
      </c>
      <c r="BW193" s="1" t="s">
        <v>82</v>
      </c>
      <c r="BX193" s="1" t="s">
        <v>82</v>
      </c>
      <c r="BY193" s="1" t="s">
        <v>108</v>
      </c>
      <c r="BZ193" s="1" t="s">
        <v>3985</v>
      </c>
      <c r="CA193" s="1" t="str">
        <f>HYPERLINK("https%3A%2F%2Fwww.webofscience.com%2Fwos%2Fwoscc%2Ffull-record%2FWOS:000878873700004","View Full Record in Web of Science")</f>
        <v>View Full Record in Web of Science</v>
      </c>
    </row>
    <row r="194" s="1" customFormat="1" ht="14.4" spans="1:79">
      <c r="A194">
        <v>193</v>
      </c>
      <c r="B194" s="2" t="s">
        <v>110</v>
      </c>
      <c r="C194" s="1" t="s">
        <v>80</v>
      </c>
      <c r="D194" s="1" t="s">
        <v>3986</v>
      </c>
      <c r="E194" s="1" t="s">
        <v>82</v>
      </c>
      <c r="F194" s="1" t="s">
        <v>82</v>
      </c>
      <c r="G194" s="1" t="s">
        <v>82</v>
      </c>
      <c r="H194" s="1" t="s">
        <v>3987</v>
      </c>
      <c r="I194" s="1" t="s">
        <v>82</v>
      </c>
      <c r="J194" s="1" t="s">
        <v>82</v>
      </c>
      <c r="K194" s="1" t="s">
        <v>3988</v>
      </c>
      <c r="L194" s="1" t="s">
        <v>3967</v>
      </c>
      <c r="M194" s="1">
        <v>6.212</v>
      </c>
      <c r="O194" s="1" t="s">
        <v>82</v>
      </c>
      <c r="P194" s="1" t="s">
        <v>82</v>
      </c>
      <c r="Q194" s="1" t="s">
        <v>87</v>
      </c>
      <c r="R194" s="1" t="s">
        <v>115</v>
      </c>
      <c r="S194" s="1" t="s">
        <v>82</v>
      </c>
      <c r="T194" s="1" t="s">
        <v>82</v>
      </c>
      <c r="U194" s="1" t="s">
        <v>82</v>
      </c>
      <c r="V194" s="1" t="s">
        <v>82</v>
      </c>
      <c r="W194" s="1" t="s">
        <v>82</v>
      </c>
      <c r="X194" s="1" t="s">
        <v>3989</v>
      </c>
      <c r="Y194" s="1" t="s">
        <v>3990</v>
      </c>
      <c r="Z194" s="1" t="s">
        <v>3991</v>
      </c>
      <c r="AB194" s="1" t="s">
        <v>3992</v>
      </c>
      <c r="AC194" s="1" t="s">
        <v>3993</v>
      </c>
      <c r="AD194" s="1" t="s">
        <v>206</v>
      </c>
      <c r="AE194" s="1" t="s">
        <v>3994</v>
      </c>
      <c r="AF194" s="1" t="s">
        <v>3995</v>
      </c>
      <c r="AG194" s="1" t="s">
        <v>3996</v>
      </c>
      <c r="AH194" s="1" t="s">
        <v>3997</v>
      </c>
      <c r="AI194" s="1" t="s">
        <v>82</v>
      </c>
      <c r="AJ194" s="1" t="s">
        <v>3998</v>
      </c>
      <c r="AK194" s="1" t="s">
        <v>3999</v>
      </c>
      <c r="AL194" s="1" t="s">
        <v>4000</v>
      </c>
      <c r="AM194" s="1" t="s">
        <v>82</v>
      </c>
      <c r="AN194" s="1">
        <v>82</v>
      </c>
      <c r="AO194" s="1">
        <v>1</v>
      </c>
      <c r="AP194" s="1">
        <v>1</v>
      </c>
      <c r="AQ194" s="1">
        <v>3</v>
      </c>
      <c r="AR194" s="1">
        <v>7</v>
      </c>
      <c r="AS194" s="1" t="s">
        <v>479</v>
      </c>
      <c r="AT194" s="1" t="s">
        <v>480</v>
      </c>
      <c r="AU194" s="1" t="s">
        <v>4001</v>
      </c>
      <c r="AV194" s="1" t="s">
        <v>3979</v>
      </c>
      <c r="AW194" s="1" t="s">
        <v>3980</v>
      </c>
      <c r="AX194" s="1" t="s">
        <v>82</v>
      </c>
      <c r="AY194" s="1" t="s">
        <v>3981</v>
      </c>
      <c r="AZ194" s="1" t="s">
        <v>3982</v>
      </c>
      <c r="BA194" s="1" t="s">
        <v>657</v>
      </c>
      <c r="BB194" s="1">
        <v>2022</v>
      </c>
      <c r="BC194" s="1">
        <v>15</v>
      </c>
      <c r="BD194" s="1">
        <v>4</v>
      </c>
      <c r="BE194" s="1" t="s">
        <v>82</v>
      </c>
      <c r="BF194" s="1" t="s">
        <v>82</v>
      </c>
      <c r="BG194" s="1" t="s">
        <v>82</v>
      </c>
      <c r="BH194" s="1" t="s">
        <v>82</v>
      </c>
      <c r="BI194" s="1" t="s">
        <v>82</v>
      </c>
      <c r="BJ194" s="1" t="s">
        <v>82</v>
      </c>
      <c r="BK194" s="1">
        <v>103723</v>
      </c>
      <c r="BL194" s="1" t="s">
        <v>4002</v>
      </c>
      <c r="BM194" s="1" t="str">
        <f>HYPERLINK("http://dx.doi.org/10.1016/j.arabjc.2022.103723","http://dx.doi.org/10.1016/j.arabjc.2022.103723")</f>
        <v>http://dx.doi.org/10.1016/j.arabjc.2022.103723</v>
      </c>
      <c r="BN194" s="1" t="s">
        <v>82</v>
      </c>
      <c r="BO194" s="1" t="s">
        <v>82</v>
      </c>
      <c r="BP194" s="1">
        <v>15</v>
      </c>
      <c r="BQ194" s="1" t="s">
        <v>705</v>
      </c>
      <c r="BR194" s="1" t="s">
        <v>104</v>
      </c>
      <c r="BS194" s="1" t="s">
        <v>706</v>
      </c>
      <c r="BT194" s="1" t="s">
        <v>4003</v>
      </c>
      <c r="BU194" s="1" t="s">
        <v>82</v>
      </c>
      <c r="BV194" s="1" t="s">
        <v>808</v>
      </c>
      <c r="BW194" s="1" t="s">
        <v>82</v>
      </c>
      <c r="BX194" s="1" t="s">
        <v>82</v>
      </c>
      <c r="BY194" s="1" t="s">
        <v>108</v>
      </c>
      <c r="BZ194" s="1" t="s">
        <v>4004</v>
      </c>
      <c r="CA194" s="1" t="str">
        <f>HYPERLINK("https%3A%2F%2Fwww.webofscience.com%2Fwos%2Fwoscc%2Ffull-record%2FWOS:000777772200004","View Full Record in Web of Science")</f>
        <v>View Full Record in Web of Science</v>
      </c>
    </row>
    <row r="195" s="1" customFormat="1" ht="14.4" spans="1:79">
      <c r="A195">
        <v>194</v>
      </c>
      <c r="B195" s="2" t="s">
        <v>110</v>
      </c>
      <c r="C195" s="1" t="s">
        <v>80</v>
      </c>
      <c r="D195" s="1" t="s">
        <v>4005</v>
      </c>
      <c r="E195" s="1" t="s">
        <v>82</v>
      </c>
      <c r="F195" s="1" t="s">
        <v>82</v>
      </c>
      <c r="G195" s="1" t="s">
        <v>82</v>
      </c>
      <c r="H195" s="1" t="s">
        <v>4006</v>
      </c>
      <c r="I195" s="1" t="s">
        <v>82</v>
      </c>
      <c r="J195" s="1" t="s">
        <v>82</v>
      </c>
      <c r="K195" s="1" t="s">
        <v>4007</v>
      </c>
      <c r="L195" s="1" t="s">
        <v>4008</v>
      </c>
      <c r="M195" s="1">
        <v>6.208</v>
      </c>
      <c r="O195" s="1" t="s">
        <v>82</v>
      </c>
      <c r="P195" s="1" t="s">
        <v>82</v>
      </c>
      <c r="Q195" s="1" t="s">
        <v>87</v>
      </c>
      <c r="R195" s="1" t="s">
        <v>115</v>
      </c>
      <c r="S195" s="1" t="s">
        <v>82</v>
      </c>
      <c r="T195" s="1" t="s">
        <v>82</v>
      </c>
      <c r="U195" s="1" t="s">
        <v>82</v>
      </c>
      <c r="V195" s="1" t="s">
        <v>82</v>
      </c>
      <c r="W195" s="1" t="s">
        <v>82</v>
      </c>
      <c r="X195" s="1" t="s">
        <v>4009</v>
      </c>
      <c r="Y195" s="1" t="s">
        <v>4010</v>
      </c>
      <c r="Z195" s="1" t="s">
        <v>4011</v>
      </c>
      <c r="AB195" s="1" t="s">
        <v>4012</v>
      </c>
      <c r="AC195" s="1" t="s">
        <v>4013</v>
      </c>
      <c r="AD195" s="1" t="s">
        <v>120</v>
      </c>
      <c r="AE195" s="1" t="s">
        <v>4014</v>
      </c>
      <c r="AF195" s="1" t="s">
        <v>4015</v>
      </c>
      <c r="AG195" s="1" t="s">
        <v>4016</v>
      </c>
      <c r="AH195" s="1" t="s">
        <v>4017</v>
      </c>
      <c r="AI195" s="1" t="s">
        <v>4018</v>
      </c>
      <c r="AJ195" s="1" t="s">
        <v>4019</v>
      </c>
      <c r="AK195" s="1" t="s">
        <v>4020</v>
      </c>
      <c r="AL195" s="1" t="s">
        <v>4021</v>
      </c>
      <c r="AM195" s="1" t="s">
        <v>82</v>
      </c>
      <c r="AN195" s="1">
        <v>49</v>
      </c>
      <c r="AO195" s="1">
        <v>0</v>
      </c>
      <c r="AP195" s="1">
        <v>0</v>
      </c>
      <c r="AQ195" s="1">
        <v>6</v>
      </c>
      <c r="AR195" s="1">
        <v>6</v>
      </c>
      <c r="AS195" s="1" t="s">
        <v>2117</v>
      </c>
      <c r="AT195" s="1" t="s">
        <v>2118</v>
      </c>
      <c r="AU195" s="1" t="s">
        <v>2119</v>
      </c>
      <c r="AV195" s="1" t="s">
        <v>82</v>
      </c>
      <c r="AW195" s="1" t="s">
        <v>4022</v>
      </c>
      <c r="AX195" s="1" t="s">
        <v>82</v>
      </c>
      <c r="AY195" s="1" t="s">
        <v>4023</v>
      </c>
      <c r="AZ195" s="1" t="s">
        <v>4024</v>
      </c>
      <c r="BA195" s="1" t="s">
        <v>1340</v>
      </c>
      <c r="BB195" s="1">
        <v>2022</v>
      </c>
      <c r="BC195" s="1">
        <v>23</v>
      </c>
      <c r="BD195" s="1">
        <v>19</v>
      </c>
      <c r="BE195" s="1" t="s">
        <v>82</v>
      </c>
      <c r="BF195" s="1" t="s">
        <v>82</v>
      </c>
      <c r="BG195" s="1" t="s">
        <v>82</v>
      </c>
      <c r="BH195" s="1" t="s">
        <v>82</v>
      </c>
      <c r="BI195" s="1" t="s">
        <v>82</v>
      </c>
      <c r="BJ195" s="1" t="s">
        <v>82</v>
      </c>
      <c r="BK195" s="1">
        <v>11195</v>
      </c>
      <c r="BL195" s="1" t="s">
        <v>4025</v>
      </c>
      <c r="BM195" s="1" t="str">
        <f>HYPERLINK("http://dx.doi.org/10.3390/ijms231911195","http://dx.doi.org/10.3390/ijms231911195")</f>
        <v>http://dx.doi.org/10.3390/ijms231911195</v>
      </c>
      <c r="BN195" s="1" t="s">
        <v>82</v>
      </c>
      <c r="BO195" s="1" t="s">
        <v>82</v>
      </c>
      <c r="BP195" s="1">
        <v>22</v>
      </c>
      <c r="BQ195" s="1" t="s">
        <v>4026</v>
      </c>
      <c r="BR195" s="1" t="s">
        <v>104</v>
      </c>
      <c r="BS195" s="1" t="s">
        <v>4027</v>
      </c>
      <c r="BT195" s="1" t="s">
        <v>4028</v>
      </c>
      <c r="BU195" s="1">
        <v>36232498</v>
      </c>
      <c r="BV195" s="1" t="s">
        <v>592</v>
      </c>
      <c r="BW195" s="1" t="s">
        <v>82</v>
      </c>
      <c r="BX195" s="1" t="s">
        <v>82</v>
      </c>
      <c r="BY195" s="1" t="s">
        <v>108</v>
      </c>
      <c r="BZ195" s="1" t="s">
        <v>4029</v>
      </c>
      <c r="CA195" s="1" t="str">
        <f>HYPERLINK("https%3A%2F%2Fwww.webofscience.com%2Fwos%2Fwoscc%2Ffull-record%2FWOS:000867779100001","View Full Record in Web of Science")</f>
        <v>View Full Record in Web of Science</v>
      </c>
    </row>
    <row r="196" s="1" customFormat="1" ht="14.4" spans="1:79">
      <c r="A196">
        <v>195</v>
      </c>
      <c r="B196" s="2" t="s">
        <v>79</v>
      </c>
      <c r="C196" s="1" t="s">
        <v>80</v>
      </c>
      <c r="D196" s="1" t="s">
        <v>4030</v>
      </c>
      <c r="E196" s="1" t="s">
        <v>82</v>
      </c>
      <c r="F196" s="1" t="s">
        <v>82</v>
      </c>
      <c r="G196" s="1" t="s">
        <v>82</v>
      </c>
      <c r="H196" s="1" t="s">
        <v>4031</v>
      </c>
      <c r="I196" s="1" t="s">
        <v>82</v>
      </c>
      <c r="J196" s="1" t="s">
        <v>82</v>
      </c>
      <c r="K196" s="1" t="s">
        <v>4032</v>
      </c>
      <c r="L196" s="1" t="s">
        <v>4008</v>
      </c>
      <c r="M196" s="1">
        <v>6.208</v>
      </c>
      <c r="O196" s="1" t="s">
        <v>82</v>
      </c>
      <c r="P196" s="1" t="s">
        <v>82</v>
      </c>
      <c r="Q196" s="1" t="s">
        <v>87</v>
      </c>
      <c r="R196" s="1" t="s">
        <v>115</v>
      </c>
      <c r="S196" s="1" t="s">
        <v>82</v>
      </c>
      <c r="T196" s="1" t="s">
        <v>82</v>
      </c>
      <c r="U196" s="1" t="s">
        <v>82</v>
      </c>
      <c r="V196" s="1" t="s">
        <v>82</v>
      </c>
      <c r="W196" s="1" t="s">
        <v>82</v>
      </c>
      <c r="X196" s="1" t="s">
        <v>4033</v>
      </c>
      <c r="Y196" s="1" t="s">
        <v>4034</v>
      </c>
      <c r="Z196" s="1" t="s">
        <v>4035</v>
      </c>
      <c r="AA196" s="1">
        <v>1</v>
      </c>
      <c r="AB196" s="1" t="s">
        <v>1714</v>
      </c>
      <c r="AC196" s="1" t="s">
        <v>4036</v>
      </c>
      <c r="AD196" s="1" t="s">
        <v>93</v>
      </c>
      <c r="AE196" s="1" t="s">
        <v>4037</v>
      </c>
      <c r="AF196" s="1" t="s">
        <v>4038</v>
      </c>
      <c r="AG196" s="1" t="s">
        <v>4039</v>
      </c>
      <c r="AH196" s="1" t="s">
        <v>82</v>
      </c>
      <c r="AI196" s="1" t="s">
        <v>82</v>
      </c>
      <c r="AJ196" s="1" t="s">
        <v>4040</v>
      </c>
      <c r="AK196" s="1" t="s">
        <v>4041</v>
      </c>
      <c r="AL196" s="1" t="s">
        <v>4042</v>
      </c>
      <c r="AM196" s="1" t="s">
        <v>82</v>
      </c>
      <c r="AN196" s="1">
        <v>64</v>
      </c>
      <c r="AO196" s="1">
        <v>4</v>
      </c>
      <c r="AP196" s="1">
        <v>4</v>
      </c>
      <c r="AQ196" s="1">
        <v>15</v>
      </c>
      <c r="AR196" s="1">
        <v>21</v>
      </c>
      <c r="AS196" s="1" t="s">
        <v>2117</v>
      </c>
      <c r="AT196" s="1" t="s">
        <v>2118</v>
      </c>
      <c r="AU196" s="1" t="s">
        <v>2119</v>
      </c>
      <c r="AV196" s="1" t="s">
        <v>82</v>
      </c>
      <c r="AW196" s="1" t="s">
        <v>4022</v>
      </c>
      <c r="AX196" s="1" t="s">
        <v>82</v>
      </c>
      <c r="AY196" s="1" t="s">
        <v>4023</v>
      </c>
      <c r="AZ196" s="1" t="s">
        <v>4024</v>
      </c>
      <c r="BA196" s="1" t="s">
        <v>2145</v>
      </c>
      <c r="BB196" s="1">
        <v>2022</v>
      </c>
      <c r="BC196" s="1">
        <v>23</v>
      </c>
      <c r="BD196" s="1">
        <v>6</v>
      </c>
      <c r="BE196" s="1" t="s">
        <v>82</v>
      </c>
      <c r="BF196" s="1" t="s">
        <v>82</v>
      </c>
      <c r="BG196" s="1" t="s">
        <v>82</v>
      </c>
      <c r="BH196" s="1" t="s">
        <v>82</v>
      </c>
      <c r="BI196" s="1" t="s">
        <v>82</v>
      </c>
      <c r="BJ196" s="1" t="s">
        <v>82</v>
      </c>
      <c r="BK196" s="1">
        <v>3329</v>
      </c>
      <c r="BL196" s="1" t="s">
        <v>4043</v>
      </c>
      <c r="BM196" s="1" t="str">
        <f>HYPERLINK("http://dx.doi.org/10.3390/ijms23063329","http://dx.doi.org/10.3390/ijms23063329")</f>
        <v>http://dx.doi.org/10.3390/ijms23063329</v>
      </c>
      <c r="BN196" s="1" t="s">
        <v>82</v>
      </c>
      <c r="BO196" s="1" t="s">
        <v>82</v>
      </c>
      <c r="BP196" s="1">
        <v>16</v>
      </c>
      <c r="BQ196" s="1" t="s">
        <v>4026</v>
      </c>
      <c r="BR196" s="1" t="s">
        <v>104</v>
      </c>
      <c r="BS196" s="1" t="s">
        <v>4027</v>
      </c>
      <c r="BT196" s="1" t="s">
        <v>4044</v>
      </c>
      <c r="BU196" s="1">
        <v>35328749</v>
      </c>
      <c r="BV196" s="1" t="s">
        <v>635</v>
      </c>
      <c r="BW196" s="1" t="s">
        <v>82</v>
      </c>
      <c r="BX196" s="1" t="s">
        <v>82</v>
      </c>
      <c r="BY196" s="1" t="s">
        <v>108</v>
      </c>
      <c r="BZ196" s="1" t="s">
        <v>4045</v>
      </c>
      <c r="CA196" s="1" t="str">
        <f>HYPERLINK("https%3A%2F%2Fwww.webofscience.com%2Fwos%2Fwoscc%2Ffull-record%2FWOS:000775319500001","View Full Record in Web of Science")</f>
        <v>View Full Record in Web of Science</v>
      </c>
    </row>
    <row r="197" s="1" customFormat="1" ht="14.4" spans="1:79">
      <c r="A197">
        <v>196</v>
      </c>
      <c r="B197" s="2" t="s">
        <v>79</v>
      </c>
      <c r="C197" s="1" t="s">
        <v>80</v>
      </c>
      <c r="D197" s="1" t="s">
        <v>4046</v>
      </c>
      <c r="E197" s="1" t="s">
        <v>82</v>
      </c>
      <c r="F197" s="1" t="s">
        <v>82</v>
      </c>
      <c r="G197" s="1" t="s">
        <v>82</v>
      </c>
      <c r="H197" s="1" t="s">
        <v>4047</v>
      </c>
      <c r="I197" s="1" t="s">
        <v>82</v>
      </c>
      <c r="J197" s="1" t="s">
        <v>82</v>
      </c>
      <c r="K197" s="1" t="s">
        <v>4048</v>
      </c>
      <c r="L197" s="1" t="s">
        <v>4008</v>
      </c>
      <c r="M197" s="1">
        <v>6.208</v>
      </c>
      <c r="O197" s="1" t="s">
        <v>82</v>
      </c>
      <c r="P197" s="1" t="s">
        <v>82</v>
      </c>
      <c r="Q197" s="1" t="s">
        <v>87</v>
      </c>
      <c r="R197" s="1" t="s">
        <v>115</v>
      </c>
      <c r="S197" s="1" t="s">
        <v>82</v>
      </c>
      <c r="T197" s="1" t="s">
        <v>82</v>
      </c>
      <c r="U197" s="1" t="s">
        <v>82</v>
      </c>
      <c r="V197" s="1" t="s">
        <v>82</v>
      </c>
      <c r="W197" s="1" t="s">
        <v>82</v>
      </c>
      <c r="X197" s="1" t="s">
        <v>4049</v>
      </c>
      <c r="Y197" s="1" t="s">
        <v>4050</v>
      </c>
      <c r="Z197" s="1" t="s">
        <v>4051</v>
      </c>
      <c r="AB197" s="1" t="s">
        <v>4052</v>
      </c>
      <c r="AC197" s="1" t="s">
        <v>4053</v>
      </c>
      <c r="AD197" s="1" t="s">
        <v>206</v>
      </c>
      <c r="AE197" s="1" t="s">
        <v>4054</v>
      </c>
      <c r="AF197" s="1" t="s">
        <v>4055</v>
      </c>
      <c r="AG197" s="1" t="s">
        <v>4056</v>
      </c>
      <c r="AH197" s="1" t="s">
        <v>4057</v>
      </c>
      <c r="AI197" s="1" t="s">
        <v>4058</v>
      </c>
      <c r="AJ197" s="1" t="s">
        <v>4059</v>
      </c>
      <c r="AK197" s="1" t="s">
        <v>4060</v>
      </c>
      <c r="AL197" s="1" t="s">
        <v>4061</v>
      </c>
      <c r="AM197" s="1" t="s">
        <v>82</v>
      </c>
      <c r="AN197" s="1">
        <v>46</v>
      </c>
      <c r="AO197" s="1">
        <v>1</v>
      </c>
      <c r="AP197" s="1">
        <v>1</v>
      </c>
      <c r="AQ197" s="1">
        <v>15</v>
      </c>
      <c r="AR197" s="1">
        <v>45</v>
      </c>
      <c r="AS197" s="1" t="s">
        <v>2117</v>
      </c>
      <c r="AT197" s="1" t="s">
        <v>2118</v>
      </c>
      <c r="AU197" s="1" t="s">
        <v>2119</v>
      </c>
      <c r="AV197" s="1" t="s">
        <v>82</v>
      </c>
      <c r="AW197" s="1" t="s">
        <v>4022</v>
      </c>
      <c r="AX197" s="1" t="s">
        <v>82</v>
      </c>
      <c r="AY197" s="1" t="s">
        <v>4023</v>
      </c>
      <c r="AZ197" s="1" t="s">
        <v>4024</v>
      </c>
      <c r="BA197" s="1" t="s">
        <v>397</v>
      </c>
      <c r="BB197" s="1">
        <v>2022</v>
      </c>
      <c r="BC197" s="1">
        <v>23</v>
      </c>
      <c r="BD197" s="1">
        <v>4</v>
      </c>
      <c r="BE197" s="1" t="s">
        <v>82</v>
      </c>
      <c r="BF197" s="1" t="s">
        <v>82</v>
      </c>
      <c r="BG197" s="1" t="s">
        <v>82</v>
      </c>
      <c r="BH197" s="1" t="s">
        <v>82</v>
      </c>
      <c r="BI197" s="1" t="s">
        <v>82</v>
      </c>
      <c r="BJ197" s="1" t="s">
        <v>82</v>
      </c>
      <c r="BK197" s="1">
        <v>2089</v>
      </c>
      <c r="BL197" s="1" t="s">
        <v>4062</v>
      </c>
      <c r="BM197" s="1" t="str">
        <f>HYPERLINK("http://dx.doi.org/10.3390/ijms23042089","http://dx.doi.org/10.3390/ijms23042089")</f>
        <v>http://dx.doi.org/10.3390/ijms23042089</v>
      </c>
      <c r="BN197" s="1" t="s">
        <v>82</v>
      </c>
      <c r="BO197" s="1" t="s">
        <v>82</v>
      </c>
      <c r="BP197" s="1">
        <v>13</v>
      </c>
      <c r="BQ197" s="1" t="s">
        <v>4026</v>
      </c>
      <c r="BR197" s="1" t="s">
        <v>104</v>
      </c>
      <c r="BS197" s="1" t="s">
        <v>4027</v>
      </c>
      <c r="BT197" s="1" t="s">
        <v>4063</v>
      </c>
      <c r="BU197" s="1">
        <v>35216201</v>
      </c>
      <c r="BV197" s="1" t="s">
        <v>635</v>
      </c>
      <c r="BW197" s="1" t="s">
        <v>82</v>
      </c>
      <c r="BX197" s="1" t="s">
        <v>82</v>
      </c>
      <c r="BY197" s="1" t="s">
        <v>108</v>
      </c>
      <c r="BZ197" s="1" t="s">
        <v>4064</v>
      </c>
      <c r="CA197" s="1" t="str">
        <f>HYPERLINK("https%3A%2F%2Fwww.webofscience.com%2Fwos%2Fwoscc%2Ffull-record%2FWOS:000763093300001","View Full Record in Web of Science")</f>
        <v>View Full Record in Web of Science</v>
      </c>
    </row>
    <row r="198" s="1" customFormat="1" ht="14.4" spans="1:79">
      <c r="A198">
        <v>197</v>
      </c>
      <c r="B198" s="2" t="s">
        <v>79</v>
      </c>
      <c r="C198" s="1" t="s">
        <v>80</v>
      </c>
      <c r="D198" s="1" t="s">
        <v>4065</v>
      </c>
      <c r="E198" s="1" t="s">
        <v>82</v>
      </c>
      <c r="F198" s="1" t="s">
        <v>82</v>
      </c>
      <c r="G198" s="1" t="s">
        <v>82</v>
      </c>
      <c r="H198" s="1" t="s">
        <v>4066</v>
      </c>
      <c r="I198" s="1" t="s">
        <v>82</v>
      </c>
      <c r="J198" s="1" t="s">
        <v>82</v>
      </c>
      <c r="K198" s="1" t="s">
        <v>4067</v>
      </c>
      <c r="L198" s="1" t="s">
        <v>4008</v>
      </c>
      <c r="M198" s="1">
        <v>6.208</v>
      </c>
      <c r="O198" s="1" t="s">
        <v>82</v>
      </c>
      <c r="P198" s="1" t="s">
        <v>82</v>
      </c>
      <c r="Q198" s="1" t="s">
        <v>87</v>
      </c>
      <c r="R198" s="1" t="s">
        <v>115</v>
      </c>
      <c r="S198" s="1" t="s">
        <v>82</v>
      </c>
      <c r="T198" s="1" t="s">
        <v>82</v>
      </c>
      <c r="U198" s="1" t="s">
        <v>82</v>
      </c>
      <c r="V198" s="1" t="s">
        <v>82</v>
      </c>
      <c r="W198" s="1" t="s">
        <v>82</v>
      </c>
      <c r="X198" s="1" t="s">
        <v>4068</v>
      </c>
      <c r="Y198" s="1" t="s">
        <v>4069</v>
      </c>
      <c r="Z198" s="1" t="s">
        <v>4070</v>
      </c>
      <c r="AA198" s="1">
        <v>1</v>
      </c>
      <c r="AB198" s="1" t="s">
        <v>4071</v>
      </c>
      <c r="AC198" s="1" t="s">
        <v>4072</v>
      </c>
      <c r="AD198" s="1" t="s">
        <v>93</v>
      </c>
      <c r="AE198" s="1" t="s">
        <v>1607</v>
      </c>
      <c r="AF198" s="1" t="s">
        <v>4073</v>
      </c>
      <c r="AG198" s="1" t="s">
        <v>4074</v>
      </c>
      <c r="AH198" s="1" t="s">
        <v>3515</v>
      </c>
      <c r="AI198" s="1" t="s">
        <v>4075</v>
      </c>
      <c r="AJ198" s="1" t="s">
        <v>4076</v>
      </c>
      <c r="AK198" s="1" t="s">
        <v>4077</v>
      </c>
      <c r="AL198" s="1" t="s">
        <v>4078</v>
      </c>
      <c r="AM198" s="1" t="s">
        <v>82</v>
      </c>
      <c r="AN198" s="1">
        <v>75</v>
      </c>
      <c r="AO198" s="1">
        <v>2</v>
      </c>
      <c r="AP198" s="1">
        <v>2</v>
      </c>
      <c r="AQ198" s="1">
        <v>6</v>
      </c>
      <c r="AR198" s="1">
        <v>20</v>
      </c>
      <c r="AS198" s="1" t="s">
        <v>2117</v>
      </c>
      <c r="AT198" s="1" t="s">
        <v>2118</v>
      </c>
      <c r="AU198" s="1" t="s">
        <v>2119</v>
      </c>
      <c r="AV198" s="1" t="s">
        <v>82</v>
      </c>
      <c r="AW198" s="1" t="s">
        <v>4022</v>
      </c>
      <c r="AX198" s="1" t="s">
        <v>82</v>
      </c>
      <c r="AY198" s="1" t="s">
        <v>4023</v>
      </c>
      <c r="AZ198" s="1" t="s">
        <v>4024</v>
      </c>
      <c r="BA198" s="1" t="s">
        <v>397</v>
      </c>
      <c r="BB198" s="1">
        <v>2022</v>
      </c>
      <c r="BC198" s="1">
        <v>23</v>
      </c>
      <c r="BD198" s="1">
        <v>3</v>
      </c>
      <c r="BE198" s="1" t="s">
        <v>82</v>
      </c>
      <c r="BF198" s="1" t="s">
        <v>82</v>
      </c>
      <c r="BG198" s="1" t="s">
        <v>82</v>
      </c>
      <c r="BH198" s="1" t="s">
        <v>82</v>
      </c>
      <c r="BI198" s="1" t="s">
        <v>82</v>
      </c>
      <c r="BJ198" s="1" t="s">
        <v>82</v>
      </c>
      <c r="BK198" s="1">
        <v>1298</v>
      </c>
      <c r="BL198" s="1" t="s">
        <v>4079</v>
      </c>
      <c r="BM198" s="1" t="str">
        <f>HYPERLINK("http://dx.doi.org/10.3390/ijms23031298","http://dx.doi.org/10.3390/ijms23031298")</f>
        <v>http://dx.doi.org/10.3390/ijms23031298</v>
      </c>
      <c r="BN198" s="1" t="s">
        <v>82</v>
      </c>
      <c r="BO198" s="1" t="s">
        <v>82</v>
      </c>
      <c r="BP198" s="1">
        <v>14</v>
      </c>
      <c r="BQ198" s="1" t="s">
        <v>4026</v>
      </c>
      <c r="BR198" s="1" t="s">
        <v>104</v>
      </c>
      <c r="BS198" s="1" t="s">
        <v>4027</v>
      </c>
      <c r="BT198" s="1" t="s">
        <v>4080</v>
      </c>
      <c r="BU198" s="1">
        <v>35163223</v>
      </c>
      <c r="BV198" s="1" t="s">
        <v>592</v>
      </c>
      <c r="BW198" s="1" t="s">
        <v>82</v>
      </c>
      <c r="BX198" s="1" t="s">
        <v>82</v>
      </c>
      <c r="BY198" s="1" t="s">
        <v>108</v>
      </c>
      <c r="BZ198" s="1" t="s">
        <v>4081</v>
      </c>
      <c r="CA198" s="1" t="str">
        <f>HYPERLINK("https%3A%2F%2Fwww.webofscience.com%2Fwos%2Fwoscc%2Ffull-record%2FWOS:000757312300001","View Full Record in Web of Science")</f>
        <v>View Full Record in Web of Science</v>
      </c>
    </row>
    <row r="199" s="1" customFormat="1" ht="14.4" spans="1:79">
      <c r="A199">
        <v>198</v>
      </c>
      <c r="B199" s="2" t="s">
        <v>79</v>
      </c>
      <c r="C199" s="1" t="s">
        <v>80</v>
      </c>
      <c r="D199" s="1" t="s">
        <v>4082</v>
      </c>
      <c r="E199" s="1" t="s">
        <v>82</v>
      </c>
      <c r="F199" s="1" t="s">
        <v>82</v>
      </c>
      <c r="G199" s="1" t="s">
        <v>82</v>
      </c>
      <c r="H199" s="1" t="s">
        <v>4083</v>
      </c>
      <c r="I199" s="1" t="s">
        <v>82</v>
      </c>
      <c r="J199" s="1" t="s">
        <v>82</v>
      </c>
      <c r="K199" s="1" t="s">
        <v>4084</v>
      </c>
      <c r="L199" s="1" t="s">
        <v>4008</v>
      </c>
      <c r="M199" s="1">
        <v>6.208</v>
      </c>
      <c r="O199" s="1" t="s">
        <v>82</v>
      </c>
      <c r="P199" s="1" t="s">
        <v>82</v>
      </c>
      <c r="Q199" s="1" t="s">
        <v>87</v>
      </c>
      <c r="R199" s="1" t="s">
        <v>200</v>
      </c>
      <c r="S199" s="1" t="s">
        <v>82</v>
      </c>
      <c r="T199" s="1" t="s">
        <v>82</v>
      </c>
      <c r="U199" s="1" t="s">
        <v>82</v>
      </c>
      <c r="V199" s="1" t="s">
        <v>82</v>
      </c>
      <c r="W199" s="1" t="s">
        <v>82</v>
      </c>
      <c r="X199" s="1" t="s">
        <v>4085</v>
      </c>
      <c r="Y199" s="1" t="s">
        <v>4086</v>
      </c>
      <c r="Z199" s="1" t="s">
        <v>4087</v>
      </c>
      <c r="AB199" s="1" t="s">
        <v>4088</v>
      </c>
      <c r="AC199" s="1" t="s">
        <v>4089</v>
      </c>
      <c r="AD199" s="1" t="s">
        <v>120</v>
      </c>
      <c r="AE199" s="1" t="s">
        <v>4090</v>
      </c>
      <c r="AF199" s="1" t="s">
        <v>4091</v>
      </c>
      <c r="AG199" s="1" t="s">
        <v>4092</v>
      </c>
      <c r="AH199" s="1" t="s">
        <v>4093</v>
      </c>
      <c r="AI199" s="1" t="s">
        <v>4094</v>
      </c>
      <c r="AJ199" s="1" t="s">
        <v>4095</v>
      </c>
      <c r="AK199" s="1" t="s">
        <v>4096</v>
      </c>
      <c r="AL199" s="1" t="s">
        <v>4097</v>
      </c>
      <c r="AM199" s="1" t="s">
        <v>82</v>
      </c>
      <c r="AN199" s="1">
        <v>201</v>
      </c>
      <c r="AO199" s="1">
        <v>22</v>
      </c>
      <c r="AP199" s="1">
        <v>22</v>
      </c>
      <c r="AQ199" s="1">
        <v>85</v>
      </c>
      <c r="AR199" s="1">
        <v>141</v>
      </c>
      <c r="AS199" s="1" t="s">
        <v>2117</v>
      </c>
      <c r="AT199" s="1" t="s">
        <v>2118</v>
      </c>
      <c r="AU199" s="1" t="s">
        <v>2119</v>
      </c>
      <c r="AV199" s="1" t="s">
        <v>82</v>
      </c>
      <c r="AW199" s="1" t="s">
        <v>4022</v>
      </c>
      <c r="AX199" s="1" t="s">
        <v>82</v>
      </c>
      <c r="AY199" s="1" t="s">
        <v>4023</v>
      </c>
      <c r="AZ199" s="1" t="s">
        <v>4024</v>
      </c>
      <c r="BA199" s="1" t="s">
        <v>397</v>
      </c>
      <c r="BB199" s="1">
        <v>2022</v>
      </c>
      <c r="BC199" s="1">
        <v>23</v>
      </c>
      <c r="BD199" s="1">
        <v>3</v>
      </c>
      <c r="BE199" s="1" t="s">
        <v>82</v>
      </c>
      <c r="BF199" s="1" t="s">
        <v>82</v>
      </c>
      <c r="BG199" s="1" t="s">
        <v>82</v>
      </c>
      <c r="BH199" s="1" t="s">
        <v>82</v>
      </c>
      <c r="BI199" s="1" t="s">
        <v>82</v>
      </c>
      <c r="BJ199" s="1" t="s">
        <v>82</v>
      </c>
      <c r="BK199" s="1">
        <v>1084</v>
      </c>
      <c r="BL199" s="1" t="s">
        <v>4098</v>
      </c>
      <c r="BM199" s="1" t="str">
        <f>HYPERLINK("http://dx.doi.org/10.3390/ijms23031084","http://dx.doi.org/10.3390/ijms23031084")</f>
        <v>http://dx.doi.org/10.3390/ijms23031084</v>
      </c>
      <c r="BN199" s="1" t="s">
        <v>82</v>
      </c>
      <c r="BO199" s="1" t="s">
        <v>82</v>
      </c>
      <c r="BP199" s="1">
        <v>21</v>
      </c>
      <c r="BQ199" s="1" t="s">
        <v>4026</v>
      </c>
      <c r="BR199" s="1" t="s">
        <v>104</v>
      </c>
      <c r="BS199" s="1" t="s">
        <v>4027</v>
      </c>
      <c r="BT199" s="1" t="s">
        <v>4099</v>
      </c>
      <c r="BU199" s="1">
        <v>35163008</v>
      </c>
      <c r="BV199" s="1" t="s">
        <v>635</v>
      </c>
      <c r="BW199" s="1" t="s">
        <v>82</v>
      </c>
      <c r="BX199" s="1" t="s">
        <v>82</v>
      </c>
      <c r="BY199" s="1" t="s">
        <v>108</v>
      </c>
      <c r="BZ199" s="1" t="s">
        <v>4100</v>
      </c>
      <c r="CA199" s="1" t="str">
        <f>HYPERLINK("https%3A%2F%2Fwww.webofscience.com%2Fwos%2Fwoscc%2Ffull-record%2FWOS:000755700600001","View Full Record in Web of Science")</f>
        <v>View Full Record in Web of Science</v>
      </c>
    </row>
    <row r="200" s="1" customFormat="1" ht="14.4" spans="1:79">
      <c r="A200">
        <v>199</v>
      </c>
      <c r="B200" s="2" t="s">
        <v>79</v>
      </c>
      <c r="C200" s="1" t="s">
        <v>80</v>
      </c>
      <c r="D200" s="1" t="s">
        <v>4101</v>
      </c>
      <c r="E200" s="1" t="s">
        <v>82</v>
      </c>
      <c r="F200" s="1" t="s">
        <v>82</v>
      </c>
      <c r="G200" s="1" t="s">
        <v>82</v>
      </c>
      <c r="H200" s="1" t="s">
        <v>4102</v>
      </c>
      <c r="I200" s="1" t="s">
        <v>82</v>
      </c>
      <c r="J200" s="1" t="s">
        <v>82</v>
      </c>
      <c r="K200" s="1" t="s">
        <v>4103</v>
      </c>
      <c r="L200" s="1" t="s">
        <v>4008</v>
      </c>
      <c r="M200" s="1">
        <v>6.208</v>
      </c>
      <c r="O200" s="1" t="s">
        <v>82</v>
      </c>
      <c r="P200" s="1" t="s">
        <v>82</v>
      </c>
      <c r="Q200" s="1" t="s">
        <v>87</v>
      </c>
      <c r="R200" s="1" t="s">
        <v>115</v>
      </c>
      <c r="S200" s="1" t="s">
        <v>82</v>
      </c>
      <c r="T200" s="1" t="s">
        <v>82</v>
      </c>
      <c r="U200" s="1" t="s">
        <v>82</v>
      </c>
      <c r="V200" s="1" t="s">
        <v>82</v>
      </c>
      <c r="W200" s="1" t="s">
        <v>82</v>
      </c>
      <c r="X200" s="1" t="s">
        <v>4104</v>
      </c>
      <c r="Y200" s="1" t="s">
        <v>4105</v>
      </c>
      <c r="Z200" s="1" t="s">
        <v>4106</v>
      </c>
      <c r="AB200" s="1" t="s">
        <v>4107</v>
      </c>
      <c r="AC200" s="1" t="s">
        <v>4108</v>
      </c>
      <c r="AD200" s="1" t="s">
        <v>206</v>
      </c>
      <c r="AE200" s="1" t="s">
        <v>4109</v>
      </c>
      <c r="AF200" s="1" t="s">
        <v>4110</v>
      </c>
      <c r="AG200" s="1" t="s">
        <v>4111</v>
      </c>
      <c r="AH200" s="1" t="s">
        <v>2178</v>
      </c>
      <c r="AI200" s="1" t="s">
        <v>4112</v>
      </c>
      <c r="AJ200" s="1" t="s">
        <v>4113</v>
      </c>
      <c r="AK200" s="1" t="s">
        <v>4114</v>
      </c>
      <c r="AL200" s="1" t="s">
        <v>4115</v>
      </c>
      <c r="AM200" s="1" t="s">
        <v>82</v>
      </c>
      <c r="AN200" s="1">
        <v>45</v>
      </c>
      <c r="AO200" s="1">
        <v>2</v>
      </c>
      <c r="AP200" s="1">
        <v>2</v>
      </c>
      <c r="AQ200" s="1">
        <v>9</v>
      </c>
      <c r="AR200" s="1">
        <v>23</v>
      </c>
      <c r="AS200" s="1" t="s">
        <v>2117</v>
      </c>
      <c r="AT200" s="1" t="s">
        <v>2118</v>
      </c>
      <c r="AU200" s="1" t="s">
        <v>2119</v>
      </c>
      <c r="AV200" s="1" t="s">
        <v>82</v>
      </c>
      <c r="AW200" s="1" t="s">
        <v>4022</v>
      </c>
      <c r="AX200" s="1" t="s">
        <v>82</v>
      </c>
      <c r="AY200" s="1" t="s">
        <v>4023</v>
      </c>
      <c r="AZ200" s="1" t="s">
        <v>4024</v>
      </c>
      <c r="BA200" s="1" t="s">
        <v>1826</v>
      </c>
      <c r="BB200" s="1">
        <v>2022</v>
      </c>
      <c r="BC200" s="1">
        <v>23</v>
      </c>
      <c r="BD200" s="1">
        <v>1</v>
      </c>
      <c r="BE200" s="1" t="s">
        <v>82</v>
      </c>
      <c r="BF200" s="1" t="s">
        <v>82</v>
      </c>
      <c r="BG200" s="1" t="s">
        <v>82</v>
      </c>
      <c r="BH200" s="1" t="s">
        <v>82</v>
      </c>
      <c r="BI200" s="1" t="s">
        <v>82</v>
      </c>
      <c r="BJ200" s="1" t="s">
        <v>82</v>
      </c>
      <c r="BK200" s="1">
        <v>196</v>
      </c>
      <c r="BL200" s="1" t="s">
        <v>4116</v>
      </c>
      <c r="BM200" s="1" t="str">
        <f>HYPERLINK("http://dx.doi.org/10.3390/ijms23010196","http://dx.doi.org/10.3390/ijms23010196")</f>
        <v>http://dx.doi.org/10.3390/ijms23010196</v>
      </c>
      <c r="BN200" s="1" t="s">
        <v>82</v>
      </c>
      <c r="BO200" s="1" t="s">
        <v>82</v>
      </c>
      <c r="BP200" s="1">
        <v>13</v>
      </c>
      <c r="BQ200" s="1" t="s">
        <v>4026</v>
      </c>
      <c r="BR200" s="1" t="s">
        <v>104</v>
      </c>
      <c r="BS200" s="1" t="s">
        <v>4027</v>
      </c>
      <c r="BT200" s="1" t="s">
        <v>4117</v>
      </c>
      <c r="BU200" s="1">
        <v>35008620</v>
      </c>
      <c r="BV200" s="1" t="s">
        <v>635</v>
      </c>
      <c r="BW200" s="1" t="s">
        <v>82</v>
      </c>
      <c r="BX200" s="1" t="s">
        <v>82</v>
      </c>
      <c r="BY200" s="1" t="s">
        <v>108</v>
      </c>
      <c r="BZ200" s="1" t="s">
        <v>4118</v>
      </c>
      <c r="CA200" s="1" t="str">
        <f>HYPERLINK("https%3A%2F%2Fwww.webofscience.com%2Fwos%2Fwoscc%2Ffull-record%2FWOS:000751096200001","View Full Record in Web of Science")</f>
        <v>View Full Record in Web of Science</v>
      </c>
    </row>
    <row r="201" s="1" customFormat="1" ht="14.4" spans="1:79">
      <c r="A201">
        <v>200</v>
      </c>
      <c r="B201" s="2" t="s">
        <v>79</v>
      </c>
      <c r="C201" s="1" t="s">
        <v>80</v>
      </c>
      <c r="D201" s="1" t="s">
        <v>4119</v>
      </c>
      <c r="E201" s="1" t="s">
        <v>82</v>
      </c>
      <c r="F201" s="1" t="s">
        <v>82</v>
      </c>
      <c r="G201" s="1" t="s">
        <v>82</v>
      </c>
      <c r="H201" s="1" t="s">
        <v>4120</v>
      </c>
      <c r="I201" s="1" t="s">
        <v>82</v>
      </c>
      <c r="J201" s="1" t="s">
        <v>82</v>
      </c>
      <c r="K201" s="1" t="s">
        <v>4121</v>
      </c>
      <c r="L201" s="1" t="s">
        <v>4008</v>
      </c>
      <c r="M201" s="1">
        <v>6.208</v>
      </c>
      <c r="O201" s="1" t="s">
        <v>82</v>
      </c>
      <c r="P201" s="1" t="s">
        <v>82</v>
      </c>
      <c r="Q201" s="1" t="s">
        <v>87</v>
      </c>
      <c r="R201" s="1" t="s">
        <v>115</v>
      </c>
      <c r="S201" s="1" t="s">
        <v>82</v>
      </c>
      <c r="T201" s="1" t="s">
        <v>82</v>
      </c>
      <c r="U201" s="1" t="s">
        <v>82</v>
      </c>
      <c r="V201" s="1" t="s">
        <v>82</v>
      </c>
      <c r="W201" s="1" t="s">
        <v>82</v>
      </c>
      <c r="X201" s="1" t="s">
        <v>4122</v>
      </c>
      <c r="Y201" s="1" t="s">
        <v>4123</v>
      </c>
      <c r="Z201" s="1" t="s">
        <v>4124</v>
      </c>
      <c r="AA201" s="1">
        <v>1</v>
      </c>
      <c r="AB201" s="1" t="s">
        <v>4125</v>
      </c>
      <c r="AC201" s="1" t="s">
        <v>4126</v>
      </c>
      <c r="AD201" s="1" t="s">
        <v>93</v>
      </c>
      <c r="AE201" s="1" t="s">
        <v>4127</v>
      </c>
      <c r="AF201" s="1" t="s">
        <v>4128</v>
      </c>
      <c r="AG201" s="1" t="s">
        <v>4129</v>
      </c>
      <c r="AH201" s="1" t="s">
        <v>4130</v>
      </c>
      <c r="AI201" s="1" t="s">
        <v>4075</v>
      </c>
      <c r="AJ201" s="1" t="s">
        <v>82</v>
      </c>
      <c r="AK201" s="1" t="s">
        <v>82</v>
      </c>
      <c r="AL201" s="1" t="s">
        <v>82</v>
      </c>
      <c r="AM201" s="1" t="s">
        <v>82</v>
      </c>
      <c r="AN201" s="1">
        <v>49</v>
      </c>
      <c r="AO201" s="1">
        <v>2</v>
      </c>
      <c r="AP201" s="1">
        <v>2</v>
      </c>
      <c r="AQ201" s="1">
        <v>12</v>
      </c>
      <c r="AR201" s="1">
        <v>26</v>
      </c>
      <c r="AS201" s="1" t="s">
        <v>2117</v>
      </c>
      <c r="AT201" s="1" t="s">
        <v>2118</v>
      </c>
      <c r="AU201" s="1" t="s">
        <v>2119</v>
      </c>
      <c r="AV201" s="1" t="s">
        <v>82</v>
      </c>
      <c r="AW201" s="1" t="s">
        <v>4022</v>
      </c>
      <c r="AX201" s="1" t="s">
        <v>82</v>
      </c>
      <c r="AY201" s="1" t="s">
        <v>4023</v>
      </c>
      <c r="AZ201" s="1" t="s">
        <v>4024</v>
      </c>
      <c r="BA201" s="1" t="s">
        <v>1826</v>
      </c>
      <c r="BB201" s="1">
        <v>2022</v>
      </c>
      <c r="BC201" s="1">
        <v>23</v>
      </c>
      <c r="BD201" s="1">
        <v>2</v>
      </c>
      <c r="BE201" s="1" t="s">
        <v>82</v>
      </c>
      <c r="BF201" s="1" t="s">
        <v>82</v>
      </c>
      <c r="BG201" s="1" t="s">
        <v>82</v>
      </c>
      <c r="BH201" s="1" t="s">
        <v>82</v>
      </c>
      <c r="BI201" s="1" t="s">
        <v>82</v>
      </c>
      <c r="BJ201" s="1" t="s">
        <v>82</v>
      </c>
      <c r="BK201" s="1">
        <v>981</v>
      </c>
      <c r="BL201" s="1" t="s">
        <v>4131</v>
      </c>
      <c r="BM201" s="1" t="str">
        <f>HYPERLINK("http://dx.doi.org/10.3390/ijms23020981","http://dx.doi.org/10.3390/ijms23020981")</f>
        <v>http://dx.doi.org/10.3390/ijms23020981</v>
      </c>
      <c r="BN201" s="1" t="s">
        <v>82</v>
      </c>
      <c r="BO201" s="1" t="s">
        <v>82</v>
      </c>
      <c r="BP201" s="1">
        <v>18</v>
      </c>
      <c r="BQ201" s="1" t="s">
        <v>4026</v>
      </c>
      <c r="BR201" s="1" t="s">
        <v>104</v>
      </c>
      <c r="BS201" s="1" t="s">
        <v>4027</v>
      </c>
      <c r="BT201" s="1" t="s">
        <v>4132</v>
      </c>
      <c r="BU201" s="1">
        <v>35055168</v>
      </c>
      <c r="BV201" s="1" t="s">
        <v>635</v>
      </c>
      <c r="BW201" s="1" t="s">
        <v>82</v>
      </c>
      <c r="BX201" s="1" t="s">
        <v>82</v>
      </c>
      <c r="BY201" s="1" t="s">
        <v>108</v>
      </c>
      <c r="BZ201" s="1" t="s">
        <v>4133</v>
      </c>
      <c r="CA201" s="1" t="str">
        <f>HYPERLINK("https%3A%2F%2Fwww.webofscience.com%2Fwos%2Fwoscc%2Ffull-record%2FWOS:000749793200001","View Full Record in Web of Science")</f>
        <v>View Full Record in Web of Science</v>
      </c>
    </row>
    <row r="202" s="1" customFormat="1" ht="14.4" spans="1:79">
      <c r="A202">
        <v>201</v>
      </c>
      <c r="B202" s="2" t="s">
        <v>79</v>
      </c>
      <c r="C202" s="1" t="s">
        <v>80</v>
      </c>
      <c r="D202" s="1" t="s">
        <v>4134</v>
      </c>
      <c r="E202" s="1" t="s">
        <v>82</v>
      </c>
      <c r="F202" s="1" t="s">
        <v>82</v>
      </c>
      <c r="G202" s="1" t="s">
        <v>82</v>
      </c>
      <c r="H202" s="1" t="s">
        <v>4135</v>
      </c>
      <c r="I202" s="1" t="s">
        <v>82</v>
      </c>
      <c r="J202" s="1" t="s">
        <v>82</v>
      </c>
      <c r="K202" s="1" t="s">
        <v>4136</v>
      </c>
      <c r="L202" s="1" t="s">
        <v>4008</v>
      </c>
      <c r="M202" s="1">
        <v>6.208</v>
      </c>
      <c r="O202" s="1" t="s">
        <v>82</v>
      </c>
      <c r="P202" s="1" t="s">
        <v>82</v>
      </c>
      <c r="Q202" s="1" t="s">
        <v>87</v>
      </c>
      <c r="R202" s="1" t="s">
        <v>115</v>
      </c>
      <c r="S202" s="1" t="s">
        <v>82</v>
      </c>
      <c r="T202" s="1" t="s">
        <v>82</v>
      </c>
      <c r="U202" s="1" t="s">
        <v>82</v>
      </c>
      <c r="V202" s="1" t="s">
        <v>82</v>
      </c>
      <c r="W202" s="1" t="s">
        <v>82</v>
      </c>
      <c r="X202" s="1" t="s">
        <v>4137</v>
      </c>
      <c r="Y202" s="1" t="s">
        <v>4138</v>
      </c>
      <c r="Z202" s="1" t="s">
        <v>4139</v>
      </c>
      <c r="AA202" s="1">
        <v>1</v>
      </c>
      <c r="AB202" s="1" t="s">
        <v>4140</v>
      </c>
      <c r="AC202" s="1" t="s">
        <v>4141</v>
      </c>
      <c r="AD202" s="1" t="s">
        <v>93</v>
      </c>
      <c r="AE202" s="1" t="s">
        <v>94</v>
      </c>
      <c r="AF202" s="1" t="s">
        <v>4142</v>
      </c>
      <c r="AG202" s="1" t="s">
        <v>4143</v>
      </c>
      <c r="AH202" s="1" t="s">
        <v>82</v>
      </c>
      <c r="AI202" s="1" t="s">
        <v>82</v>
      </c>
      <c r="AJ202" s="1" t="s">
        <v>82</v>
      </c>
      <c r="AK202" s="1" t="s">
        <v>82</v>
      </c>
      <c r="AL202" s="1" t="s">
        <v>82</v>
      </c>
      <c r="AM202" s="1" t="s">
        <v>82</v>
      </c>
      <c r="AN202" s="1">
        <v>55</v>
      </c>
      <c r="AO202" s="1">
        <v>3</v>
      </c>
      <c r="AP202" s="1">
        <v>3</v>
      </c>
      <c r="AQ202" s="1">
        <v>5</v>
      </c>
      <c r="AR202" s="1">
        <v>11</v>
      </c>
      <c r="AS202" s="1" t="s">
        <v>2117</v>
      </c>
      <c r="AT202" s="1" t="s">
        <v>2118</v>
      </c>
      <c r="AU202" s="1" t="s">
        <v>2119</v>
      </c>
      <c r="AV202" s="1" t="s">
        <v>82</v>
      </c>
      <c r="AW202" s="1" t="s">
        <v>4022</v>
      </c>
      <c r="AX202" s="1" t="s">
        <v>82</v>
      </c>
      <c r="AY202" s="1" t="s">
        <v>4023</v>
      </c>
      <c r="AZ202" s="1" t="s">
        <v>4024</v>
      </c>
      <c r="BA202" s="1" t="s">
        <v>1826</v>
      </c>
      <c r="BB202" s="1">
        <v>2022</v>
      </c>
      <c r="BC202" s="1">
        <v>23</v>
      </c>
      <c r="BD202" s="1">
        <v>2</v>
      </c>
      <c r="BE202" s="1" t="s">
        <v>82</v>
      </c>
      <c r="BF202" s="1" t="s">
        <v>82</v>
      </c>
      <c r="BG202" s="1" t="s">
        <v>82</v>
      </c>
      <c r="BH202" s="1" t="s">
        <v>82</v>
      </c>
      <c r="BI202" s="1" t="s">
        <v>82</v>
      </c>
      <c r="BJ202" s="1" t="s">
        <v>82</v>
      </c>
      <c r="BK202" s="1">
        <v>738</v>
      </c>
      <c r="BL202" s="1" t="s">
        <v>4144</v>
      </c>
      <c r="BM202" s="1" t="str">
        <f>HYPERLINK("http://dx.doi.org/10.3390/ijms23020738","http://dx.doi.org/10.3390/ijms23020738")</f>
        <v>http://dx.doi.org/10.3390/ijms23020738</v>
      </c>
      <c r="BN202" s="1" t="s">
        <v>82</v>
      </c>
      <c r="BO202" s="1" t="s">
        <v>82</v>
      </c>
      <c r="BP202" s="1">
        <v>13</v>
      </c>
      <c r="BQ202" s="1" t="s">
        <v>4026</v>
      </c>
      <c r="BR202" s="1" t="s">
        <v>104</v>
      </c>
      <c r="BS202" s="1" t="s">
        <v>4027</v>
      </c>
      <c r="BT202" s="1" t="s">
        <v>4145</v>
      </c>
      <c r="BU202" s="1">
        <v>35054922</v>
      </c>
      <c r="BV202" s="1" t="s">
        <v>635</v>
      </c>
      <c r="BW202" s="1" t="s">
        <v>82</v>
      </c>
      <c r="BX202" s="1" t="s">
        <v>82</v>
      </c>
      <c r="BY202" s="1" t="s">
        <v>108</v>
      </c>
      <c r="BZ202" s="1" t="s">
        <v>4146</v>
      </c>
      <c r="CA202" s="1" t="str">
        <f>HYPERLINK("https%3A%2F%2Fwww.webofscience.com%2Fwos%2Fwoscc%2Ffull-record%2FWOS:000746022100001","View Full Record in Web of Science")</f>
        <v>View Full Record in Web of Science</v>
      </c>
    </row>
    <row r="203" s="1" customFormat="1" ht="14.4" spans="1:79">
      <c r="A203">
        <v>202</v>
      </c>
      <c r="B203" s="2" t="s">
        <v>110</v>
      </c>
      <c r="C203" s="1" t="s">
        <v>80</v>
      </c>
      <c r="D203" s="1" t="s">
        <v>4147</v>
      </c>
      <c r="E203" s="1" t="s">
        <v>82</v>
      </c>
      <c r="F203" s="1" t="s">
        <v>82</v>
      </c>
      <c r="G203" s="1" t="s">
        <v>82</v>
      </c>
      <c r="H203" s="1" t="s">
        <v>4148</v>
      </c>
      <c r="I203" s="1" t="s">
        <v>82</v>
      </c>
      <c r="J203" s="1" t="s">
        <v>82</v>
      </c>
      <c r="K203" s="1" t="s">
        <v>4149</v>
      </c>
      <c r="L203" s="1" t="s">
        <v>4150</v>
      </c>
      <c r="M203" s="1">
        <v>6.085</v>
      </c>
      <c r="O203" s="1" t="s">
        <v>82</v>
      </c>
      <c r="P203" s="1" t="s">
        <v>82</v>
      </c>
      <c r="Q203" s="1" t="s">
        <v>87</v>
      </c>
      <c r="R203" s="1" t="s">
        <v>115</v>
      </c>
      <c r="S203" s="1" t="s">
        <v>82</v>
      </c>
      <c r="T203" s="1" t="s">
        <v>82</v>
      </c>
      <c r="U203" s="1" t="s">
        <v>82</v>
      </c>
      <c r="V203" s="1" t="s">
        <v>82</v>
      </c>
      <c r="W203" s="1" t="s">
        <v>82</v>
      </c>
      <c r="X203" s="1" t="s">
        <v>4151</v>
      </c>
      <c r="Y203" s="1" t="s">
        <v>4152</v>
      </c>
      <c r="Z203" s="1" t="s">
        <v>4153</v>
      </c>
      <c r="AA203" s="1">
        <v>1</v>
      </c>
      <c r="AB203" s="1" t="s">
        <v>4154</v>
      </c>
      <c r="AC203" s="1" t="s">
        <v>4155</v>
      </c>
      <c r="AD203" s="1" t="s">
        <v>93</v>
      </c>
      <c r="AE203" s="1" t="s">
        <v>4156</v>
      </c>
      <c r="AF203" s="1" t="s">
        <v>4157</v>
      </c>
      <c r="AG203" s="1" t="s">
        <v>4158</v>
      </c>
      <c r="AH203" s="1" t="s">
        <v>82</v>
      </c>
      <c r="AI203" s="1" t="s">
        <v>82</v>
      </c>
      <c r="AJ203" s="1" t="s">
        <v>4159</v>
      </c>
      <c r="AK203" s="1" t="s">
        <v>442</v>
      </c>
      <c r="AL203" s="1" t="s">
        <v>4160</v>
      </c>
      <c r="AM203" s="1" t="s">
        <v>82</v>
      </c>
      <c r="AN203" s="1">
        <v>28</v>
      </c>
      <c r="AO203" s="1">
        <v>0</v>
      </c>
      <c r="AP203" s="1">
        <v>0</v>
      </c>
      <c r="AQ203" s="1">
        <v>4</v>
      </c>
      <c r="AR203" s="1">
        <v>4</v>
      </c>
      <c r="AS203" s="1" t="s">
        <v>2117</v>
      </c>
      <c r="AT203" s="1" t="s">
        <v>2118</v>
      </c>
      <c r="AU203" s="1" t="s">
        <v>2119</v>
      </c>
      <c r="AV203" s="1" t="s">
        <v>82</v>
      </c>
      <c r="AW203" s="1" t="s">
        <v>4161</v>
      </c>
      <c r="AX203" s="1" t="s">
        <v>82</v>
      </c>
      <c r="AY203" s="1" t="s">
        <v>4162</v>
      </c>
      <c r="AZ203" s="1" t="s">
        <v>4163</v>
      </c>
      <c r="BA203" s="1" t="s">
        <v>1340</v>
      </c>
      <c r="BB203" s="1">
        <v>2022</v>
      </c>
      <c r="BC203" s="1">
        <v>20</v>
      </c>
      <c r="BD203" s="1">
        <v>10</v>
      </c>
      <c r="BE203" s="1" t="s">
        <v>82</v>
      </c>
      <c r="BF203" s="1" t="s">
        <v>82</v>
      </c>
      <c r="BG203" s="1" t="s">
        <v>82</v>
      </c>
      <c r="BH203" s="1" t="s">
        <v>82</v>
      </c>
      <c r="BI203" s="1" t="s">
        <v>82</v>
      </c>
      <c r="BJ203" s="1" t="s">
        <v>82</v>
      </c>
      <c r="BK203" s="1">
        <v>653</v>
      </c>
      <c r="BL203" s="1" t="s">
        <v>4164</v>
      </c>
      <c r="BM203" s="1" t="str">
        <f>HYPERLINK("http://dx.doi.org/10.3390/md20100653","http://dx.doi.org/10.3390/md20100653")</f>
        <v>http://dx.doi.org/10.3390/md20100653</v>
      </c>
      <c r="BN203" s="1" t="s">
        <v>82</v>
      </c>
      <c r="BO203" s="1" t="s">
        <v>82</v>
      </c>
      <c r="BP203" s="1">
        <v>15</v>
      </c>
      <c r="BQ203" s="1" t="s">
        <v>4165</v>
      </c>
      <c r="BR203" s="1" t="s">
        <v>104</v>
      </c>
      <c r="BS203" s="1" t="s">
        <v>982</v>
      </c>
      <c r="BT203" s="1" t="s">
        <v>4166</v>
      </c>
      <c r="BU203" s="1">
        <v>36286476</v>
      </c>
      <c r="BV203" s="1" t="s">
        <v>635</v>
      </c>
      <c r="BW203" s="1" t="s">
        <v>82</v>
      </c>
      <c r="BX203" s="1" t="s">
        <v>82</v>
      </c>
      <c r="BY203" s="1" t="s">
        <v>108</v>
      </c>
      <c r="BZ203" s="1" t="s">
        <v>4167</v>
      </c>
      <c r="CA203" s="1" t="str">
        <f>HYPERLINK("https%3A%2F%2Fwww.webofscience.com%2Fwos%2Fwoscc%2Ffull-record%2FWOS:000873081700001","View Full Record in Web of Science")</f>
        <v>View Full Record in Web of Science</v>
      </c>
    </row>
    <row r="204" s="1" customFormat="1" ht="14.4" spans="1:79">
      <c r="A204">
        <v>203</v>
      </c>
      <c r="B204" s="2" t="s">
        <v>110</v>
      </c>
      <c r="C204" s="1" t="s">
        <v>80</v>
      </c>
      <c r="D204" s="1" t="s">
        <v>4168</v>
      </c>
      <c r="E204" s="1" t="s">
        <v>82</v>
      </c>
      <c r="F204" s="1" t="s">
        <v>82</v>
      </c>
      <c r="G204" s="1" t="s">
        <v>82</v>
      </c>
      <c r="H204" s="1" t="s">
        <v>4169</v>
      </c>
      <c r="I204" s="1" t="s">
        <v>82</v>
      </c>
      <c r="J204" s="1" t="s">
        <v>82</v>
      </c>
      <c r="K204" s="1" t="s">
        <v>4170</v>
      </c>
      <c r="L204" s="1" t="s">
        <v>4171</v>
      </c>
      <c r="M204" s="1">
        <v>6.072</v>
      </c>
      <c r="O204" s="1" t="s">
        <v>82</v>
      </c>
      <c r="Q204" s="1" t="s">
        <v>87</v>
      </c>
      <c r="R204" s="1" t="s">
        <v>115</v>
      </c>
      <c r="S204" s="1" t="s">
        <v>82</v>
      </c>
      <c r="T204" s="1" t="s">
        <v>82</v>
      </c>
      <c r="U204" s="1" t="s">
        <v>82</v>
      </c>
      <c r="V204" s="1" t="s">
        <v>82</v>
      </c>
      <c r="W204" s="1" t="s">
        <v>82</v>
      </c>
      <c r="X204" s="1" t="s">
        <v>82</v>
      </c>
      <c r="Y204" s="1" t="s">
        <v>4172</v>
      </c>
      <c r="Z204" s="1" t="s">
        <v>4173</v>
      </c>
      <c r="AA204" s="1">
        <v>1</v>
      </c>
      <c r="AB204" s="3" t="s">
        <v>4174</v>
      </c>
      <c r="AC204" s="3" t="s">
        <v>4175</v>
      </c>
      <c r="AD204" s="1" t="s">
        <v>93</v>
      </c>
      <c r="AE204" s="1" t="s">
        <v>4176</v>
      </c>
      <c r="AF204" s="1" t="s">
        <v>4177</v>
      </c>
      <c r="AG204" s="1" t="s">
        <v>4178</v>
      </c>
      <c r="AH204" s="1" t="s">
        <v>82</v>
      </c>
      <c r="AI204" s="1" t="s">
        <v>4179</v>
      </c>
      <c r="AJ204" s="1" t="s">
        <v>4180</v>
      </c>
      <c r="AK204" s="1" t="s">
        <v>4181</v>
      </c>
      <c r="AL204" s="1" t="s">
        <v>4182</v>
      </c>
      <c r="AM204" s="1" t="s">
        <v>82</v>
      </c>
      <c r="AN204" s="1">
        <v>41</v>
      </c>
      <c r="AO204" s="1">
        <v>0</v>
      </c>
      <c r="AP204" s="1">
        <v>0</v>
      </c>
      <c r="AQ204" s="1">
        <v>19</v>
      </c>
      <c r="AR204" s="1">
        <v>19</v>
      </c>
      <c r="AS204" s="1" t="s">
        <v>862</v>
      </c>
      <c r="AT204" s="1" t="s">
        <v>129</v>
      </c>
      <c r="AU204" s="1" t="s">
        <v>863</v>
      </c>
      <c r="AV204" s="1" t="s">
        <v>4183</v>
      </c>
      <c r="AW204" s="1" t="s">
        <v>4184</v>
      </c>
      <c r="AX204" s="1" t="s">
        <v>82</v>
      </c>
      <c r="AY204" s="1" t="s">
        <v>4185</v>
      </c>
      <c r="AZ204" s="1" t="s">
        <v>4186</v>
      </c>
      <c r="BA204" s="1" t="s">
        <v>4187</v>
      </c>
      <c r="BB204" s="1">
        <v>2022</v>
      </c>
      <c r="BC204" s="1">
        <v>24</v>
      </c>
      <c r="BD204" s="1">
        <v>44</v>
      </c>
      <c r="BE204" s="1" t="s">
        <v>82</v>
      </c>
      <c r="BF204" s="1" t="s">
        <v>82</v>
      </c>
      <c r="BG204" s="1" t="s">
        <v>82</v>
      </c>
      <c r="BH204" s="1" t="s">
        <v>82</v>
      </c>
      <c r="BI204" s="1">
        <v>8104</v>
      </c>
      <c r="BJ204" s="1">
        <v>8108</v>
      </c>
      <c r="BK204" s="1" t="s">
        <v>82</v>
      </c>
      <c r="BL204" s="1" t="s">
        <v>4188</v>
      </c>
      <c r="BM204" s="1" t="s">
        <v>4189</v>
      </c>
      <c r="BN204" s="1" t="s">
        <v>82</v>
      </c>
      <c r="BO204" s="1" t="s">
        <v>82</v>
      </c>
      <c r="BP204" s="1">
        <v>5</v>
      </c>
      <c r="BQ204" s="1" t="s">
        <v>4190</v>
      </c>
      <c r="BR204" s="1" t="s">
        <v>104</v>
      </c>
      <c r="BS204" s="1" t="s">
        <v>706</v>
      </c>
      <c r="BT204" s="1" t="s">
        <v>4191</v>
      </c>
      <c r="BU204" s="1">
        <v>36286341</v>
      </c>
      <c r="BV204" s="1" t="s">
        <v>82</v>
      </c>
      <c r="BW204" s="1" t="s">
        <v>82</v>
      </c>
      <c r="BX204" s="1" t="s">
        <v>82</v>
      </c>
      <c r="BY204" s="1" t="s">
        <v>771</v>
      </c>
      <c r="BZ204" s="1" t="s">
        <v>4192</v>
      </c>
      <c r="CA204" s="1" t="s">
        <v>342</v>
      </c>
    </row>
    <row r="205" s="1" customFormat="1" ht="14.4" spans="1:79">
      <c r="A205">
        <v>204</v>
      </c>
      <c r="B205" s="2" t="s">
        <v>110</v>
      </c>
      <c r="C205" s="1" t="s">
        <v>80</v>
      </c>
      <c r="D205" s="1" t="s">
        <v>4193</v>
      </c>
      <c r="E205" s="1" t="s">
        <v>82</v>
      </c>
      <c r="F205" s="1" t="s">
        <v>82</v>
      </c>
      <c r="G205" s="1" t="s">
        <v>82</v>
      </c>
      <c r="H205" s="1" t="s">
        <v>4194</v>
      </c>
      <c r="I205" s="1" t="s">
        <v>82</v>
      </c>
      <c r="J205" s="1" t="s">
        <v>82</v>
      </c>
      <c r="K205" s="1" t="s">
        <v>4195</v>
      </c>
      <c r="L205" s="1" t="s">
        <v>4171</v>
      </c>
      <c r="M205" s="1">
        <v>6.072</v>
      </c>
      <c r="O205" s="1" t="s">
        <v>82</v>
      </c>
      <c r="P205" s="1" t="s">
        <v>82</v>
      </c>
      <c r="Q205" s="1" t="s">
        <v>87</v>
      </c>
      <c r="R205" s="1" t="s">
        <v>1624</v>
      </c>
      <c r="S205" s="1" t="s">
        <v>82</v>
      </c>
      <c r="T205" s="1" t="s">
        <v>82</v>
      </c>
      <c r="U205" s="1" t="s">
        <v>82</v>
      </c>
      <c r="V205" s="1" t="s">
        <v>82</v>
      </c>
      <c r="W205" s="1" t="s">
        <v>82</v>
      </c>
      <c r="X205" s="1" t="s">
        <v>82</v>
      </c>
      <c r="Y205" s="1" t="s">
        <v>4196</v>
      </c>
      <c r="Z205" s="1" t="s">
        <v>4197</v>
      </c>
      <c r="AA205" s="1">
        <v>1</v>
      </c>
      <c r="AB205" s="1" t="s">
        <v>4198</v>
      </c>
      <c r="AC205" s="1" t="s">
        <v>4199</v>
      </c>
      <c r="AD205" s="1" t="s">
        <v>93</v>
      </c>
      <c r="AE205" s="1" t="s">
        <v>4200</v>
      </c>
      <c r="AF205" s="1" t="s">
        <v>4201</v>
      </c>
      <c r="AG205" s="1" t="s">
        <v>4202</v>
      </c>
      <c r="AH205" s="1" t="s">
        <v>82</v>
      </c>
      <c r="AI205" s="1" t="s">
        <v>82</v>
      </c>
      <c r="AJ205" s="1" t="s">
        <v>4203</v>
      </c>
      <c r="AK205" s="1" t="s">
        <v>4204</v>
      </c>
      <c r="AL205" s="1" t="s">
        <v>4205</v>
      </c>
      <c r="AM205" s="1" t="s">
        <v>82</v>
      </c>
      <c r="AN205" s="1">
        <v>55</v>
      </c>
      <c r="AO205" s="1">
        <v>0</v>
      </c>
      <c r="AP205" s="1">
        <v>0</v>
      </c>
      <c r="AQ205" s="1">
        <v>6</v>
      </c>
      <c r="AR205" s="1">
        <v>6</v>
      </c>
      <c r="AS205" s="1" t="s">
        <v>862</v>
      </c>
      <c r="AT205" s="1" t="s">
        <v>129</v>
      </c>
      <c r="AU205" s="1" t="s">
        <v>863</v>
      </c>
      <c r="AV205" s="1" t="s">
        <v>4183</v>
      </c>
      <c r="AW205" s="1" t="s">
        <v>4184</v>
      </c>
      <c r="AX205" s="1" t="s">
        <v>82</v>
      </c>
      <c r="AY205" s="1" t="s">
        <v>4185</v>
      </c>
      <c r="AZ205" s="1" t="s">
        <v>4186</v>
      </c>
      <c r="BA205" s="1" t="s">
        <v>82</v>
      </c>
      <c r="BB205" s="1" t="s">
        <v>82</v>
      </c>
      <c r="BC205" s="1" t="s">
        <v>82</v>
      </c>
      <c r="BD205" s="1" t="s">
        <v>82</v>
      </c>
      <c r="BE205" s="1" t="s">
        <v>82</v>
      </c>
      <c r="BF205" s="1" t="s">
        <v>82</v>
      </c>
      <c r="BG205" s="1" t="s">
        <v>82</v>
      </c>
      <c r="BH205" s="1" t="s">
        <v>82</v>
      </c>
      <c r="BI205" s="1" t="s">
        <v>82</v>
      </c>
      <c r="BJ205" s="1" t="s">
        <v>82</v>
      </c>
      <c r="BK205" s="1" t="s">
        <v>82</v>
      </c>
      <c r="BL205" s="1" t="s">
        <v>4206</v>
      </c>
      <c r="BM205" s="1" t="str">
        <f>HYPERLINK("http://dx.doi.org/10.1021/acs.orglett.2c03081","http://dx.doi.org/10.1021/acs.orglett.2c03081")</f>
        <v>http://dx.doi.org/10.1021/acs.orglett.2c03081</v>
      </c>
      <c r="BN205" s="1" t="s">
        <v>82</v>
      </c>
      <c r="BO205" s="1" t="s">
        <v>2084</v>
      </c>
      <c r="BP205" s="1">
        <v>5</v>
      </c>
      <c r="BQ205" s="1" t="s">
        <v>4190</v>
      </c>
      <c r="BR205" s="1" t="s">
        <v>104</v>
      </c>
      <c r="BS205" s="1" t="s">
        <v>706</v>
      </c>
      <c r="BT205" s="1" t="s">
        <v>4207</v>
      </c>
      <c r="BU205" s="1">
        <v>36286593</v>
      </c>
      <c r="BV205" s="1" t="s">
        <v>82</v>
      </c>
      <c r="BW205" s="1" t="s">
        <v>82</v>
      </c>
      <c r="BX205" s="1" t="s">
        <v>82</v>
      </c>
      <c r="BY205" s="1" t="s">
        <v>108</v>
      </c>
      <c r="BZ205" s="1" t="s">
        <v>4208</v>
      </c>
      <c r="CA205" s="1" t="str">
        <f>HYPERLINK("https%3A%2F%2Fwww.webofscience.com%2Fwos%2Fwoscc%2Ffull-record%2FWOS:000878294800001","View Full Record in Web of Science")</f>
        <v>View Full Record in Web of Science</v>
      </c>
    </row>
    <row r="206" s="1" customFormat="1" ht="14.4" spans="1:79">
      <c r="A206">
        <v>205</v>
      </c>
      <c r="B206" s="2" t="s">
        <v>110</v>
      </c>
      <c r="C206" s="1" t="s">
        <v>80</v>
      </c>
      <c r="D206" s="1" t="s">
        <v>4209</v>
      </c>
      <c r="E206" s="1" t="s">
        <v>82</v>
      </c>
      <c r="F206" s="1" t="s">
        <v>82</v>
      </c>
      <c r="G206" s="1" t="s">
        <v>82</v>
      </c>
      <c r="H206" s="1" t="s">
        <v>4210</v>
      </c>
      <c r="I206" s="1" t="s">
        <v>82</v>
      </c>
      <c r="J206" s="1" t="s">
        <v>82</v>
      </c>
      <c r="K206" s="1" t="s">
        <v>4211</v>
      </c>
      <c r="L206" s="1" t="s">
        <v>4171</v>
      </c>
      <c r="M206" s="1">
        <v>6.072</v>
      </c>
      <c r="O206" s="1" t="s">
        <v>82</v>
      </c>
      <c r="P206" s="1" t="s">
        <v>82</v>
      </c>
      <c r="Q206" s="1" t="s">
        <v>87</v>
      </c>
      <c r="R206" s="1" t="s">
        <v>1624</v>
      </c>
      <c r="S206" s="1" t="s">
        <v>82</v>
      </c>
      <c r="T206" s="1" t="s">
        <v>82</v>
      </c>
      <c r="U206" s="1" t="s">
        <v>82</v>
      </c>
      <c r="V206" s="1" t="s">
        <v>82</v>
      </c>
      <c r="W206" s="1" t="s">
        <v>82</v>
      </c>
      <c r="X206" s="1" t="s">
        <v>82</v>
      </c>
      <c r="Y206" s="1" t="s">
        <v>82</v>
      </c>
      <c r="Z206" s="1" t="s">
        <v>4212</v>
      </c>
      <c r="AB206" s="1" t="s">
        <v>4213</v>
      </c>
      <c r="AC206" s="1" t="s">
        <v>4214</v>
      </c>
      <c r="AD206" s="1" t="s">
        <v>120</v>
      </c>
      <c r="AE206" s="1" t="s">
        <v>4215</v>
      </c>
      <c r="AF206" s="1" t="s">
        <v>4216</v>
      </c>
      <c r="AG206" s="1" t="s">
        <v>4217</v>
      </c>
      <c r="AH206" s="1" t="s">
        <v>82</v>
      </c>
      <c r="AI206" s="1" t="s">
        <v>82</v>
      </c>
      <c r="AJ206" s="1" t="s">
        <v>4218</v>
      </c>
      <c r="AK206" s="1" t="s">
        <v>4219</v>
      </c>
      <c r="AL206" s="1" t="s">
        <v>4220</v>
      </c>
      <c r="AM206" s="1" t="s">
        <v>82</v>
      </c>
      <c r="AN206" s="1">
        <v>22</v>
      </c>
      <c r="AO206" s="1">
        <v>0</v>
      </c>
      <c r="AP206" s="1">
        <v>0</v>
      </c>
      <c r="AQ206" s="1">
        <v>12</v>
      </c>
      <c r="AR206" s="1">
        <v>12</v>
      </c>
      <c r="AS206" s="1" t="s">
        <v>862</v>
      </c>
      <c r="AT206" s="1" t="s">
        <v>129</v>
      </c>
      <c r="AU206" s="1" t="s">
        <v>863</v>
      </c>
      <c r="AV206" s="1" t="s">
        <v>4183</v>
      </c>
      <c r="AW206" s="1" t="s">
        <v>4184</v>
      </c>
      <c r="AX206" s="1" t="s">
        <v>82</v>
      </c>
      <c r="AY206" s="1" t="s">
        <v>4185</v>
      </c>
      <c r="AZ206" s="1" t="s">
        <v>4186</v>
      </c>
      <c r="BA206" s="1" t="s">
        <v>82</v>
      </c>
      <c r="BB206" s="1" t="s">
        <v>82</v>
      </c>
      <c r="BC206" s="1" t="s">
        <v>82</v>
      </c>
      <c r="BD206" s="1" t="s">
        <v>82</v>
      </c>
      <c r="BE206" s="1" t="s">
        <v>82</v>
      </c>
      <c r="BF206" s="1" t="s">
        <v>82</v>
      </c>
      <c r="BG206" s="1" t="s">
        <v>82</v>
      </c>
      <c r="BH206" s="1" t="s">
        <v>82</v>
      </c>
      <c r="BI206" s="1" t="s">
        <v>82</v>
      </c>
      <c r="BJ206" s="1" t="s">
        <v>82</v>
      </c>
      <c r="BK206" s="1" t="s">
        <v>82</v>
      </c>
      <c r="BL206" s="1" t="s">
        <v>4221</v>
      </c>
      <c r="BM206" s="1" t="str">
        <f>HYPERLINK("http://dx.doi.org/10.1021/acs.orglett.2c02701","http://dx.doi.org/10.1021/acs.orglett.2c02701")</f>
        <v>http://dx.doi.org/10.1021/acs.orglett.2c02701</v>
      </c>
      <c r="BN206" s="1" t="s">
        <v>82</v>
      </c>
      <c r="BO206" s="1" t="s">
        <v>224</v>
      </c>
      <c r="BP206" s="1">
        <v>5</v>
      </c>
      <c r="BQ206" s="1" t="s">
        <v>4190</v>
      </c>
      <c r="BR206" s="1" t="s">
        <v>104</v>
      </c>
      <c r="BS206" s="1" t="s">
        <v>706</v>
      </c>
      <c r="BT206" s="1" t="s">
        <v>4222</v>
      </c>
      <c r="BU206" s="1">
        <v>36074729</v>
      </c>
      <c r="BV206" s="1" t="s">
        <v>82</v>
      </c>
      <c r="BW206" s="1" t="s">
        <v>82</v>
      </c>
      <c r="BX206" s="1" t="s">
        <v>82</v>
      </c>
      <c r="BY206" s="1" t="s">
        <v>108</v>
      </c>
      <c r="BZ206" s="1" t="s">
        <v>4223</v>
      </c>
      <c r="CA206" s="1" t="str">
        <f>HYPERLINK("https%3A%2F%2Fwww.webofscience.com%2Fwos%2Fwoscc%2Ffull-record%2FWOS:000874983500001","View Full Record in Web of Science")</f>
        <v>View Full Record in Web of Science</v>
      </c>
    </row>
    <row r="207" s="1" customFormat="1" ht="14.4" spans="1:79">
      <c r="A207">
        <v>206</v>
      </c>
      <c r="B207" s="2" t="s">
        <v>110</v>
      </c>
      <c r="C207" s="1" t="s">
        <v>80</v>
      </c>
      <c r="D207" s="1" t="s">
        <v>4224</v>
      </c>
      <c r="E207" s="1" t="s">
        <v>82</v>
      </c>
      <c r="F207" s="1" t="s">
        <v>82</v>
      </c>
      <c r="G207" s="1" t="s">
        <v>82</v>
      </c>
      <c r="H207" s="1" t="s">
        <v>4225</v>
      </c>
      <c r="I207" s="1" t="s">
        <v>82</v>
      </c>
      <c r="J207" s="1" t="s">
        <v>82</v>
      </c>
      <c r="K207" s="1" t="s">
        <v>4226</v>
      </c>
      <c r="L207" s="1" t="s">
        <v>4171</v>
      </c>
      <c r="M207" s="1">
        <v>6.072</v>
      </c>
      <c r="O207" s="1" t="s">
        <v>82</v>
      </c>
      <c r="P207" s="1" t="s">
        <v>82</v>
      </c>
      <c r="Q207" s="1" t="s">
        <v>87</v>
      </c>
      <c r="R207" s="1" t="s">
        <v>115</v>
      </c>
      <c r="S207" s="1" t="s">
        <v>82</v>
      </c>
      <c r="T207" s="1" t="s">
        <v>82</v>
      </c>
      <c r="U207" s="1" t="s">
        <v>82</v>
      </c>
      <c r="V207" s="1" t="s">
        <v>82</v>
      </c>
      <c r="W207" s="1" t="s">
        <v>82</v>
      </c>
      <c r="X207" s="1" t="s">
        <v>82</v>
      </c>
      <c r="Y207" s="1" t="s">
        <v>4227</v>
      </c>
      <c r="Z207" s="1" t="s">
        <v>4228</v>
      </c>
      <c r="AA207" s="1">
        <v>1</v>
      </c>
      <c r="AB207" s="1" t="s">
        <v>4229</v>
      </c>
      <c r="AC207" s="1" t="s">
        <v>4230</v>
      </c>
      <c r="AD207" s="1" t="s">
        <v>93</v>
      </c>
      <c r="AE207" s="1" t="s">
        <v>4231</v>
      </c>
      <c r="AF207" s="1" t="s">
        <v>4232</v>
      </c>
      <c r="AG207" s="1" t="s">
        <v>4233</v>
      </c>
      <c r="AH207" s="1" t="s">
        <v>82</v>
      </c>
      <c r="AI207" s="1" t="s">
        <v>82</v>
      </c>
      <c r="AJ207" s="1" t="s">
        <v>4234</v>
      </c>
      <c r="AK207" s="1" t="s">
        <v>4235</v>
      </c>
      <c r="AL207" s="1" t="s">
        <v>4236</v>
      </c>
      <c r="AM207" s="1" t="s">
        <v>82</v>
      </c>
      <c r="AN207" s="1">
        <v>42</v>
      </c>
      <c r="AO207" s="1">
        <v>0</v>
      </c>
      <c r="AP207" s="1">
        <v>0</v>
      </c>
      <c r="AQ207" s="1">
        <v>11</v>
      </c>
      <c r="AR207" s="1">
        <v>11</v>
      </c>
      <c r="AS207" s="1" t="s">
        <v>862</v>
      </c>
      <c r="AT207" s="1" t="s">
        <v>129</v>
      </c>
      <c r="AU207" s="1" t="s">
        <v>863</v>
      </c>
      <c r="AV207" s="1" t="s">
        <v>4183</v>
      </c>
      <c r="AW207" s="1" t="s">
        <v>4184</v>
      </c>
      <c r="AX207" s="1" t="s">
        <v>82</v>
      </c>
      <c r="AY207" s="1" t="s">
        <v>4185</v>
      </c>
      <c r="AZ207" s="1" t="s">
        <v>4186</v>
      </c>
      <c r="BA207" s="1" t="s">
        <v>4237</v>
      </c>
      <c r="BB207" s="1">
        <v>2022</v>
      </c>
      <c r="BC207" s="1">
        <v>24</v>
      </c>
      <c r="BD207" s="1">
        <v>41</v>
      </c>
      <c r="BE207" s="1" t="s">
        <v>82</v>
      </c>
      <c r="BF207" s="1" t="s">
        <v>82</v>
      </c>
      <c r="BG207" s="1" t="s">
        <v>82</v>
      </c>
      <c r="BH207" s="1" t="s">
        <v>82</v>
      </c>
      <c r="BI207" s="1">
        <v>7533</v>
      </c>
      <c r="BJ207" s="1">
        <v>7537</v>
      </c>
      <c r="BK207" s="1" t="s">
        <v>82</v>
      </c>
      <c r="BL207" s="1" t="s">
        <v>4238</v>
      </c>
      <c r="BM207" s="1" t="str">
        <f>HYPERLINK("http://dx.doi.org/10.1021/acs.orglett.2c02824","http://dx.doi.org/10.1021/acs.orglett.2c02824")</f>
        <v>http://dx.doi.org/10.1021/acs.orglett.2c02824</v>
      </c>
      <c r="BN207" s="1" t="s">
        <v>82</v>
      </c>
      <c r="BO207" s="1" t="s">
        <v>2084</v>
      </c>
      <c r="BP207" s="1">
        <v>5</v>
      </c>
      <c r="BQ207" s="1" t="s">
        <v>4190</v>
      </c>
      <c r="BR207" s="1" t="s">
        <v>104</v>
      </c>
      <c r="BS207" s="1" t="s">
        <v>706</v>
      </c>
      <c r="BT207" s="1" t="s">
        <v>4239</v>
      </c>
      <c r="BU207" s="1">
        <v>36219730</v>
      </c>
      <c r="BV207" s="1" t="s">
        <v>82</v>
      </c>
      <c r="BW207" s="1" t="s">
        <v>82</v>
      </c>
      <c r="BX207" s="1" t="s">
        <v>82</v>
      </c>
      <c r="BY207" s="1" t="s">
        <v>108</v>
      </c>
      <c r="BZ207" s="1" t="s">
        <v>4240</v>
      </c>
      <c r="CA207" s="1" t="str">
        <f>HYPERLINK("https%3A%2F%2Fwww.webofscience.com%2Fwos%2Fwoscc%2Ffull-record%2FWOS:000869056600001","View Full Record in Web of Science")</f>
        <v>View Full Record in Web of Science</v>
      </c>
    </row>
    <row r="208" s="1" customFormat="1" ht="14.4" spans="1:79">
      <c r="A208">
        <v>207</v>
      </c>
      <c r="B208" s="2" t="s">
        <v>110</v>
      </c>
      <c r="C208" s="1" t="s">
        <v>80</v>
      </c>
      <c r="D208" s="1" t="s">
        <v>4241</v>
      </c>
      <c r="E208" s="1" t="s">
        <v>82</v>
      </c>
      <c r="F208" s="1" t="s">
        <v>82</v>
      </c>
      <c r="G208" s="1" t="s">
        <v>82</v>
      </c>
      <c r="H208" s="1" t="s">
        <v>4242</v>
      </c>
      <c r="I208" s="1" t="s">
        <v>82</v>
      </c>
      <c r="J208" s="1" t="s">
        <v>82</v>
      </c>
      <c r="K208" s="1" t="s">
        <v>4243</v>
      </c>
      <c r="L208" s="1" t="s">
        <v>4171</v>
      </c>
      <c r="M208" s="1">
        <v>6.072</v>
      </c>
      <c r="O208" s="1" t="s">
        <v>82</v>
      </c>
      <c r="P208" s="1" t="s">
        <v>82</v>
      </c>
      <c r="Q208" s="1" t="s">
        <v>87</v>
      </c>
      <c r="R208" s="1" t="s">
        <v>115</v>
      </c>
      <c r="S208" s="1" t="s">
        <v>82</v>
      </c>
      <c r="T208" s="1" t="s">
        <v>82</v>
      </c>
      <c r="U208" s="1" t="s">
        <v>82</v>
      </c>
      <c r="V208" s="1" t="s">
        <v>82</v>
      </c>
      <c r="W208" s="1" t="s">
        <v>82</v>
      </c>
      <c r="X208" s="1" t="s">
        <v>82</v>
      </c>
      <c r="Y208" s="1" t="s">
        <v>4244</v>
      </c>
      <c r="Z208" s="1" t="s">
        <v>4245</v>
      </c>
      <c r="AB208" s="1" t="s">
        <v>4246</v>
      </c>
      <c r="AC208" s="1" t="s">
        <v>4247</v>
      </c>
      <c r="AD208" s="1" t="s">
        <v>206</v>
      </c>
      <c r="AE208" s="1" t="s">
        <v>4248</v>
      </c>
      <c r="AF208" s="1" t="s">
        <v>4249</v>
      </c>
      <c r="AG208" s="1" t="s">
        <v>4250</v>
      </c>
      <c r="AH208" s="1" t="s">
        <v>82</v>
      </c>
      <c r="AI208" s="1" t="s">
        <v>82</v>
      </c>
      <c r="AJ208" s="1" t="s">
        <v>4251</v>
      </c>
      <c r="AK208" s="1" t="s">
        <v>4252</v>
      </c>
      <c r="AL208" s="1" t="s">
        <v>4253</v>
      </c>
      <c r="AM208" s="1" t="s">
        <v>82</v>
      </c>
      <c r="AN208" s="1">
        <v>17</v>
      </c>
      <c r="AO208" s="1">
        <v>0</v>
      </c>
      <c r="AP208" s="1">
        <v>0</v>
      </c>
      <c r="AQ208" s="1">
        <v>11</v>
      </c>
      <c r="AR208" s="1">
        <v>11</v>
      </c>
      <c r="AS208" s="1" t="s">
        <v>862</v>
      </c>
      <c r="AT208" s="1" t="s">
        <v>129</v>
      </c>
      <c r="AU208" s="1" t="s">
        <v>863</v>
      </c>
      <c r="AV208" s="1" t="s">
        <v>4183</v>
      </c>
      <c r="AW208" s="1" t="s">
        <v>4184</v>
      </c>
      <c r="AX208" s="1" t="s">
        <v>82</v>
      </c>
      <c r="AY208" s="1" t="s">
        <v>4185</v>
      </c>
      <c r="AZ208" s="1" t="s">
        <v>4186</v>
      </c>
      <c r="BA208" s="1" t="s">
        <v>4254</v>
      </c>
      <c r="BB208" s="1">
        <v>2022</v>
      </c>
      <c r="BC208" s="1">
        <v>24</v>
      </c>
      <c r="BD208" s="1">
        <v>38</v>
      </c>
      <c r="BE208" s="1" t="s">
        <v>82</v>
      </c>
      <c r="BF208" s="1" t="s">
        <v>82</v>
      </c>
      <c r="BG208" s="1" t="s">
        <v>82</v>
      </c>
      <c r="BH208" s="1" t="s">
        <v>82</v>
      </c>
      <c r="BI208" s="1">
        <v>6936</v>
      </c>
      <c r="BJ208" s="1">
        <v>6939</v>
      </c>
      <c r="BK208" s="1" t="s">
        <v>82</v>
      </c>
      <c r="BL208" s="1" t="s">
        <v>4255</v>
      </c>
      <c r="BM208" s="1" t="str">
        <f>HYPERLINK("http://dx.doi.org/10.1021/acs.orglett.2c02710","http://dx.doi.org/10.1021/acs.orglett.2c02710")</f>
        <v>http://dx.doi.org/10.1021/acs.orglett.2c02710</v>
      </c>
      <c r="BN208" s="1" t="s">
        <v>82</v>
      </c>
      <c r="BO208" s="1" t="s">
        <v>224</v>
      </c>
      <c r="BP208" s="1">
        <v>4</v>
      </c>
      <c r="BQ208" s="1" t="s">
        <v>4190</v>
      </c>
      <c r="BR208" s="1" t="s">
        <v>104</v>
      </c>
      <c r="BS208" s="1" t="s">
        <v>706</v>
      </c>
      <c r="BT208" s="1" t="s">
        <v>4256</v>
      </c>
      <c r="BU208" s="1">
        <v>36130037</v>
      </c>
      <c r="BV208" s="1" t="s">
        <v>82</v>
      </c>
      <c r="BW208" s="1" t="s">
        <v>82</v>
      </c>
      <c r="BX208" s="1" t="s">
        <v>82</v>
      </c>
      <c r="BY208" s="1" t="s">
        <v>108</v>
      </c>
      <c r="BZ208" s="1" t="s">
        <v>4257</v>
      </c>
      <c r="CA208" s="1" t="str">
        <f>HYPERLINK("https%3A%2F%2Fwww.webofscience.com%2Fwos%2Fwoscc%2Ffull-record%2FWOS:000861304000001","View Full Record in Web of Science")</f>
        <v>View Full Record in Web of Science</v>
      </c>
    </row>
    <row r="209" s="1" customFormat="1" ht="14.4" spans="1:79">
      <c r="A209">
        <v>208</v>
      </c>
      <c r="B209" s="2" t="s">
        <v>79</v>
      </c>
      <c r="C209" s="1" t="s">
        <v>80</v>
      </c>
      <c r="D209" s="1" t="s">
        <v>4258</v>
      </c>
      <c r="E209" s="1" t="s">
        <v>82</v>
      </c>
      <c r="F209" s="1" t="s">
        <v>82</v>
      </c>
      <c r="G209" s="1" t="s">
        <v>82</v>
      </c>
      <c r="H209" s="1" t="s">
        <v>4259</v>
      </c>
      <c r="I209" s="1" t="s">
        <v>82</v>
      </c>
      <c r="J209" s="1" t="s">
        <v>82</v>
      </c>
      <c r="K209" s="1" t="s">
        <v>4260</v>
      </c>
      <c r="L209" s="1" t="s">
        <v>4171</v>
      </c>
      <c r="M209" s="1">
        <v>6.072</v>
      </c>
      <c r="O209" s="1" t="s">
        <v>82</v>
      </c>
      <c r="P209" s="1" t="s">
        <v>82</v>
      </c>
      <c r="Q209" s="1" t="s">
        <v>87</v>
      </c>
      <c r="R209" s="1" t="s">
        <v>1624</v>
      </c>
      <c r="S209" s="1" t="s">
        <v>82</v>
      </c>
      <c r="T209" s="1" t="s">
        <v>82</v>
      </c>
      <c r="U209" s="1" t="s">
        <v>82</v>
      </c>
      <c r="V209" s="1" t="s">
        <v>82</v>
      </c>
      <c r="W209" s="1" t="s">
        <v>82</v>
      </c>
      <c r="X209" s="1" t="s">
        <v>82</v>
      </c>
      <c r="Y209" s="1" t="s">
        <v>82</v>
      </c>
      <c r="Z209" s="1" t="s">
        <v>4261</v>
      </c>
      <c r="AB209" s="1" t="s">
        <v>4262</v>
      </c>
      <c r="AC209" s="1" t="s">
        <v>4263</v>
      </c>
      <c r="AD209" s="1" t="s">
        <v>206</v>
      </c>
      <c r="AE209" s="1" t="s">
        <v>3973</v>
      </c>
      <c r="AF209" s="1" t="s">
        <v>4264</v>
      </c>
      <c r="AG209" s="1" t="s">
        <v>4265</v>
      </c>
      <c r="AH209" s="1" t="s">
        <v>82</v>
      </c>
      <c r="AI209" s="1" t="s">
        <v>4266</v>
      </c>
      <c r="AJ209" s="1" t="s">
        <v>4267</v>
      </c>
      <c r="AK209" s="1" t="s">
        <v>4268</v>
      </c>
      <c r="AL209" s="1" t="s">
        <v>4269</v>
      </c>
      <c r="AM209" s="1" t="s">
        <v>82</v>
      </c>
      <c r="AN209" s="1">
        <v>28</v>
      </c>
      <c r="AO209" s="1">
        <v>1</v>
      </c>
      <c r="AP209" s="1">
        <v>1</v>
      </c>
      <c r="AQ209" s="1">
        <v>29</v>
      </c>
      <c r="AR209" s="1">
        <v>29</v>
      </c>
      <c r="AS209" s="1" t="s">
        <v>862</v>
      </c>
      <c r="AT209" s="1" t="s">
        <v>129</v>
      </c>
      <c r="AU209" s="1" t="s">
        <v>863</v>
      </c>
      <c r="AV209" s="1" t="s">
        <v>4183</v>
      </c>
      <c r="AW209" s="1" t="s">
        <v>4184</v>
      </c>
      <c r="AX209" s="1" t="s">
        <v>82</v>
      </c>
      <c r="AY209" s="1" t="s">
        <v>4185</v>
      </c>
      <c r="AZ209" s="1" t="s">
        <v>4186</v>
      </c>
      <c r="BA209" s="1" t="s">
        <v>82</v>
      </c>
      <c r="BB209" s="1" t="s">
        <v>82</v>
      </c>
      <c r="BC209" s="1" t="s">
        <v>82</v>
      </c>
      <c r="BD209" s="1" t="s">
        <v>82</v>
      </c>
      <c r="BE209" s="1" t="s">
        <v>82</v>
      </c>
      <c r="BF209" s="1" t="s">
        <v>82</v>
      </c>
      <c r="BG209" s="1" t="s">
        <v>82</v>
      </c>
      <c r="BH209" s="1" t="s">
        <v>82</v>
      </c>
      <c r="BI209" s="1" t="s">
        <v>82</v>
      </c>
      <c r="BJ209" s="1" t="s">
        <v>82</v>
      </c>
      <c r="BK209" s="1" t="s">
        <v>82</v>
      </c>
      <c r="BL209" s="1" t="s">
        <v>4270</v>
      </c>
      <c r="BM209" s="1" t="str">
        <f>HYPERLINK("http://dx.doi.org/10.1021/acs.orglett.2c02240","http://dx.doi.org/10.1021/acs.orglett.2c02240")</f>
        <v>http://dx.doi.org/10.1021/acs.orglett.2c02240</v>
      </c>
      <c r="BN209" s="1" t="s">
        <v>82</v>
      </c>
      <c r="BO209" s="1" t="s">
        <v>424</v>
      </c>
      <c r="BP209" s="1">
        <v>5</v>
      </c>
      <c r="BQ209" s="1" t="s">
        <v>4190</v>
      </c>
      <c r="BR209" s="1" t="s">
        <v>104</v>
      </c>
      <c r="BS209" s="1" t="s">
        <v>706</v>
      </c>
      <c r="BT209" s="1" t="s">
        <v>4271</v>
      </c>
      <c r="BU209" s="1">
        <v>35925684</v>
      </c>
      <c r="BV209" s="1" t="s">
        <v>82</v>
      </c>
      <c r="BW209" s="1" t="s">
        <v>82</v>
      </c>
      <c r="BX209" s="1" t="s">
        <v>82</v>
      </c>
      <c r="BY209" s="1" t="s">
        <v>108</v>
      </c>
      <c r="BZ209" s="1" t="s">
        <v>4272</v>
      </c>
      <c r="CA209" s="1" t="str">
        <f>HYPERLINK("https%3A%2F%2Fwww.webofscience.com%2Fwos%2Fwoscc%2Ffull-record%2FWOS:000837857600001","View Full Record in Web of Science")</f>
        <v>View Full Record in Web of Science</v>
      </c>
    </row>
    <row r="210" s="1" customFormat="1" ht="14.4" spans="1:79">
      <c r="A210">
        <v>209</v>
      </c>
      <c r="B210" s="2" t="s">
        <v>110</v>
      </c>
      <c r="C210" s="1" t="s">
        <v>80</v>
      </c>
      <c r="D210" s="1" t="s">
        <v>4273</v>
      </c>
      <c r="E210" s="1" t="s">
        <v>82</v>
      </c>
      <c r="F210" s="1" t="s">
        <v>82</v>
      </c>
      <c r="G210" s="1" t="s">
        <v>82</v>
      </c>
      <c r="H210" s="1" t="s">
        <v>4274</v>
      </c>
      <c r="I210" s="1" t="s">
        <v>82</v>
      </c>
      <c r="J210" s="1" t="s">
        <v>82</v>
      </c>
      <c r="K210" s="1" t="s">
        <v>4275</v>
      </c>
      <c r="L210" s="1" t="s">
        <v>4171</v>
      </c>
      <c r="M210" s="1">
        <v>6.072</v>
      </c>
      <c r="O210" s="1" t="s">
        <v>82</v>
      </c>
      <c r="P210" s="1" t="s">
        <v>82</v>
      </c>
      <c r="Q210" s="1" t="s">
        <v>87</v>
      </c>
      <c r="R210" s="1" t="s">
        <v>115</v>
      </c>
      <c r="S210" s="1" t="s">
        <v>82</v>
      </c>
      <c r="T210" s="1" t="s">
        <v>82</v>
      </c>
      <c r="U210" s="1" t="s">
        <v>82</v>
      </c>
      <c r="V210" s="1" t="s">
        <v>82</v>
      </c>
      <c r="W210" s="1" t="s">
        <v>82</v>
      </c>
      <c r="X210" s="1" t="s">
        <v>82</v>
      </c>
      <c r="Y210" s="1" t="s">
        <v>4276</v>
      </c>
      <c r="Z210" s="1" t="s">
        <v>4277</v>
      </c>
      <c r="AA210" s="1">
        <v>1</v>
      </c>
      <c r="AB210" s="1" t="s">
        <v>4278</v>
      </c>
      <c r="AC210" s="1" t="s">
        <v>4279</v>
      </c>
      <c r="AD210" s="1" t="s">
        <v>93</v>
      </c>
      <c r="AE210" s="1" t="s">
        <v>4280</v>
      </c>
      <c r="AF210" s="1" t="s">
        <v>4281</v>
      </c>
      <c r="AG210" s="1" t="s">
        <v>4282</v>
      </c>
      <c r="AH210" s="1" t="s">
        <v>82</v>
      </c>
      <c r="AI210" s="1" t="s">
        <v>3635</v>
      </c>
      <c r="AJ210" s="1" t="s">
        <v>4283</v>
      </c>
      <c r="AK210" s="1" t="s">
        <v>4284</v>
      </c>
      <c r="AL210" s="1" t="s">
        <v>4285</v>
      </c>
      <c r="AM210" s="1" t="s">
        <v>82</v>
      </c>
      <c r="AN210" s="1">
        <v>26</v>
      </c>
      <c r="AO210" s="1">
        <v>0</v>
      </c>
      <c r="AP210" s="1">
        <v>0</v>
      </c>
      <c r="AQ210" s="1">
        <v>22</v>
      </c>
      <c r="AR210" s="1">
        <v>27</v>
      </c>
      <c r="AS210" s="1" t="s">
        <v>862</v>
      </c>
      <c r="AT210" s="1" t="s">
        <v>129</v>
      </c>
      <c r="AU210" s="1" t="s">
        <v>863</v>
      </c>
      <c r="AV210" s="1" t="s">
        <v>4183</v>
      </c>
      <c r="AW210" s="1" t="s">
        <v>4184</v>
      </c>
      <c r="AX210" s="1" t="s">
        <v>82</v>
      </c>
      <c r="AY210" s="1" t="s">
        <v>4185</v>
      </c>
      <c r="AZ210" s="1" t="s">
        <v>4186</v>
      </c>
      <c r="BA210" s="1" t="s">
        <v>169</v>
      </c>
      <c r="BB210" s="1">
        <v>2022</v>
      </c>
      <c r="BC210" s="1">
        <v>24</v>
      </c>
      <c r="BD210" s="1">
        <v>24</v>
      </c>
      <c r="BE210" s="1" t="s">
        <v>82</v>
      </c>
      <c r="BF210" s="1" t="s">
        <v>82</v>
      </c>
      <c r="BG210" s="1" t="s">
        <v>82</v>
      </c>
      <c r="BH210" s="1" t="s">
        <v>82</v>
      </c>
      <c r="BI210" s="1">
        <v>4333</v>
      </c>
      <c r="BJ210" s="1">
        <v>4337</v>
      </c>
      <c r="BK210" s="1" t="s">
        <v>82</v>
      </c>
      <c r="BL210" s="1" t="s">
        <v>4286</v>
      </c>
      <c r="BM210" s="1" t="str">
        <f>HYPERLINK("http://dx.doi.org/10.1021/acs.orglett.2c01421","http://dx.doi.org/10.1021/acs.orglett.2c01421")</f>
        <v>http://dx.doi.org/10.1021/acs.orglett.2c01421</v>
      </c>
      <c r="BN210" s="1" t="s">
        <v>82</v>
      </c>
      <c r="BO210" s="1" t="s">
        <v>82</v>
      </c>
      <c r="BP210" s="1">
        <v>5</v>
      </c>
      <c r="BQ210" s="1" t="s">
        <v>4190</v>
      </c>
      <c r="BR210" s="1" t="s">
        <v>745</v>
      </c>
      <c r="BS210" s="1" t="s">
        <v>706</v>
      </c>
      <c r="BT210" s="1" t="s">
        <v>4287</v>
      </c>
      <c r="BU210" s="1">
        <v>35699727</v>
      </c>
      <c r="BV210" s="1" t="s">
        <v>82</v>
      </c>
      <c r="BW210" s="1" t="s">
        <v>82</v>
      </c>
      <c r="BX210" s="1" t="s">
        <v>82</v>
      </c>
      <c r="BY210" s="1" t="s">
        <v>108</v>
      </c>
      <c r="BZ210" s="1" t="s">
        <v>4288</v>
      </c>
      <c r="CA210" s="1" t="str">
        <f>HYPERLINK("https%3A%2F%2Fwww.webofscience.com%2Fwos%2Fwoscc%2Ffull-record%2FWOS:000818635200001","View Full Record in Web of Science")</f>
        <v>View Full Record in Web of Science</v>
      </c>
    </row>
    <row r="211" s="1" customFormat="1" ht="14.4" spans="1:79">
      <c r="A211">
        <v>210</v>
      </c>
      <c r="B211" s="2" t="s">
        <v>110</v>
      </c>
      <c r="C211" s="1" t="s">
        <v>80</v>
      </c>
      <c r="D211" s="1" t="s">
        <v>4289</v>
      </c>
      <c r="E211" s="1" t="s">
        <v>82</v>
      </c>
      <c r="F211" s="1" t="s">
        <v>82</v>
      </c>
      <c r="G211" s="1" t="s">
        <v>82</v>
      </c>
      <c r="H211" s="1" t="s">
        <v>4290</v>
      </c>
      <c r="I211" s="1" t="s">
        <v>82</v>
      </c>
      <c r="J211" s="1" t="s">
        <v>82</v>
      </c>
      <c r="K211" s="1" t="s">
        <v>4291</v>
      </c>
      <c r="L211" s="1" t="s">
        <v>4171</v>
      </c>
      <c r="M211" s="1">
        <v>6.072</v>
      </c>
      <c r="O211" s="1" t="s">
        <v>82</v>
      </c>
      <c r="P211" s="1" t="s">
        <v>82</v>
      </c>
      <c r="Q211" s="1" t="s">
        <v>87</v>
      </c>
      <c r="R211" s="1" t="s">
        <v>115</v>
      </c>
      <c r="S211" s="1" t="s">
        <v>82</v>
      </c>
      <c r="T211" s="1" t="s">
        <v>82</v>
      </c>
      <c r="U211" s="1" t="s">
        <v>82</v>
      </c>
      <c r="V211" s="1" t="s">
        <v>82</v>
      </c>
      <c r="W211" s="1" t="s">
        <v>82</v>
      </c>
      <c r="X211" s="1" t="s">
        <v>82</v>
      </c>
      <c r="Y211" s="1" t="s">
        <v>4292</v>
      </c>
      <c r="Z211" s="1" t="s">
        <v>4293</v>
      </c>
      <c r="AA211" s="1">
        <v>1</v>
      </c>
      <c r="AB211" s="1" t="s">
        <v>4294</v>
      </c>
      <c r="AC211" s="1" t="s">
        <v>4295</v>
      </c>
      <c r="AD211" s="1" t="s">
        <v>93</v>
      </c>
      <c r="AE211" s="1" t="s">
        <v>1630</v>
      </c>
      <c r="AF211" s="1" t="s">
        <v>4296</v>
      </c>
      <c r="AG211" s="1" t="s">
        <v>4297</v>
      </c>
      <c r="AH211" s="1" t="s">
        <v>82</v>
      </c>
      <c r="AI211" s="1" t="s">
        <v>82</v>
      </c>
      <c r="AJ211" s="1" t="s">
        <v>4298</v>
      </c>
      <c r="AK211" s="1" t="s">
        <v>4299</v>
      </c>
      <c r="AL211" s="1" t="s">
        <v>4300</v>
      </c>
      <c r="AM211" s="1" t="s">
        <v>82</v>
      </c>
      <c r="AN211" s="1">
        <v>78</v>
      </c>
      <c r="AO211" s="1">
        <v>1</v>
      </c>
      <c r="AP211" s="1">
        <v>1</v>
      </c>
      <c r="AQ211" s="1">
        <v>5</v>
      </c>
      <c r="AR211" s="1">
        <v>13</v>
      </c>
      <c r="AS211" s="1" t="s">
        <v>862</v>
      </c>
      <c r="AT211" s="1" t="s">
        <v>129</v>
      </c>
      <c r="AU211" s="1" t="s">
        <v>863</v>
      </c>
      <c r="AV211" s="1" t="s">
        <v>4183</v>
      </c>
      <c r="AW211" s="1" t="s">
        <v>4184</v>
      </c>
      <c r="AX211" s="1" t="s">
        <v>82</v>
      </c>
      <c r="AY211" s="1" t="s">
        <v>4185</v>
      </c>
      <c r="AZ211" s="1" t="s">
        <v>4186</v>
      </c>
      <c r="BA211" s="1" t="s">
        <v>4301</v>
      </c>
      <c r="BB211" s="1">
        <v>2022</v>
      </c>
      <c r="BC211" s="1">
        <v>24</v>
      </c>
      <c r="BD211" s="1">
        <v>15</v>
      </c>
      <c r="BE211" s="1" t="s">
        <v>82</v>
      </c>
      <c r="BF211" s="1" t="s">
        <v>82</v>
      </c>
      <c r="BG211" s="1" t="s">
        <v>82</v>
      </c>
      <c r="BH211" s="1" t="s">
        <v>82</v>
      </c>
      <c r="BI211" s="1">
        <v>2905</v>
      </c>
      <c r="BJ211" s="1">
        <v>2909</v>
      </c>
      <c r="BK211" s="1" t="s">
        <v>82</v>
      </c>
      <c r="BL211" s="1" t="s">
        <v>4302</v>
      </c>
      <c r="BM211" s="1" t="str">
        <f>HYPERLINK("http://dx.doi.org/10.1021/acs.orglett.2c00905","http://dx.doi.org/10.1021/acs.orglett.2c00905")</f>
        <v>http://dx.doi.org/10.1021/acs.orglett.2c00905</v>
      </c>
      <c r="BN211" s="1" t="s">
        <v>82</v>
      </c>
      <c r="BO211" s="1" t="s">
        <v>82</v>
      </c>
      <c r="BP211" s="1">
        <v>5</v>
      </c>
      <c r="BQ211" s="1" t="s">
        <v>4190</v>
      </c>
      <c r="BR211" s="1" t="s">
        <v>745</v>
      </c>
      <c r="BS211" s="1" t="s">
        <v>706</v>
      </c>
      <c r="BT211" s="1" t="s">
        <v>4303</v>
      </c>
      <c r="BU211" s="1">
        <v>35412321</v>
      </c>
      <c r="BV211" s="1" t="s">
        <v>82</v>
      </c>
      <c r="BW211" s="1" t="s">
        <v>82</v>
      </c>
      <c r="BX211" s="1" t="s">
        <v>82</v>
      </c>
      <c r="BY211" s="1" t="s">
        <v>108</v>
      </c>
      <c r="BZ211" s="1" t="s">
        <v>4304</v>
      </c>
      <c r="CA211" s="1" t="str">
        <f>HYPERLINK("https%3A%2F%2Fwww.webofscience.com%2Fwos%2Fwoscc%2Ffull-record%2FWOS:000794996900024","View Full Record in Web of Science")</f>
        <v>View Full Record in Web of Science</v>
      </c>
    </row>
    <row r="212" s="1" customFormat="1" ht="14.4" spans="1:79">
      <c r="A212">
        <v>211</v>
      </c>
      <c r="B212" s="2" t="s">
        <v>110</v>
      </c>
      <c r="C212" s="1" t="s">
        <v>80</v>
      </c>
      <c r="D212" s="1" t="s">
        <v>4305</v>
      </c>
      <c r="E212" s="1" t="s">
        <v>82</v>
      </c>
      <c r="F212" s="1" t="s">
        <v>82</v>
      </c>
      <c r="G212" s="1" t="s">
        <v>82</v>
      </c>
      <c r="H212" s="1" t="s">
        <v>4306</v>
      </c>
      <c r="I212" s="1" t="s">
        <v>82</v>
      </c>
      <c r="J212" s="1" t="s">
        <v>82</v>
      </c>
      <c r="K212" s="1" t="s">
        <v>4307</v>
      </c>
      <c r="L212" s="1" t="s">
        <v>4171</v>
      </c>
      <c r="M212" s="1">
        <v>6.072</v>
      </c>
      <c r="O212" s="1" t="s">
        <v>82</v>
      </c>
      <c r="P212" s="1" t="s">
        <v>82</v>
      </c>
      <c r="Q212" s="1" t="s">
        <v>87</v>
      </c>
      <c r="R212" s="1" t="s">
        <v>115</v>
      </c>
      <c r="S212" s="1" t="s">
        <v>82</v>
      </c>
      <c r="T212" s="1" t="s">
        <v>82</v>
      </c>
      <c r="U212" s="1" t="s">
        <v>82</v>
      </c>
      <c r="V212" s="1" t="s">
        <v>82</v>
      </c>
      <c r="W212" s="1" t="s">
        <v>82</v>
      </c>
      <c r="X212" s="1" t="s">
        <v>82</v>
      </c>
      <c r="Y212" s="1" t="s">
        <v>4308</v>
      </c>
      <c r="Z212" s="1" t="s">
        <v>4309</v>
      </c>
      <c r="AB212" s="1" t="s">
        <v>4310</v>
      </c>
      <c r="AC212" s="1" t="s">
        <v>4311</v>
      </c>
      <c r="AD212" s="1" t="s">
        <v>206</v>
      </c>
      <c r="AE212" s="1" t="s">
        <v>4312</v>
      </c>
      <c r="AF212" s="1" t="s">
        <v>4313</v>
      </c>
      <c r="AG212" s="1" t="s">
        <v>4314</v>
      </c>
      <c r="AH212" s="1" t="s">
        <v>82</v>
      </c>
      <c r="AI212" s="1" t="s">
        <v>3635</v>
      </c>
      <c r="AJ212" s="1" t="s">
        <v>4315</v>
      </c>
      <c r="AK212" s="1" t="s">
        <v>3637</v>
      </c>
      <c r="AL212" s="1" t="s">
        <v>4316</v>
      </c>
      <c r="AM212" s="1" t="s">
        <v>82</v>
      </c>
      <c r="AN212" s="1">
        <v>25</v>
      </c>
      <c r="AO212" s="1">
        <v>6</v>
      </c>
      <c r="AP212" s="1">
        <v>6</v>
      </c>
      <c r="AQ212" s="1">
        <v>14</v>
      </c>
      <c r="AR212" s="1">
        <v>126</v>
      </c>
      <c r="AS212" s="1" t="s">
        <v>862</v>
      </c>
      <c r="AT212" s="1" t="s">
        <v>129</v>
      </c>
      <c r="AU212" s="1" t="s">
        <v>863</v>
      </c>
      <c r="AV212" s="1" t="s">
        <v>4183</v>
      </c>
      <c r="AW212" s="1" t="s">
        <v>4184</v>
      </c>
      <c r="AX212" s="1" t="s">
        <v>82</v>
      </c>
      <c r="AY212" s="1" t="s">
        <v>4185</v>
      </c>
      <c r="AZ212" s="1" t="s">
        <v>4186</v>
      </c>
      <c r="BA212" s="1" t="s">
        <v>3503</v>
      </c>
      <c r="BB212" s="1">
        <v>2022</v>
      </c>
      <c r="BC212" s="1">
        <v>24</v>
      </c>
      <c r="BD212" s="1">
        <v>2</v>
      </c>
      <c r="BE212" s="1" t="s">
        <v>82</v>
      </c>
      <c r="BF212" s="1" t="s">
        <v>82</v>
      </c>
      <c r="BG212" s="1" t="s">
        <v>82</v>
      </c>
      <c r="BH212" s="1" t="s">
        <v>82</v>
      </c>
      <c r="BI212" s="1">
        <v>467</v>
      </c>
      <c r="BJ212" s="1">
        <v>471</v>
      </c>
      <c r="BK212" s="1" t="s">
        <v>82</v>
      </c>
      <c r="BL212" s="1" t="s">
        <v>4317</v>
      </c>
      <c r="BM212" s="1" t="str">
        <f>HYPERLINK("http://dx.doi.org/10.1021/acs.orglett.1c02853","http://dx.doi.org/10.1021/acs.orglett.1c02853")</f>
        <v>http://dx.doi.org/10.1021/acs.orglett.1c02853</v>
      </c>
      <c r="BN212" s="1" t="s">
        <v>82</v>
      </c>
      <c r="BO212" s="1" t="s">
        <v>82</v>
      </c>
      <c r="BP212" s="1">
        <v>5</v>
      </c>
      <c r="BQ212" s="1" t="s">
        <v>4190</v>
      </c>
      <c r="BR212" s="1" t="s">
        <v>745</v>
      </c>
      <c r="BS212" s="1" t="s">
        <v>706</v>
      </c>
      <c r="BT212" s="1" t="s">
        <v>4318</v>
      </c>
      <c r="BU212" s="1">
        <v>34477387</v>
      </c>
      <c r="BV212" s="1" t="s">
        <v>82</v>
      </c>
      <c r="BW212" s="1" t="s">
        <v>82</v>
      </c>
      <c r="BX212" s="1" t="s">
        <v>82</v>
      </c>
      <c r="BY212" s="1" t="s">
        <v>108</v>
      </c>
      <c r="BZ212" s="1" t="s">
        <v>4319</v>
      </c>
      <c r="CA212" s="1" t="str">
        <f>HYPERLINK("https%3A%2F%2Fwww.webofscience.com%2Fwos%2Fwoscc%2Ffull-record%2FWOS:000763694500001","View Full Record in Web of Science")</f>
        <v>View Full Record in Web of Science</v>
      </c>
    </row>
    <row r="213" s="1" customFormat="1" ht="14.4" spans="1:79">
      <c r="A213">
        <v>212</v>
      </c>
      <c r="B213" s="2" t="s">
        <v>110</v>
      </c>
      <c r="C213" s="1" t="s">
        <v>80</v>
      </c>
      <c r="D213" s="1" t="s">
        <v>4320</v>
      </c>
      <c r="E213" s="1" t="s">
        <v>82</v>
      </c>
      <c r="F213" s="1" t="s">
        <v>82</v>
      </c>
      <c r="G213" s="1" t="s">
        <v>82</v>
      </c>
      <c r="H213" s="1" t="s">
        <v>4321</v>
      </c>
      <c r="I213" s="1" t="s">
        <v>82</v>
      </c>
      <c r="J213" s="1" t="s">
        <v>82</v>
      </c>
      <c r="K213" s="1" t="s">
        <v>4322</v>
      </c>
      <c r="L213" s="1" t="s">
        <v>4171</v>
      </c>
      <c r="M213" s="1">
        <v>6.072</v>
      </c>
      <c r="O213" s="1" t="s">
        <v>82</v>
      </c>
      <c r="P213" s="1" t="s">
        <v>82</v>
      </c>
      <c r="Q213" s="1" t="s">
        <v>87</v>
      </c>
      <c r="R213" s="1" t="s">
        <v>115</v>
      </c>
      <c r="S213" s="1" t="s">
        <v>82</v>
      </c>
      <c r="T213" s="1" t="s">
        <v>82</v>
      </c>
      <c r="U213" s="1" t="s">
        <v>82</v>
      </c>
      <c r="V213" s="1" t="s">
        <v>82</v>
      </c>
      <c r="W213" s="1" t="s">
        <v>82</v>
      </c>
      <c r="X213" s="1" t="s">
        <v>82</v>
      </c>
      <c r="Y213" s="1" t="s">
        <v>4323</v>
      </c>
      <c r="Z213" s="1" t="s">
        <v>4324</v>
      </c>
      <c r="AB213" s="1" t="s">
        <v>4325</v>
      </c>
      <c r="AC213" s="1" t="s">
        <v>4326</v>
      </c>
      <c r="AD213" s="1" t="s">
        <v>120</v>
      </c>
      <c r="AE213" s="1" t="s">
        <v>4327</v>
      </c>
      <c r="AF213" s="1" t="s">
        <v>4328</v>
      </c>
      <c r="AG213" s="1" t="s">
        <v>4329</v>
      </c>
      <c r="AH213" s="1" t="s">
        <v>82</v>
      </c>
      <c r="AI213" s="1" t="s">
        <v>4330</v>
      </c>
      <c r="AJ213" s="1" t="s">
        <v>4331</v>
      </c>
      <c r="AK213" s="1" t="s">
        <v>4332</v>
      </c>
      <c r="AL213" s="1" t="s">
        <v>4333</v>
      </c>
      <c r="AM213" s="1" t="s">
        <v>82</v>
      </c>
      <c r="AN213" s="1">
        <v>41</v>
      </c>
      <c r="AO213" s="1">
        <v>3</v>
      </c>
      <c r="AP213" s="1">
        <v>3</v>
      </c>
      <c r="AQ213" s="1">
        <v>7</v>
      </c>
      <c r="AR213" s="1">
        <v>18</v>
      </c>
      <c r="AS213" s="1" t="s">
        <v>862</v>
      </c>
      <c r="AT213" s="1" t="s">
        <v>129</v>
      </c>
      <c r="AU213" s="1" t="s">
        <v>863</v>
      </c>
      <c r="AV213" s="1" t="s">
        <v>4183</v>
      </c>
      <c r="AW213" s="1" t="s">
        <v>4184</v>
      </c>
      <c r="AX213" s="1" t="s">
        <v>82</v>
      </c>
      <c r="AY213" s="1" t="s">
        <v>4185</v>
      </c>
      <c r="AZ213" s="1" t="s">
        <v>4186</v>
      </c>
      <c r="BA213" s="1" t="s">
        <v>4334</v>
      </c>
      <c r="BB213" s="1">
        <v>2022</v>
      </c>
      <c r="BC213" s="1">
        <v>24</v>
      </c>
      <c r="BD213" s="1">
        <v>6</v>
      </c>
      <c r="BE213" s="1" t="s">
        <v>82</v>
      </c>
      <c r="BF213" s="1" t="s">
        <v>82</v>
      </c>
      <c r="BG213" s="1" t="s">
        <v>82</v>
      </c>
      <c r="BH213" s="1" t="s">
        <v>82</v>
      </c>
      <c r="BI213" s="1">
        <v>1303</v>
      </c>
      <c r="BJ213" s="1">
        <v>1307</v>
      </c>
      <c r="BK213" s="1" t="s">
        <v>82</v>
      </c>
      <c r="BL213" s="1" t="s">
        <v>4335</v>
      </c>
      <c r="BM213" s="1" t="str">
        <f>HYPERLINK("http://dx.doi.org/10.1021/acs.orglett.1c04282","http://dx.doi.org/10.1021/acs.orglett.1c04282")</f>
        <v>http://dx.doi.org/10.1021/acs.orglett.1c04282</v>
      </c>
      <c r="BN213" s="1" t="s">
        <v>82</v>
      </c>
      <c r="BO213" s="1" t="s">
        <v>82</v>
      </c>
      <c r="BP213" s="1">
        <v>5</v>
      </c>
      <c r="BQ213" s="1" t="s">
        <v>4190</v>
      </c>
      <c r="BR213" s="1" t="s">
        <v>745</v>
      </c>
      <c r="BS213" s="1" t="s">
        <v>706</v>
      </c>
      <c r="BT213" s="1" t="s">
        <v>4336</v>
      </c>
      <c r="BU213" s="1">
        <v>35099976</v>
      </c>
      <c r="BV213" s="1" t="s">
        <v>82</v>
      </c>
      <c r="BW213" s="1" t="s">
        <v>82</v>
      </c>
      <c r="BX213" s="1" t="s">
        <v>82</v>
      </c>
      <c r="BY213" s="1" t="s">
        <v>108</v>
      </c>
      <c r="BZ213" s="1" t="s">
        <v>4337</v>
      </c>
      <c r="CA213" s="1" t="str">
        <f>HYPERLINK("https%3A%2F%2Fwww.webofscience.com%2Fwos%2Fwoscc%2Ffull-record%2FWOS:000758180800008","View Full Record in Web of Science")</f>
        <v>View Full Record in Web of Science</v>
      </c>
    </row>
    <row r="214" s="1" customFormat="1" ht="14.4" spans="1:79">
      <c r="A214">
        <v>213</v>
      </c>
      <c r="B214" s="2" t="s">
        <v>110</v>
      </c>
      <c r="C214" s="1" t="s">
        <v>80</v>
      </c>
      <c r="D214" s="1" t="s">
        <v>4338</v>
      </c>
      <c r="E214" s="1" t="s">
        <v>82</v>
      </c>
      <c r="F214" s="1" t="s">
        <v>82</v>
      </c>
      <c r="G214" s="1" t="s">
        <v>82</v>
      </c>
      <c r="H214" s="1" t="s">
        <v>4339</v>
      </c>
      <c r="I214" s="1" t="s">
        <v>82</v>
      </c>
      <c r="J214" s="1" t="s">
        <v>82</v>
      </c>
      <c r="K214" s="1" t="s">
        <v>4340</v>
      </c>
      <c r="L214" s="1" t="s">
        <v>4341</v>
      </c>
      <c r="M214" s="1">
        <v>6.065</v>
      </c>
      <c r="O214" s="1" t="s">
        <v>82</v>
      </c>
      <c r="P214" s="1" t="s">
        <v>82</v>
      </c>
      <c r="Q214" s="1" t="s">
        <v>87</v>
      </c>
      <c r="R214" s="1" t="s">
        <v>115</v>
      </c>
      <c r="S214" s="1" t="s">
        <v>82</v>
      </c>
      <c r="T214" s="1" t="s">
        <v>82</v>
      </c>
      <c r="U214" s="1" t="s">
        <v>82</v>
      </c>
      <c r="V214" s="1" t="s">
        <v>82</v>
      </c>
      <c r="W214" s="1" t="s">
        <v>82</v>
      </c>
      <c r="X214" s="1" t="s">
        <v>82</v>
      </c>
      <c r="Y214" s="1" t="s">
        <v>4342</v>
      </c>
      <c r="Z214" s="1" t="s">
        <v>4343</v>
      </c>
      <c r="AB214" s="1" t="s">
        <v>4344</v>
      </c>
      <c r="AC214" s="1" t="s">
        <v>4345</v>
      </c>
      <c r="AD214" s="1" t="s">
        <v>206</v>
      </c>
      <c r="AE214" s="1" t="s">
        <v>4346</v>
      </c>
      <c r="AF214" s="1" t="s">
        <v>4347</v>
      </c>
      <c r="AG214" s="1" t="s">
        <v>2279</v>
      </c>
      <c r="AH214" s="1" t="s">
        <v>82</v>
      </c>
      <c r="AI214" s="1" t="s">
        <v>3635</v>
      </c>
      <c r="AJ214" s="1" t="s">
        <v>4348</v>
      </c>
      <c r="AK214" s="1" t="s">
        <v>4349</v>
      </c>
      <c r="AL214" s="1" t="s">
        <v>4350</v>
      </c>
      <c r="AM214" s="1" t="s">
        <v>82</v>
      </c>
      <c r="AN214" s="1">
        <v>35</v>
      </c>
      <c r="AO214" s="1">
        <v>0</v>
      </c>
      <c r="AP214" s="1">
        <v>0</v>
      </c>
      <c r="AQ214" s="1">
        <v>5</v>
      </c>
      <c r="AR214" s="1">
        <v>5</v>
      </c>
      <c r="AS214" s="1" t="s">
        <v>1480</v>
      </c>
      <c r="AT214" s="1" t="s">
        <v>416</v>
      </c>
      <c r="AU214" s="1" t="s">
        <v>1481</v>
      </c>
      <c r="AV214" s="1" t="s">
        <v>4351</v>
      </c>
      <c r="AW214" s="1" t="s">
        <v>4352</v>
      </c>
      <c r="AX214" s="1" t="s">
        <v>82</v>
      </c>
      <c r="AY214" s="1" t="s">
        <v>4353</v>
      </c>
      <c r="AZ214" s="1" t="s">
        <v>4354</v>
      </c>
      <c r="BA214" s="1" t="s">
        <v>4355</v>
      </c>
      <c r="BB214" s="1">
        <v>2023</v>
      </c>
      <c r="BC214" s="1">
        <v>59</v>
      </c>
      <c r="BD214" s="1">
        <v>3</v>
      </c>
      <c r="BE214" s="1" t="s">
        <v>82</v>
      </c>
      <c r="BF214" s="1" t="s">
        <v>82</v>
      </c>
      <c r="BG214" s="1" t="s">
        <v>82</v>
      </c>
      <c r="BH214" s="1" t="s">
        <v>82</v>
      </c>
      <c r="BI214" s="1">
        <v>326</v>
      </c>
      <c r="BJ214" s="1">
        <v>329</v>
      </c>
      <c r="BK214" s="1" t="s">
        <v>82</v>
      </c>
      <c r="BL214" s="1" t="s">
        <v>4356</v>
      </c>
      <c r="BM214" s="1" t="str">
        <f>HYPERLINK("http://dx.doi.org/10.1039/d2cc06073f","http://dx.doi.org/10.1039/d2cc06073f")</f>
        <v>http://dx.doi.org/10.1039/d2cc06073f</v>
      </c>
      <c r="BN214" s="1" t="s">
        <v>82</v>
      </c>
      <c r="BO214" s="1" t="s">
        <v>1618</v>
      </c>
      <c r="BP214" s="1">
        <v>4</v>
      </c>
      <c r="BQ214" s="1" t="s">
        <v>705</v>
      </c>
      <c r="BR214" s="1" t="s">
        <v>104</v>
      </c>
      <c r="BS214" s="1" t="s">
        <v>706</v>
      </c>
      <c r="BT214" s="1" t="s">
        <v>4357</v>
      </c>
      <c r="BU214" s="1">
        <v>36511292</v>
      </c>
      <c r="BV214" s="1" t="s">
        <v>82</v>
      </c>
      <c r="BW214" s="1" t="s">
        <v>82</v>
      </c>
      <c r="BX214" s="1" t="s">
        <v>82</v>
      </c>
      <c r="BY214" s="1" t="s">
        <v>108</v>
      </c>
      <c r="BZ214" s="1" t="s">
        <v>4358</v>
      </c>
      <c r="CA214" s="1" t="str">
        <f>HYPERLINK("https%3A%2F%2Fwww.webofscience.com%2Fwos%2Fwoscc%2Ffull-record%2FWOS:000898529900001","View Full Record in Web of Science")</f>
        <v>View Full Record in Web of Science</v>
      </c>
    </row>
    <row r="215" s="1" customFormat="1" ht="14.4" spans="1:79">
      <c r="A215">
        <v>214</v>
      </c>
      <c r="B215" s="2" t="s">
        <v>110</v>
      </c>
      <c r="C215" s="1" t="s">
        <v>80</v>
      </c>
      <c r="D215" s="1" t="s">
        <v>4359</v>
      </c>
      <c r="E215" s="1" t="s">
        <v>82</v>
      </c>
      <c r="F215" s="1" t="s">
        <v>82</v>
      </c>
      <c r="G215" s="1" t="s">
        <v>82</v>
      </c>
      <c r="H215" s="1" t="s">
        <v>4360</v>
      </c>
      <c r="I215" s="1" t="s">
        <v>82</v>
      </c>
      <c r="J215" s="1" t="s">
        <v>82</v>
      </c>
      <c r="K215" s="1" t="s">
        <v>4361</v>
      </c>
      <c r="L215" s="1" t="s">
        <v>4341</v>
      </c>
      <c r="M215" s="1">
        <v>6.065</v>
      </c>
      <c r="O215" s="1" t="s">
        <v>82</v>
      </c>
      <c r="P215" s="1" t="s">
        <v>82</v>
      </c>
      <c r="Q215" s="1" t="s">
        <v>87</v>
      </c>
      <c r="R215" s="1" t="s">
        <v>115</v>
      </c>
      <c r="S215" s="1" t="s">
        <v>82</v>
      </c>
      <c r="T215" s="1" t="s">
        <v>82</v>
      </c>
      <c r="U215" s="1" t="s">
        <v>82</v>
      </c>
      <c r="V215" s="1" t="s">
        <v>82</v>
      </c>
      <c r="W215" s="1" t="s">
        <v>82</v>
      </c>
      <c r="X215" s="1" t="s">
        <v>82</v>
      </c>
      <c r="Y215" s="1" t="s">
        <v>4362</v>
      </c>
      <c r="Z215" s="1" t="s">
        <v>4363</v>
      </c>
      <c r="AA215" s="1">
        <v>1</v>
      </c>
      <c r="AB215" s="1" t="s">
        <v>4364</v>
      </c>
      <c r="AC215" s="1" t="s">
        <v>4365</v>
      </c>
      <c r="AD215" s="1" t="s">
        <v>93</v>
      </c>
      <c r="AE215" s="1" t="s">
        <v>4366</v>
      </c>
      <c r="AF215" s="1" t="s">
        <v>4367</v>
      </c>
      <c r="AG215" s="1" t="s">
        <v>4368</v>
      </c>
      <c r="AH215" s="1" t="s">
        <v>82</v>
      </c>
      <c r="AI215" s="1" t="s">
        <v>4369</v>
      </c>
      <c r="AJ215" s="1" t="s">
        <v>82</v>
      </c>
      <c r="AK215" s="1" t="s">
        <v>82</v>
      </c>
      <c r="AL215" s="1" t="s">
        <v>82</v>
      </c>
      <c r="AM215" s="1" t="s">
        <v>82</v>
      </c>
      <c r="AN215" s="1">
        <v>23</v>
      </c>
      <c r="AO215" s="1">
        <v>0</v>
      </c>
      <c r="AP215" s="1">
        <v>0</v>
      </c>
      <c r="AQ215" s="1">
        <v>12</v>
      </c>
      <c r="AR215" s="1">
        <v>12</v>
      </c>
      <c r="AS215" s="1" t="s">
        <v>1480</v>
      </c>
      <c r="AT215" s="1" t="s">
        <v>416</v>
      </c>
      <c r="AU215" s="1" t="s">
        <v>1481</v>
      </c>
      <c r="AV215" s="1" t="s">
        <v>4351</v>
      </c>
      <c r="AW215" s="1" t="s">
        <v>4352</v>
      </c>
      <c r="AX215" s="1" t="s">
        <v>82</v>
      </c>
      <c r="AY215" s="1" t="s">
        <v>4353</v>
      </c>
      <c r="AZ215" s="1" t="s">
        <v>4354</v>
      </c>
      <c r="BA215" s="1" t="s">
        <v>4370</v>
      </c>
      <c r="BB215" s="1">
        <v>2022</v>
      </c>
      <c r="BC215" s="1">
        <v>58</v>
      </c>
      <c r="BD215" s="1">
        <v>94</v>
      </c>
      <c r="BE215" s="1" t="s">
        <v>82</v>
      </c>
      <c r="BF215" s="1" t="s">
        <v>82</v>
      </c>
      <c r="BG215" s="1" t="s">
        <v>82</v>
      </c>
      <c r="BH215" s="1" t="s">
        <v>82</v>
      </c>
      <c r="BI215" s="1">
        <v>13135</v>
      </c>
      <c r="BJ215" s="1">
        <v>13138</v>
      </c>
      <c r="BK215" s="1" t="s">
        <v>82</v>
      </c>
      <c r="BL215" s="1" t="s">
        <v>4371</v>
      </c>
      <c r="BM215" s="1" t="str">
        <f>HYPERLINK("http://dx.doi.org/10.1039/d2cc05396a","http://dx.doi.org/10.1039/d2cc05396a")</f>
        <v>http://dx.doi.org/10.1039/d2cc05396a</v>
      </c>
      <c r="BN215" s="1" t="s">
        <v>82</v>
      </c>
      <c r="BO215" s="1" t="s">
        <v>2084</v>
      </c>
      <c r="BP215" s="1">
        <v>4</v>
      </c>
      <c r="BQ215" s="1" t="s">
        <v>705</v>
      </c>
      <c r="BR215" s="1" t="s">
        <v>745</v>
      </c>
      <c r="BS215" s="1" t="s">
        <v>706</v>
      </c>
      <c r="BT215" s="1" t="s">
        <v>4372</v>
      </c>
      <c r="BU215" s="1">
        <v>36349731</v>
      </c>
      <c r="BV215" s="1" t="s">
        <v>82</v>
      </c>
      <c r="BW215" s="1" t="s">
        <v>82</v>
      </c>
      <c r="BX215" s="1" t="s">
        <v>82</v>
      </c>
      <c r="BY215" s="1" t="s">
        <v>108</v>
      </c>
      <c r="BZ215" s="1" t="s">
        <v>4373</v>
      </c>
      <c r="CA215" s="1" t="str">
        <f>HYPERLINK("https%3A%2F%2Fwww.webofscience.com%2Fwos%2Fwoscc%2Ffull-record%2FWOS:000882523100001","View Full Record in Web of Science")</f>
        <v>View Full Record in Web of Science</v>
      </c>
    </row>
    <row r="216" s="1" customFormat="1" ht="14.4" spans="1:79">
      <c r="A216">
        <v>215</v>
      </c>
      <c r="B216" s="2" t="s">
        <v>79</v>
      </c>
      <c r="C216" s="1" t="s">
        <v>80</v>
      </c>
      <c r="D216" s="1" t="s">
        <v>4374</v>
      </c>
      <c r="E216" s="1" t="s">
        <v>82</v>
      </c>
      <c r="F216" s="1" t="s">
        <v>82</v>
      </c>
      <c r="G216" s="1" t="s">
        <v>82</v>
      </c>
      <c r="H216" s="1" t="s">
        <v>4375</v>
      </c>
      <c r="I216" s="1" t="s">
        <v>82</v>
      </c>
      <c r="J216" s="1" t="s">
        <v>82</v>
      </c>
      <c r="K216" s="1" t="s">
        <v>4376</v>
      </c>
      <c r="L216" s="1" t="s">
        <v>4377</v>
      </c>
      <c r="M216" s="1">
        <v>6.064</v>
      </c>
      <c r="O216" s="1" t="s">
        <v>82</v>
      </c>
      <c r="P216" s="1" t="s">
        <v>82</v>
      </c>
      <c r="Q216" s="1" t="s">
        <v>87</v>
      </c>
      <c r="R216" s="1" t="s">
        <v>115</v>
      </c>
      <c r="S216" s="1" t="s">
        <v>82</v>
      </c>
      <c r="T216" s="1" t="s">
        <v>82</v>
      </c>
      <c r="U216" s="1" t="s">
        <v>82</v>
      </c>
      <c r="V216" s="1" t="s">
        <v>82</v>
      </c>
      <c r="W216" s="1" t="s">
        <v>82</v>
      </c>
      <c r="X216" s="1" t="s">
        <v>4378</v>
      </c>
      <c r="Y216" s="1" t="s">
        <v>4379</v>
      </c>
      <c r="Z216" s="1" t="s">
        <v>4380</v>
      </c>
      <c r="AB216" s="1" t="s">
        <v>4381</v>
      </c>
      <c r="AC216" s="1" t="s">
        <v>4382</v>
      </c>
      <c r="AD216" s="1" t="s">
        <v>120</v>
      </c>
      <c r="AE216" s="1" t="s">
        <v>4383</v>
      </c>
      <c r="AF216" s="1" t="s">
        <v>4384</v>
      </c>
      <c r="AG216" s="1" t="s">
        <v>4385</v>
      </c>
      <c r="AH216" s="1" t="s">
        <v>801</v>
      </c>
      <c r="AI216" s="1" t="s">
        <v>802</v>
      </c>
      <c r="AJ216" s="1" t="s">
        <v>4386</v>
      </c>
      <c r="AK216" s="1" t="s">
        <v>4387</v>
      </c>
      <c r="AL216" s="1" t="s">
        <v>4388</v>
      </c>
      <c r="AM216" s="1" t="s">
        <v>82</v>
      </c>
      <c r="AN216" s="1">
        <v>56</v>
      </c>
      <c r="AO216" s="1">
        <v>0</v>
      </c>
      <c r="AP216" s="1">
        <v>0</v>
      </c>
      <c r="AQ216" s="1">
        <v>0</v>
      </c>
      <c r="AR216" s="1">
        <v>0</v>
      </c>
      <c r="AS216" s="1" t="s">
        <v>2958</v>
      </c>
      <c r="AT216" s="1" t="s">
        <v>2959</v>
      </c>
      <c r="AU216" s="1" t="s">
        <v>2960</v>
      </c>
      <c r="AV216" s="1" t="s">
        <v>82</v>
      </c>
      <c r="AW216" s="1" t="s">
        <v>4389</v>
      </c>
      <c r="AX216" s="1" t="s">
        <v>82</v>
      </c>
      <c r="AY216" s="1" t="s">
        <v>4390</v>
      </c>
      <c r="AZ216" s="1" t="s">
        <v>4391</v>
      </c>
      <c r="BA216" s="1" t="s">
        <v>4392</v>
      </c>
      <c r="BB216" s="1">
        <v>2022</v>
      </c>
      <c r="BC216" s="1">
        <v>13</v>
      </c>
      <c r="BD216" s="1" t="s">
        <v>82</v>
      </c>
      <c r="BE216" s="1" t="s">
        <v>82</v>
      </c>
      <c r="BF216" s="1" t="s">
        <v>82</v>
      </c>
      <c r="BG216" s="1" t="s">
        <v>82</v>
      </c>
      <c r="BH216" s="1" t="s">
        <v>82</v>
      </c>
      <c r="BI216" s="1" t="s">
        <v>82</v>
      </c>
      <c r="BJ216" s="1" t="s">
        <v>82</v>
      </c>
      <c r="BK216" s="1">
        <v>1056669</v>
      </c>
      <c r="BL216" s="1" t="s">
        <v>4393</v>
      </c>
      <c r="BM216" s="1" t="str">
        <f>HYPERLINK("http://dx.doi.org/10.3389/fmicb.2022.1056669","http://dx.doi.org/10.3389/fmicb.2022.1056669")</f>
        <v>http://dx.doi.org/10.3389/fmicb.2022.1056669</v>
      </c>
      <c r="BN216" s="1" t="s">
        <v>82</v>
      </c>
      <c r="BO216" s="1" t="s">
        <v>82</v>
      </c>
      <c r="BP216" s="1">
        <v>25</v>
      </c>
      <c r="BQ216" s="1" t="s">
        <v>1662</v>
      </c>
      <c r="BR216" s="1" t="s">
        <v>104</v>
      </c>
      <c r="BS216" s="1" t="s">
        <v>1662</v>
      </c>
      <c r="BT216" s="1" t="s">
        <v>4394</v>
      </c>
      <c r="BU216" s="1">
        <v>36519176</v>
      </c>
      <c r="BV216" s="1" t="s">
        <v>635</v>
      </c>
      <c r="BW216" s="1" t="s">
        <v>82</v>
      </c>
      <c r="BX216" s="1" t="s">
        <v>82</v>
      </c>
      <c r="BY216" s="1" t="s">
        <v>108</v>
      </c>
      <c r="BZ216" s="1" t="s">
        <v>4395</v>
      </c>
      <c r="CA216" s="1" t="str">
        <f>HYPERLINK("https%3A%2F%2Fwww.webofscience.com%2Fwos%2Fwoscc%2Ffull-record%2FWOS:000895990900001","View Full Record in Web of Science")</f>
        <v>View Full Record in Web of Science</v>
      </c>
    </row>
    <row r="217" s="1" customFormat="1" ht="14.4" spans="1:79">
      <c r="A217">
        <v>216</v>
      </c>
      <c r="B217" s="2" t="s">
        <v>79</v>
      </c>
      <c r="C217" s="1" t="s">
        <v>80</v>
      </c>
      <c r="D217" s="1" t="s">
        <v>4396</v>
      </c>
      <c r="E217" s="1" t="s">
        <v>82</v>
      </c>
      <c r="F217" s="1" t="s">
        <v>82</v>
      </c>
      <c r="G217" s="1" t="s">
        <v>82</v>
      </c>
      <c r="H217" s="1" t="s">
        <v>4397</v>
      </c>
      <c r="I217" s="1" t="s">
        <v>82</v>
      </c>
      <c r="J217" s="1" t="s">
        <v>82</v>
      </c>
      <c r="K217" s="1" t="s">
        <v>4398</v>
      </c>
      <c r="L217" s="1" t="s">
        <v>4377</v>
      </c>
      <c r="M217" s="1">
        <v>6.064</v>
      </c>
      <c r="O217" s="1" t="s">
        <v>82</v>
      </c>
      <c r="P217" s="1" t="s">
        <v>82</v>
      </c>
      <c r="Q217" s="1" t="s">
        <v>87</v>
      </c>
      <c r="R217" s="1" t="s">
        <v>115</v>
      </c>
      <c r="S217" s="1" t="s">
        <v>82</v>
      </c>
      <c r="T217" s="1" t="s">
        <v>82</v>
      </c>
      <c r="U217" s="1" t="s">
        <v>82</v>
      </c>
      <c r="V217" s="1" t="s">
        <v>82</v>
      </c>
      <c r="W217" s="1" t="s">
        <v>82</v>
      </c>
      <c r="X217" s="1" t="s">
        <v>4399</v>
      </c>
      <c r="Y217" s="1" t="s">
        <v>4400</v>
      </c>
      <c r="Z217" s="1" t="s">
        <v>4401</v>
      </c>
      <c r="AA217" s="1">
        <v>1</v>
      </c>
      <c r="AB217" s="1" t="s">
        <v>4402</v>
      </c>
      <c r="AC217" s="1" t="s">
        <v>4403</v>
      </c>
      <c r="AD217" s="1" t="s">
        <v>93</v>
      </c>
      <c r="AE217" s="1" t="s">
        <v>4404</v>
      </c>
      <c r="AF217" s="1" t="s">
        <v>4405</v>
      </c>
      <c r="AG217" s="1" t="s">
        <v>4406</v>
      </c>
      <c r="AH217" s="1" t="s">
        <v>82</v>
      </c>
      <c r="AI217" s="1" t="s">
        <v>82</v>
      </c>
      <c r="AJ217" s="1" t="s">
        <v>82</v>
      </c>
      <c r="AK217" s="1" t="s">
        <v>82</v>
      </c>
      <c r="AL217" s="1" t="s">
        <v>82</v>
      </c>
      <c r="AM217" s="1" t="s">
        <v>82</v>
      </c>
      <c r="AN217" s="1">
        <v>64</v>
      </c>
      <c r="AO217" s="1">
        <v>0</v>
      </c>
      <c r="AP217" s="1">
        <v>0</v>
      </c>
      <c r="AQ217" s="1">
        <v>1</v>
      </c>
      <c r="AR217" s="1">
        <v>1</v>
      </c>
      <c r="AS217" s="1" t="s">
        <v>2958</v>
      </c>
      <c r="AT217" s="1" t="s">
        <v>2959</v>
      </c>
      <c r="AU217" s="1" t="s">
        <v>2960</v>
      </c>
      <c r="AV217" s="1" t="s">
        <v>82</v>
      </c>
      <c r="AW217" s="1" t="s">
        <v>4389</v>
      </c>
      <c r="AX217" s="1" t="s">
        <v>82</v>
      </c>
      <c r="AY217" s="1" t="s">
        <v>4390</v>
      </c>
      <c r="AZ217" s="1" t="s">
        <v>4391</v>
      </c>
      <c r="BA217" s="1" t="s">
        <v>4407</v>
      </c>
      <c r="BB217" s="1">
        <v>2022</v>
      </c>
      <c r="BC217" s="1">
        <v>13</v>
      </c>
      <c r="BD217" s="1" t="s">
        <v>82</v>
      </c>
      <c r="BE217" s="1" t="s">
        <v>82</v>
      </c>
      <c r="BF217" s="1" t="s">
        <v>82</v>
      </c>
      <c r="BG217" s="1" t="s">
        <v>82</v>
      </c>
      <c r="BH217" s="1" t="s">
        <v>82</v>
      </c>
      <c r="BI217" s="1" t="s">
        <v>82</v>
      </c>
      <c r="BJ217" s="1" t="s">
        <v>82</v>
      </c>
      <c r="BK217" s="1">
        <v>973483</v>
      </c>
      <c r="BL217" s="1" t="s">
        <v>4408</v>
      </c>
      <c r="BM217" s="1" t="str">
        <f>HYPERLINK("http://dx.doi.org/10.3389/fmicb.2022.973483","http://dx.doi.org/10.3389/fmicb.2022.973483")</f>
        <v>http://dx.doi.org/10.3389/fmicb.2022.973483</v>
      </c>
      <c r="BN217" s="1" t="s">
        <v>82</v>
      </c>
      <c r="BO217" s="1" t="s">
        <v>82</v>
      </c>
      <c r="BP217" s="1">
        <v>14</v>
      </c>
      <c r="BQ217" s="1" t="s">
        <v>1662</v>
      </c>
      <c r="BR217" s="1" t="s">
        <v>104</v>
      </c>
      <c r="BS217" s="1" t="s">
        <v>1662</v>
      </c>
      <c r="BT217" s="1" t="s">
        <v>4409</v>
      </c>
      <c r="BU217" s="1">
        <v>36466665</v>
      </c>
      <c r="BV217" s="1" t="s">
        <v>592</v>
      </c>
      <c r="BW217" s="1" t="s">
        <v>82</v>
      </c>
      <c r="BX217" s="1" t="s">
        <v>82</v>
      </c>
      <c r="BY217" s="1" t="s">
        <v>108</v>
      </c>
      <c r="BZ217" s="1" t="s">
        <v>4410</v>
      </c>
      <c r="CA217" s="1" t="str">
        <f>HYPERLINK("https%3A%2F%2Fwww.webofscience.com%2Fwos%2Fwoscc%2Ffull-record%2FWOS:000892661500001","View Full Record in Web of Science")</f>
        <v>View Full Record in Web of Science</v>
      </c>
    </row>
    <row r="218" s="1" customFormat="1" ht="14.4" spans="1:79">
      <c r="A218">
        <v>217</v>
      </c>
      <c r="B218" s="2" t="s">
        <v>79</v>
      </c>
      <c r="C218" s="1" t="s">
        <v>80</v>
      </c>
      <c r="D218" s="1" t="s">
        <v>4411</v>
      </c>
      <c r="E218" s="1" t="s">
        <v>82</v>
      </c>
      <c r="F218" s="1" t="s">
        <v>82</v>
      </c>
      <c r="G218" s="1" t="s">
        <v>82</v>
      </c>
      <c r="H218" s="1" t="s">
        <v>4412</v>
      </c>
      <c r="I218" s="1" t="s">
        <v>82</v>
      </c>
      <c r="J218" s="1" t="s">
        <v>82</v>
      </c>
      <c r="K218" s="1" t="s">
        <v>4413</v>
      </c>
      <c r="L218" s="1" t="s">
        <v>4377</v>
      </c>
      <c r="M218" s="1">
        <v>6.064</v>
      </c>
      <c r="O218" s="1" t="s">
        <v>82</v>
      </c>
      <c r="P218" s="1" t="s">
        <v>82</v>
      </c>
      <c r="Q218" s="1" t="s">
        <v>87</v>
      </c>
      <c r="R218" s="1" t="s">
        <v>115</v>
      </c>
      <c r="S218" s="1" t="s">
        <v>82</v>
      </c>
      <c r="T218" s="1" t="s">
        <v>82</v>
      </c>
      <c r="U218" s="1" t="s">
        <v>82</v>
      </c>
      <c r="V218" s="1" t="s">
        <v>82</v>
      </c>
      <c r="W218" s="1" t="s">
        <v>82</v>
      </c>
      <c r="X218" s="1" t="s">
        <v>4414</v>
      </c>
      <c r="Y218" s="1" t="s">
        <v>4415</v>
      </c>
      <c r="Z218" s="1" t="s">
        <v>4416</v>
      </c>
      <c r="AB218" s="1" t="s">
        <v>4417</v>
      </c>
      <c r="AC218" s="1" t="s">
        <v>4418</v>
      </c>
      <c r="AD218" s="1" t="s">
        <v>120</v>
      </c>
      <c r="AE218" s="1" t="s">
        <v>4419</v>
      </c>
      <c r="AF218" s="1" t="s">
        <v>4420</v>
      </c>
      <c r="AG218" s="1" t="s">
        <v>4421</v>
      </c>
      <c r="AH218" s="1" t="s">
        <v>4422</v>
      </c>
      <c r="AI218" s="1" t="s">
        <v>4423</v>
      </c>
      <c r="AJ218" s="1" t="s">
        <v>82</v>
      </c>
      <c r="AK218" s="1" t="s">
        <v>82</v>
      </c>
      <c r="AL218" s="1" t="s">
        <v>82</v>
      </c>
      <c r="AM218" s="1" t="s">
        <v>82</v>
      </c>
      <c r="AN218" s="1">
        <v>80</v>
      </c>
      <c r="AO218" s="1">
        <v>0</v>
      </c>
      <c r="AP218" s="1">
        <v>0</v>
      </c>
      <c r="AQ218" s="1">
        <v>27</v>
      </c>
      <c r="AR218" s="1">
        <v>27</v>
      </c>
      <c r="AS218" s="1" t="s">
        <v>2958</v>
      </c>
      <c r="AT218" s="1" t="s">
        <v>2959</v>
      </c>
      <c r="AU218" s="1" t="s">
        <v>2960</v>
      </c>
      <c r="AV218" s="1" t="s">
        <v>82</v>
      </c>
      <c r="AW218" s="1" t="s">
        <v>4389</v>
      </c>
      <c r="AX218" s="1" t="s">
        <v>82</v>
      </c>
      <c r="AY218" s="1" t="s">
        <v>4390</v>
      </c>
      <c r="AZ218" s="1" t="s">
        <v>4391</v>
      </c>
      <c r="BA218" s="1" t="s">
        <v>4424</v>
      </c>
      <c r="BB218" s="1">
        <v>2022</v>
      </c>
      <c r="BC218" s="1">
        <v>13</v>
      </c>
      <c r="BD218" s="1" t="s">
        <v>82</v>
      </c>
      <c r="BE218" s="1" t="s">
        <v>82</v>
      </c>
      <c r="BF218" s="1" t="s">
        <v>82</v>
      </c>
      <c r="BG218" s="1" t="s">
        <v>82</v>
      </c>
      <c r="BH218" s="1" t="s">
        <v>82</v>
      </c>
      <c r="BI218" s="1" t="s">
        <v>82</v>
      </c>
      <c r="BJ218" s="1" t="s">
        <v>82</v>
      </c>
      <c r="BK218" s="1">
        <v>1016610</v>
      </c>
      <c r="BL218" s="1" t="s">
        <v>4425</v>
      </c>
      <c r="BM218" s="1" t="str">
        <f>HYPERLINK("http://dx.doi.org/10.3389/fmicb.2022.1016610","http://dx.doi.org/10.3389/fmicb.2022.1016610")</f>
        <v>http://dx.doi.org/10.3389/fmicb.2022.1016610</v>
      </c>
      <c r="BN218" s="1" t="s">
        <v>82</v>
      </c>
      <c r="BO218" s="1" t="s">
        <v>82</v>
      </c>
      <c r="BP218" s="1">
        <v>11</v>
      </c>
      <c r="BQ218" s="1" t="s">
        <v>1662</v>
      </c>
      <c r="BR218" s="1" t="s">
        <v>104</v>
      </c>
      <c r="BS218" s="1" t="s">
        <v>1662</v>
      </c>
      <c r="BT218" s="1" t="s">
        <v>4426</v>
      </c>
      <c r="BU218" s="1">
        <v>36274721</v>
      </c>
      <c r="BV218" s="1" t="s">
        <v>592</v>
      </c>
      <c r="BW218" s="1" t="s">
        <v>82</v>
      </c>
      <c r="BX218" s="1" t="s">
        <v>82</v>
      </c>
      <c r="BY218" s="1" t="s">
        <v>108</v>
      </c>
      <c r="BZ218" s="1" t="s">
        <v>4427</v>
      </c>
      <c r="CA218" s="1" t="str">
        <f>HYPERLINK("https%3A%2F%2Fwww.webofscience.com%2Fwos%2Fwoscc%2Ffull-record%2FWOS:000873641300001","View Full Record in Web of Science")</f>
        <v>View Full Record in Web of Science</v>
      </c>
    </row>
    <row r="219" s="1" customFormat="1" ht="14.4" spans="1:79">
      <c r="A219">
        <v>218</v>
      </c>
      <c r="B219" s="2" t="s">
        <v>79</v>
      </c>
      <c r="C219" s="1" t="s">
        <v>80</v>
      </c>
      <c r="D219" s="1" t="s">
        <v>4428</v>
      </c>
      <c r="E219" s="1" t="s">
        <v>82</v>
      </c>
      <c r="F219" s="1" t="s">
        <v>82</v>
      </c>
      <c r="G219" s="1" t="s">
        <v>82</v>
      </c>
      <c r="H219" s="1" t="s">
        <v>4429</v>
      </c>
      <c r="I219" s="1" t="s">
        <v>82</v>
      </c>
      <c r="J219" s="1" t="s">
        <v>82</v>
      </c>
      <c r="K219" s="1" t="s">
        <v>4430</v>
      </c>
      <c r="L219" s="1" t="s">
        <v>4377</v>
      </c>
      <c r="M219" s="1">
        <v>6.064</v>
      </c>
      <c r="O219" s="1" t="s">
        <v>82</v>
      </c>
      <c r="P219" s="1" t="s">
        <v>82</v>
      </c>
      <c r="Q219" s="1" t="s">
        <v>87</v>
      </c>
      <c r="R219" s="1" t="s">
        <v>115</v>
      </c>
      <c r="S219" s="1" t="s">
        <v>82</v>
      </c>
      <c r="T219" s="1" t="s">
        <v>82</v>
      </c>
      <c r="U219" s="1" t="s">
        <v>82</v>
      </c>
      <c r="V219" s="1" t="s">
        <v>82</v>
      </c>
      <c r="W219" s="1" t="s">
        <v>82</v>
      </c>
      <c r="X219" s="1" t="s">
        <v>4431</v>
      </c>
      <c r="Y219" s="1" t="s">
        <v>4432</v>
      </c>
      <c r="Z219" s="1" t="s">
        <v>4433</v>
      </c>
      <c r="AB219" s="1" t="s">
        <v>4434</v>
      </c>
      <c r="AC219" s="1" t="s">
        <v>4435</v>
      </c>
      <c r="AD219" s="1" t="s">
        <v>206</v>
      </c>
      <c r="AE219" s="1" t="s">
        <v>4436</v>
      </c>
      <c r="AF219" s="1" t="s">
        <v>4437</v>
      </c>
      <c r="AG219" s="1" t="s">
        <v>4438</v>
      </c>
      <c r="AH219" s="1" t="s">
        <v>82</v>
      </c>
      <c r="AI219" s="1" t="s">
        <v>82</v>
      </c>
      <c r="AJ219" s="1" t="s">
        <v>4439</v>
      </c>
      <c r="AK219" s="1" t="s">
        <v>4440</v>
      </c>
      <c r="AL219" s="1" t="s">
        <v>4441</v>
      </c>
      <c r="AM219" s="1" t="s">
        <v>82</v>
      </c>
      <c r="AN219" s="1">
        <v>93</v>
      </c>
      <c r="AO219" s="1">
        <v>0</v>
      </c>
      <c r="AP219" s="1">
        <v>0</v>
      </c>
      <c r="AQ219" s="1">
        <v>6</v>
      </c>
      <c r="AR219" s="1">
        <v>6</v>
      </c>
      <c r="AS219" s="1" t="s">
        <v>2958</v>
      </c>
      <c r="AT219" s="1" t="s">
        <v>2959</v>
      </c>
      <c r="AU219" s="1" t="s">
        <v>2960</v>
      </c>
      <c r="AV219" s="1" t="s">
        <v>82</v>
      </c>
      <c r="AW219" s="1" t="s">
        <v>4389</v>
      </c>
      <c r="AX219" s="1" t="s">
        <v>82</v>
      </c>
      <c r="AY219" s="1" t="s">
        <v>4390</v>
      </c>
      <c r="AZ219" s="1" t="s">
        <v>4391</v>
      </c>
      <c r="BA219" s="1" t="s">
        <v>4442</v>
      </c>
      <c r="BB219" s="1">
        <v>2022</v>
      </c>
      <c r="BC219" s="1">
        <v>13</v>
      </c>
      <c r="BD219" s="1" t="s">
        <v>82</v>
      </c>
      <c r="BE219" s="1" t="s">
        <v>82</v>
      </c>
      <c r="BF219" s="1" t="s">
        <v>82</v>
      </c>
      <c r="BG219" s="1" t="s">
        <v>82</v>
      </c>
      <c r="BH219" s="1" t="s">
        <v>82</v>
      </c>
      <c r="BI219" s="1" t="s">
        <v>82</v>
      </c>
      <c r="BJ219" s="1" t="s">
        <v>82</v>
      </c>
      <c r="BK219" s="1">
        <v>970731</v>
      </c>
      <c r="BL219" s="1" t="s">
        <v>4443</v>
      </c>
      <c r="BM219" s="1" t="str">
        <f>HYPERLINK("http://dx.doi.org/10.3389/fmicb.2022.970731","http://dx.doi.org/10.3389/fmicb.2022.970731")</f>
        <v>http://dx.doi.org/10.3389/fmicb.2022.970731</v>
      </c>
      <c r="BN219" s="1" t="s">
        <v>82</v>
      </c>
      <c r="BO219" s="1" t="s">
        <v>82</v>
      </c>
      <c r="BP219" s="1">
        <v>17</v>
      </c>
      <c r="BQ219" s="1" t="s">
        <v>1662</v>
      </c>
      <c r="BR219" s="1" t="s">
        <v>104</v>
      </c>
      <c r="BS219" s="1" t="s">
        <v>1662</v>
      </c>
      <c r="BT219" s="1" t="s">
        <v>4444</v>
      </c>
      <c r="BU219" s="1">
        <v>36118234</v>
      </c>
      <c r="BV219" s="1" t="s">
        <v>592</v>
      </c>
      <c r="BW219" s="1" t="s">
        <v>82</v>
      </c>
      <c r="BX219" s="1" t="s">
        <v>82</v>
      </c>
      <c r="BY219" s="1" t="s">
        <v>108</v>
      </c>
      <c r="BZ219" s="1" t="s">
        <v>4445</v>
      </c>
      <c r="CA219" s="1" t="str">
        <f>HYPERLINK("https%3A%2F%2Fwww.webofscience.com%2Fwos%2Fwoscc%2Ffull-record%2FWOS:000854036600001","View Full Record in Web of Science")</f>
        <v>View Full Record in Web of Science</v>
      </c>
    </row>
    <row r="220" s="1" customFormat="1" ht="14.4" spans="1:79">
      <c r="A220">
        <v>219</v>
      </c>
      <c r="B220" s="2" t="s">
        <v>79</v>
      </c>
      <c r="C220" s="1" t="s">
        <v>80</v>
      </c>
      <c r="D220" s="1" t="s">
        <v>4446</v>
      </c>
      <c r="E220" s="1" t="s">
        <v>82</v>
      </c>
      <c r="F220" s="1" t="s">
        <v>82</v>
      </c>
      <c r="G220" s="1" t="s">
        <v>82</v>
      </c>
      <c r="H220" s="1" t="s">
        <v>4447</v>
      </c>
      <c r="I220" s="1" t="s">
        <v>82</v>
      </c>
      <c r="J220" s="1" t="s">
        <v>82</v>
      </c>
      <c r="K220" s="1" t="s">
        <v>4448</v>
      </c>
      <c r="L220" s="1" t="s">
        <v>4377</v>
      </c>
      <c r="M220" s="1">
        <v>6.064</v>
      </c>
      <c r="O220" s="1" t="s">
        <v>82</v>
      </c>
      <c r="P220" s="1" t="s">
        <v>82</v>
      </c>
      <c r="Q220" s="1" t="s">
        <v>87</v>
      </c>
      <c r="R220" s="1" t="s">
        <v>115</v>
      </c>
      <c r="S220" s="1" t="s">
        <v>82</v>
      </c>
      <c r="T220" s="1" t="s">
        <v>82</v>
      </c>
      <c r="U220" s="1" t="s">
        <v>82</v>
      </c>
      <c r="V220" s="1" t="s">
        <v>82</v>
      </c>
      <c r="W220" s="1" t="s">
        <v>82</v>
      </c>
      <c r="X220" s="1" t="s">
        <v>4449</v>
      </c>
      <c r="Y220" s="1" t="s">
        <v>4450</v>
      </c>
      <c r="Z220" s="1" t="s">
        <v>4451</v>
      </c>
      <c r="AB220" s="1" t="s">
        <v>4452</v>
      </c>
      <c r="AC220" s="1" t="s">
        <v>4453</v>
      </c>
      <c r="AD220" s="1" t="s">
        <v>206</v>
      </c>
      <c r="AE220" s="1" t="s">
        <v>4454</v>
      </c>
      <c r="AF220" s="1" t="s">
        <v>4455</v>
      </c>
      <c r="AG220" s="1" t="s">
        <v>4456</v>
      </c>
      <c r="AH220" s="1" t="s">
        <v>4457</v>
      </c>
      <c r="AI220" s="1" t="s">
        <v>4458</v>
      </c>
      <c r="AJ220" s="1" t="s">
        <v>82</v>
      </c>
      <c r="AK220" s="1" t="s">
        <v>82</v>
      </c>
      <c r="AL220" s="1" t="s">
        <v>82</v>
      </c>
      <c r="AM220" s="1" t="s">
        <v>82</v>
      </c>
      <c r="AN220" s="1">
        <v>71</v>
      </c>
      <c r="AO220" s="1">
        <v>2</v>
      </c>
      <c r="AP220" s="1">
        <v>2</v>
      </c>
      <c r="AQ220" s="1">
        <v>20</v>
      </c>
      <c r="AR220" s="1">
        <v>21</v>
      </c>
      <c r="AS220" s="1" t="s">
        <v>2958</v>
      </c>
      <c r="AT220" s="1" t="s">
        <v>2959</v>
      </c>
      <c r="AU220" s="1" t="s">
        <v>2960</v>
      </c>
      <c r="AV220" s="1" t="s">
        <v>82</v>
      </c>
      <c r="AW220" s="1" t="s">
        <v>4389</v>
      </c>
      <c r="AX220" s="1" t="s">
        <v>82</v>
      </c>
      <c r="AY220" s="1" t="s">
        <v>4390</v>
      </c>
      <c r="AZ220" s="1" t="s">
        <v>4391</v>
      </c>
      <c r="BA220" s="1" t="s">
        <v>169</v>
      </c>
      <c r="BB220" s="1">
        <v>2022</v>
      </c>
      <c r="BC220" s="1">
        <v>13</v>
      </c>
      <c r="BD220" s="1" t="s">
        <v>82</v>
      </c>
      <c r="BE220" s="1" t="s">
        <v>82</v>
      </c>
      <c r="BF220" s="1" t="s">
        <v>82</v>
      </c>
      <c r="BG220" s="1" t="s">
        <v>82</v>
      </c>
      <c r="BH220" s="1" t="s">
        <v>82</v>
      </c>
      <c r="BI220" s="1" t="s">
        <v>82</v>
      </c>
      <c r="BJ220" s="1" t="s">
        <v>82</v>
      </c>
      <c r="BK220" s="1">
        <v>896530</v>
      </c>
      <c r="BL220" s="1" t="s">
        <v>4459</v>
      </c>
      <c r="BM220" s="1" t="str">
        <f>HYPERLINK("http://dx.doi.org/10.3389/fmicb.2022.896530","http://dx.doi.org/10.3389/fmicb.2022.896530")</f>
        <v>http://dx.doi.org/10.3389/fmicb.2022.896530</v>
      </c>
      <c r="BN220" s="1" t="s">
        <v>82</v>
      </c>
      <c r="BO220" s="1" t="s">
        <v>82</v>
      </c>
      <c r="BP220" s="1">
        <v>15</v>
      </c>
      <c r="BQ220" s="1" t="s">
        <v>1662</v>
      </c>
      <c r="BR220" s="1" t="s">
        <v>104</v>
      </c>
      <c r="BS220" s="1" t="s">
        <v>1662</v>
      </c>
      <c r="BT220" s="1" t="s">
        <v>4460</v>
      </c>
      <c r="BU220" s="1">
        <v>35814650</v>
      </c>
      <c r="BV220" s="1" t="s">
        <v>635</v>
      </c>
      <c r="BW220" s="1" t="s">
        <v>82</v>
      </c>
      <c r="BX220" s="1" t="s">
        <v>82</v>
      </c>
      <c r="BY220" s="1" t="s">
        <v>108</v>
      </c>
      <c r="BZ220" s="1" t="s">
        <v>4461</v>
      </c>
      <c r="CA220" s="1" t="str">
        <f>HYPERLINK("https%3A%2F%2Fwww.webofscience.com%2Fwos%2Fwoscc%2Ffull-record%2FWOS:000827315700001","View Full Record in Web of Science")</f>
        <v>View Full Record in Web of Science</v>
      </c>
    </row>
    <row r="221" s="1" customFormat="1" ht="14.4" spans="1:79">
      <c r="A221">
        <v>220</v>
      </c>
      <c r="B221" s="2" t="s">
        <v>79</v>
      </c>
      <c r="C221" s="1" t="s">
        <v>80</v>
      </c>
      <c r="D221" s="1" t="s">
        <v>4462</v>
      </c>
      <c r="E221" s="1" t="s">
        <v>82</v>
      </c>
      <c r="F221" s="1" t="s">
        <v>82</v>
      </c>
      <c r="G221" s="1" t="s">
        <v>82</v>
      </c>
      <c r="H221" s="1" t="s">
        <v>4463</v>
      </c>
      <c r="I221" s="1" t="s">
        <v>82</v>
      </c>
      <c r="J221" s="1" t="s">
        <v>82</v>
      </c>
      <c r="K221" s="1" t="s">
        <v>4464</v>
      </c>
      <c r="L221" s="1" t="s">
        <v>4377</v>
      </c>
      <c r="M221" s="1">
        <v>6.064</v>
      </c>
      <c r="O221" s="1" t="s">
        <v>82</v>
      </c>
      <c r="P221" s="1" t="s">
        <v>82</v>
      </c>
      <c r="Q221" s="1" t="s">
        <v>87</v>
      </c>
      <c r="R221" s="1" t="s">
        <v>115</v>
      </c>
      <c r="S221" s="1" t="s">
        <v>82</v>
      </c>
      <c r="T221" s="1" t="s">
        <v>82</v>
      </c>
      <c r="U221" s="1" t="s">
        <v>82</v>
      </c>
      <c r="V221" s="1" t="s">
        <v>82</v>
      </c>
      <c r="W221" s="1" t="s">
        <v>82</v>
      </c>
      <c r="X221" s="1" t="s">
        <v>4465</v>
      </c>
      <c r="Y221" s="1" t="s">
        <v>4466</v>
      </c>
      <c r="Z221" s="1" t="s">
        <v>4467</v>
      </c>
      <c r="AB221" s="1" t="s">
        <v>4468</v>
      </c>
      <c r="AC221" s="1" t="s">
        <v>4469</v>
      </c>
      <c r="AD221" s="1" t="s">
        <v>206</v>
      </c>
      <c r="AE221" s="1" t="s">
        <v>4470</v>
      </c>
      <c r="AF221" s="1" t="s">
        <v>4471</v>
      </c>
      <c r="AG221" s="1" t="s">
        <v>4472</v>
      </c>
      <c r="AH221" s="1" t="s">
        <v>82</v>
      </c>
      <c r="AI221" s="1" t="s">
        <v>82</v>
      </c>
      <c r="AJ221" s="1" t="s">
        <v>82</v>
      </c>
      <c r="AK221" s="1" t="s">
        <v>82</v>
      </c>
      <c r="AL221" s="1" t="s">
        <v>82</v>
      </c>
      <c r="AM221" s="1" t="s">
        <v>82</v>
      </c>
      <c r="AN221" s="1">
        <v>63</v>
      </c>
      <c r="AO221" s="1">
        <v>1</v>
      </c>
      <c r="AP221" s="1">
        <v>1</v>
      </c>
      <c r="AQ221" s="1">
        <v>18</v>
      </c>
      <c r="AR221" s="1">
        <v>25</v>
      </c>
      <c r="AS221" s="1" t="s">
        <v>2958</v>
      </c>
      <c r="AT221" s="1" t="s">
        <v>2959</v>
      </c>
      <c r="AU221" s="1" t="s">
        <v>2960</v>
      </c>
      <c r="AV221" s="1" t="s">
        <v>82</v>
      </c>
      <c r="AW221" s="1" t="s">
        <v>4389</v>
      </c>
      <c r="AX221" s="1" t="s">
        <v>82</v>
      </c>
      <c r="AY221" s="1" t="s">
        <v>4390</v>
      </c>
      <c r="AZ221" s="1" t="s">
        <v>4391</v>
      </c>
      <c r="BA221" s="1" t="s">
        <v>4473</v>
      </c>
      <c r="BB221" s="1">
        <v>2022</v>
      </c>
      <c r="BC221" s="1">
        <v>13</v>
      </c>
      <c r="BD221" s="1" t="s">
        <v>82</v>
      </c>
      <c r="BE221" s="1" t="s">
        <v>82</v>
      </c>
      <c r="BF221" s="1" t="s">
        <v>82</v>
      </c>
      <c r="BG221" s="1" t="s">
        <v>82</v>
      </c>
      <c r="BH221" s="1" t="s">
        <v>82</v>
      </c>
      <c r="BI221" s="1" t="s">
        <v>82</v>
      </c>
      <c r="BJ221" s="1" t="s">
        <v>82</v>
      </c>
      <c r="BK221" s="1">
        <v>908257</v>
      </c>
      <c r="BL221" s="1" t="s">
        <v>4474</v>
      </c>
      <c r="BM221" s="1" t="str">
        <f>HYPERLINK("http://dx.doi.org/10.3389/fmicb.2022.908257","http://dx.doi.org/10.3389/fmicb.2022.908257")</f>
        <v>http://dx.doi.org/10.3389/fmicb.2022.908257</v>
      </c>
      <c r="BN221" s="1" t="s">
        <v>82</v>
      </c>
      <c r="BO221" s="1" t="s">
        <v>82</v>
      </c>
      <c r="BP221" s="1">
        <v>16</v>
      </c>
      <c r="BQ221" s="1" t="s">
        <v>1662</v>
      </c>
      <c r="BR221" s="1" t="s">
        <v>104</v>
      </c>
      <c r="BS221" s="1" t="s">
        <v>1662</v>
      </c>
      <c r="BT221" s="1" t="s">
        <v>4475</v>
      </c>
      <c r="BU221" s="1">
        <v>35770159</v>
      </c>
      <c r="BV221" s="1" t="s">
        <v>635</v>
      </c>
      <c r="BW221" s="1" t="s">
        <v>82</v>
      </c>
      <c r="BX221" s="1" t="s">
        <v>82</v>
      </c>
      <c r="BY221" s="1" t="s">
        <v>108</v>
      </c>
      <c r="BZ221" s="1" t="s">
        <v>4476</v>
      </c>
      <c r="CA221" s="1" t="str">
        <f>HYPERLINK("https%3A%2F%2Fwww.webofscience.com%2Fwos%2Fwoscc%2Ffull-record%2FWOS:000819247000001","View Full Record in Web of Science")</f>
        <v>View Full Record in Web of Science</v>
      </c>
    </row>
    <row r="222" s="1" customFormat="1" ht="14.4" spans="1:79">
      <c r="A222">
        <v>221</v>
      </c>
      <c r="B222" s="2" t="s">
        <v>79</v>
      </c>
      <c r="C222" s="1" t="s">
        <v>80</v>
      </c>
      <c r="D222" s="1" t="s">
        <v>4477</v>
      </c>
      <c r="E222" s="1" t="s">
        <v>82</v>
      </c>
      <c r="F222" s="1" t="s">
        <v>82</v>
      </c>
      <c r="G222" s="1" t="s">
        <v>82</v>
      </c>
      <c r="H222" s="1" t="s">
        <v>4478</v>
      </c>
      <c r="I222" s="1" t="s">
        <v>82</v>
      </c>
      <c r="J222" s="1" t="s">
        <v>82</v>
      </c>
      <c r="K222" s="1" t="s">
        <v>4479</v>
      </c>
      <c r="L222" s="1" t="s">
        <v>4377</v>
      </c>
      <c r="M222" s="1">
        <v>6.064</v>
      </c>
      <c r="O222" s="1" t="s">
        <v>82</v>
      </c>
      <c r="P222" s="1" t="s">
        <v>82</v>
      </c>
      <c r="Q222" s="1" t="s">
        <v>87</v>
      </c>
      <c r="R222" s="1" t="s">
        <v>88</v>
      </c>
      <c r="S222" s="1" t="s">
        <v>82</v>
      </c>
      <c r="T222" s="1" t="s">
        <v>82</v>
      </c>
      <c r="U222" s="1" t="s">
        <v>82</v>
      </c>
      <c r="V222" s="1" t="s">
        <v>82</v>
      </c>
      <c r="W222" s="1" t="s">
        <v>82</v>
      </c>
      <c r="X222" s="1" t="s">
        <v>4480</v>
      </c>
      <c r="Y222" s="1" t="s">
        <v>82</v>
      </c>
      <c r="Z222" s="1" t="s">
        <v>82</v>
      </c>
      <c r="AA222" s="1">
        <v>1</v>
      </c>
      <c r="AB222" s="1" t="s">
        <v>4481</v>
      </c>
      <c r="AC222" s="1" t="s">
        <v>4482</v>
      </c>
      <c r="AD222" s="1" t="s">
        <v>93</v>
      </c>
      <c r="AE222" s="1" t="s">
        <v>4483</v>
      </c>
      <c r="AF222" s="1" t="s">
        <v>4484</v>
      </c>
      <c r="AG222" s="1" t="s">
        <v>4485</v>
      </c>
      <c r="AH222" s="1" t="s">
        <v>4486</v>
      </c>
      <c r="AI222" s="1" t="s">
        <v>4487</v>
      </c>
      <c r="AJ222" s="1" t="s">
        <v>4488</v>
      </c>
      <c r="AK222" s="1" t="s">
        <v>4489</v>
      </c>
      <c r="AL222" s="1" t="s">
        <v>4490</v>
      </c>
      <c r="AM222" s="1" t="s">
        <v>82</v>
      </c>
      <c r="AN222" s="1">
        <v>9</v>
      </c>
      <c r="AO222" s="1">
        <v>4</v>
      </c>
      <c r="AP222" s="1">
        <v>4</v>
      </c>
      <c r="AQ222" s="1">
        <v>1</v>
      </c>
      <c r="AR222" s="1">
        <v>2</v>
      </c>
      <c r="AS222" s="1" t="s">
        <v>2958</v>
      </c>
      <c r="AT222" s="1" t="s">
        <v>2959</v>
      </c>
      <c r="AU222" s="1" t="s">
        <v>2960</v>
      </c>
      <c r="AV222" s="1" t="s">
        <v>82</v>
      </c>
      <c r="AW222" s="1" t="s">
        <v>4389</v>
      </c>
      <c r="AX222" s="1" t="s">
        <v>82</v>
      </c>
      <c r="AY222" s="1" t="s">
        <v>4390</v>
      </c>
      <c r="AZ222" s="1" t="s">
        <v>4391</v>
      </c>
      <c r="BA222" s="1" t="s">
        <v>2010</v>
      </c>
      <c r="BB222" s="1">
        <v>2022</v>
      </c>
      <c r="BC222" s="1">
        <v>12</v>
      </c>
      <c r="BD222" s="1" t="s">
        <v>82</v>
      </c>
      <c r="BE222" s="1" t="s">
        <v>82</v>
      </c>
      <c r="BF222" s="1" t="s">
        <v>82</v>
      </c>
      <c r="BG222" s="1" t="s">
        <v>82</v>
      </c>
      <c r="BH222" s="1" t="s">
        <v>82</v>
      </c>
      <c r="BI222" s="1" t="s">
        <v>82</v>
      </c>
      <c r="BJ222" s="1" t="s">
        <v>82</v>
      </c>
      <c r="BK222" s="1">
        <v>827725</v>
      </c>
      <c r="BL222" s="1" t="s">
        <v>4491</v>
      </c>
      <c r="BM222" s="1" t="str">
        <f>HYPERLINK("http://dx.doi.org/10.3389/fmicb.2021.827725","http://dx.doi.org/10.3389/fmicb.2021.827725")</f>
        <v>http://dx.doi.org/10.3389/fmicb.2021.827725</v>
      </c>
      <c r="BN222" s="1" t="s">
        <v>82</v>
      </c>
      <c r="BO222" s="1" t="s">
        <v>82</v>
      </c>
      <c r="BP222" s="1">
        <v>4</v>
      </c>
      <c r="BQ222" s="1" t="s">
        <v>1662</v>
      </c>
      <c r="BR222" s="1" t="s">
        <v>104</v>
      </c>
      <c r="BS222" s="1" t="s">
        <v>1662</v>
      </c>
      <c r="BT222" s="1" t="s">
        <v>4492</v>
      </c>
      <c r="BU222" s="1">
        <v>35145501</v>
      </c>
      <c r="BV222" s="1" t="s">
        <v>592</v>
      </c>
      <c r="BW222" s="1" t="s">
        <v>82</v>
      </c>
      <c r="BX222" s="1" t="s">
        <v>82</v>
      </c>
      <c r="BY222" s="1" t="s">
        <v>108</v>
      </c>
      <c r="BZ222" s="1" t="s">
        <v>4493</v>
      </c>
      <c r="CA222" s="1" t="str">
        <f>HYPERLINK("https%3A%2F%2Fwww.webofscience.com%2Fwos%2Fwoscc%2Ffull-record%2FWOS:000752684900001","View Full Record in Web of Science")</f>
        <v>View Full Record in Web of Science</v>
      </c>
    </row>
    <row r="223" s="1" customFormat="1" ht="14.4" spans="1:79">
      <c r="A223">
        <v>222</v>
      </c>
      <c r="B223" s="2" t="s">
        <v>110</v>
      </c>
      <c r="C223" s="1" t="s">
        <v>80</v>
      </c>
      <c r="D223" s="1" t="s">
        <v>4494</v>
      </c>
      <c r="E223" s="1" t="s">
        <v>82</v>
      </c>
      <c r="F223" s="1" t="s">
        <v>82</v>
      </c>
      <c r="G223" s="1" t="s">
        <v>82</v>
      </c>
      <c r="H223" s="1" t="s">
        <v>4495</v>
      </c>
      <c r="I223" s="1" t="s">
        <v>82</v>
      </c>
      <c r="J223" s="1" t="s">
        <v>82</v>
      </c>
      <c r="K223" s="1" t="s">
        <v>4496</v>
      </c>
      <c r="L223" s="1" t="s">
        <v>4497</v>
      </c>
      <c r="M223" s="1">
        <v>6.056</v>
      </c>
      <c r="O223" s="1" t="s">
        <v>82</v>
      </c>
      <c r="P223" s="1" t="s">
        <v>82</v>
      </c>
      <c r="Q223" s="1" t="s">
        <v>87</v>
      </c>
      <c r="R223" s="1" t="s">
        <v>115</v>
      </c>
      <c r="S223" s="1" t="s">
        <v>82</v>
      </c>
      <c r="T223" s="1" t="s">
        <v>82</v>
      </c>
      <c r="U223" s="1" t="s">
        <v>82</v>
      </c>
      <c r="V223" s="1" t="s">
        <v>82</v>
      </c>
      <c r="W223" s="1" t="s">
        <v>82</v>
      </c>
      <c r="X223" s="1" t="s">
        <v>4498</v>
      </c>
      <c r="Y223" s="1" t="s">
        <v>4499</v>
      </c>
      <c r="Z223" s="1" t="s">
        <v>4500</v>
      </c>
      <c r="AA223" s="1">
        <v>1</v>
      </c>
      <c r="AB223" s="1" t="s">
        <v>4501</v>
      </c>
      <c r="AC223" s="1" t="s">
        <v>4502</v>
      </c>
      <c r="AD223" s="1" t="s">
        <v>93</v>
      </c>
      <c r="AE223" s="1" t="s">
        <v>3467</v>
      </c>
      <c r="AF223" s="1" t="s">
        <v>4503</v>
      </c>
      <c r="AG223" s="1" t="s">
        <v>4504</v>
      </c>
      <c r="AH223" s="1" t="s">
        <v>4505</v>
      </c>
      <c r="AI223" s="1" t="s">
        <v>82</v>
      </c>
      <c r="AJ223" s="1" t="s">
        <v>4506</v>
      </c>
      <c r="AK223" s="1" t="s">
        <v>4507</v>
      </c>
      <c r="AL223" s="1" t="s">
        <v>4508</v>
      </c>
      <c r="AM223" s="1" t="s">
        <v>82</v>
      </c>
      <c r="AN223" s="1">
        <v>32</v>
      </c>
      <c r="AO223" s="1">
        <v>1</v>
      </c>
      <c r="AP223" s="1">
        <v>1</v>
      </c>
      <c r="AQ223" s="1">
        <v>2</v>
      </c>
      <c r="AR223" s="1">
        <v>2</v>
      </c>
      <c r="AS223" s="1" t="s">
        <v>479</v>
      </c>
      <c r="AT223" s="1" t="s">
        <v>480</v>
      </c>
      <c r="AU223" s="1" t="s">
        <v>481</v>
      </c>
      <c r="AV223" s="1" t="s">
        <v>4509</v>
      </c>
      <c r="AW223" s="1" t="s">
        <v>4510</v>
      </c>
      <c r="AX223" s="1" t="s">
        <v>82</v>
      </c>
      <c r="AY223" s="1" t="s">
        <v>4511</v>
      </c>
      <c r="AZ223" s="1" t="s">
        <v>4512</v>
      </c>
      <c r="BA223" s="1" t="s">
        <v>4513</v>
      </c>
      <c r="BB223" s="1">
        <v>2022</v>
      </c>
      <c r="BC223" s="1">
        <v>168</v>
      </c>
      <c r="BD223" s="1" t="s">
        <v>82</v>
      </c>
      <c r="BE223" s="1" t="s">
        <v>82</v>
      </c>
      <c r="BF223" s="1" t="s">
        <v>82</v>
      </c>
      <c r="BG223" s="1" t="s">
        <v>82</v>
      </c>
      <c r="BH223" s="1" t="s">
        <v>82</v>
      </c>
      <c r="BI223" s="1" t="s">
        <v>82</v>
      </c>
      <c r="BJ223" s="1" t="s">
        <v>82</v>
      </c>
      <c r="BK223" s="1">
        <v>113918</v>
      </c>
      <c r="BL223" s="1" t="s">
        <v>4514</v>
      </c>
      <c r="BM223" s="1" t="str">
        <f>HYPERLINK("http://dx.doi.org/10.1016/j.lwt.2022.113918","http://dx.doi.org/10.1016/j.lwt.2022.113918")</f>
        <v>http://dx.doi.org/10.1016/j.lwt.2022.113918</v>
      </c>
      <c r="BN223" s="1" t="s">
        <v>82</v>
      </c>
      <c r="BO223" s="1" t="s">
        <v>224</v>
      </c>
      <c r="BP223" s="1">
        <v>7</v>
      </c>
      <c r="BQ223" s="1" t="s">
        <v>3644</v>
      </c>
      <c r="BR223" s="1" t="s">
        <v>104</v>
      </c>
      <c r="BS223" s="1" t="s">
        <v>3644</v>
      </c>
      <c r="BT223" s="1" t="s">
        <v>4515</v>
      </c>
      <c r="BU223" s="1" t="s">
        <v>82</v>
      </c>
      <c r="BV223" s="1" t="s">
        <v>808</v>
      </c>
      <c r="BW223" s="1" t="s">
        <v>82</v>
      </c>
      <c r="BX223" s="1" t="s">
        <v>82</v>
      </c>
      <c r="BY223" s="1" t="s">
        <v>108</v>
      </c>
      <c r="BZ223" s="1" t="s">
        <v>4516</v>
      </c>
      <c r="CA223" s="1" t="str">
        <f>HYPERLINK("https%3A%2F%2Fwww.webofscience.com%2Fwos%2Fwoscc%2Ffull-record%2FWOS:000880630000003","View Full Record in Web of Science")</f>
        <v>View Full Record in Web of Science</v>
      </c>
    </row>
    <row r="224" s="1" customFormat="1" ht="14.4" spans="1:79">
      <c r="A224">
        <v>223</v>
      </c>
      <c r="B224" s="2" t="s">
        <v>79</v>
      </c>
      <c r="C224" s="1" t="s">
        <v>80</v>
      </c>
      <c r="D224" s="1" t="s">
        <v>4517</v>
      </c>
      <c r="E224" s="1" t="s">
        <v>82</v>
      </c>
      <c r="F224" s="1" t="s">
        <v>82</v>
      </c>
      <c r="G224" s="1" t="s">
        <v>82</v>
      </c>
      <c r="H224" s="1" t="s">
        <v>4518</v>
      </c>
      <c r="I224" s="1" t="s">
        <v>82</v>
      </c>
      <c r="J224" s="1" t="s">
        <v>82</v>
      </c>
      <c r="K224" s="1" t="s">
        <v>4519</v>
      </c>
      <c r="L224" s="1" t="s">
        <v>4497</v>
      </c>
      <c r="M224" s="1">
        <v>6.056</v>
      </c>
      <c r="O224" s="1" t="s">
        <v>82</v>
      </c>
      <c r="P224" s="1" t="s">
        <v>82</v>
      </c>
      <c r="Q224" s="1" t="s">
        <v>87</v>
      </c>
      <c r="R224" s="1" t="s">
        <v>115</v>
      </c>
      <c r="S224" s="1" t="s">
        <v>82</v>
      </c>
      <c r="T224" s="1" t="s">
        <v>82</v>
      </c>
      <c r="U224" s="1" t="s">
        <v>82</v>
      </c>
      <c r="V224" s="1" t="s">
        <v>82</v>
      </c>
      <c r="W224" s="1" t="s">
        <v>82</v>
      </c>
      <c r="X224" s="1" t="s">
        <v>4520</v>
      </c>
      <c r="Y224" s="1" t="s">
        <v>4521</v>
      </c>
      <c r="Z224" s="1" t="s">
        <v>4522</v>
      </c>
      <c r="AA224" s="1">
        <v>1</v>
      </c>
      <c r="AB224" s="1" t="s">
        <v>4523</v>
      </c>
      <c r="AC224" s="1" t="s">
        <v>4524</v>
      </c>
      <c r="AD224" s="1" t="s">
        <v>93</v>
      </c>
      <c r="AE224" s="1" t="s">
        <v>4525</v>
      </c>
      <c r="AF224" s="1" t="s">
        <v>4526</v>
      </c>
      <c r="AG224" s="1" t="s">
        <v>898</v>
      </c>
      <c r="AH224" s="1" t="s">
        <v>82</v>
      </c>
      <c r="AI224" s="1" t="s">
        <v>82</v>
      </c>
      <c r="AJ224" s="1" t="s">
        <v>4527</v>
      </c>
      <c r="AK224" s="1" t="s">
        <v>4528</v>
      </c>
      <c r="AL224" s="1" t="s">
        <v>4529</v>
      </c>
      <c r="AM224" s="1" t="s">
        <v>82</v>
      </c>
      <c r="AN224" s="1">
        <v>44</v>
      </c>
      <c r="AO224" s="1">
        <v>0</v>
      </c>
      <c r="AP224" s="1">
        <v>0</v>
      </c>
      <c r="AQ224" s="1">
        <v>8</v>
      </c>
      <c r="AR224" s="1">
        <v>8</v>
      </c>
      <c r="AS224" s="1" t="s">
        <v>479</v>
      </c>
      <c r="AT224" s="1" t="s">
        <v>480</v>
      </c>
      <c r="AU224" s="1" t="s">
        <v>481</v>
      </c>
      <c r="AV224" s="1" t="s">
        <v>4509</v>
      </c>
      <c r="AW224" s="1" t="s">
        <v>4510</v>
      </c>
      <c r="AX224" s="1" t="s">
        <v>82</v>
      </c>
      <c r="AY224" s="1" t="s">
        <v>4511</v>
      </c>
      <c r="AZ224" s="1" t="s">
        <v>4512</v>
      </c>
      <c r="BA224" s="1" t="s">
        <v>1926</v>
      </c>
      <c r="BB224" s="1">
        <v>2022</v>
      </c>
      <c r="BC224" s="1">
        <v>170</v>
      </c>
      <c r="BD224" s="1" t="s">
        <v>82</v>
      </c>
      <c r="BE224" s="1" t="s">
        <v>82</v>
      </c>
      <c r="BF224" s="1" t="s">
        <v>82</v>
      </c>
      <c r="BG224" s="1" t="s">
        <v>82</v>
      </c>
      <c r="BH224" s="1" t="s">
        <v>82</v>
      </c>
      <c r="BI224" s="1" t="s">
        <v>82</v>
      </c>
      <c r="BJ224" s="1" t="s">
        <v>82</v>
      </c>
      <c r="BK224" s="1">
        <v>114087</v>
      </c>
      <c r="BL224" s="1" t="s">
        <v>4530</v>
      </c>
      <c r="BM224" s="1" t="str">
        <f>HYPERLINK("http://dx.doi.org/10.1016/j.lwt.2022.114087","http://dx.doi.org/10.1016/j.lwt.2022.114087")</f>
        <v>http://dx.doi.org/10.1016/j.lwt.2022.114087</v>
      </c>
      <c r="BN224" s="1" t="s">
        <v>82</v>
      </c>
      <c r="BO224" s="1" t="s">
        <v>82</v>
      </c>
      <c r="BP224" s="1">
        <v>9</v>
      </c>
      <c r="BQ224" s="1" t="s">
        <v>3644</v>
      </c>
      <c r="BR224" s="1" t="s">
        <v>104</v>
      </c>
      <c r="BS224" s="1" t="s">
        <v>3644</v>
      </c>
      <c r="BT224" s="1" t="s">
        <v>4531</v>
      </c>
      <c r="BU224" s="1" t="s">
        <v>82</v>
      </c>
      <c r="BV224" s="1" t="s">
        <v>808</v>
      </c>
      <c r="BW224" s="1" t="s">
        <v>82</v>
      </c>
      <c r="BX224" s="1" t="s">
        <v>82</v>
      </c>
      <c r="BY224" s="1" t="s">
        <v>108</v>
      </c>
      <c r="BZ224" s="1" t="s">
        <v>4532</v>
      </c>
      <c r="CA224" s="1" t="str">
        <f>HYPERLINK("https%3A%2F%2Fwww.webofscience.com%2Fwos%2Fwoscc%2Ffull-record%2FWOS:000875419000005","View Full Record in Web of Science")</f>
        <v>View Full Record in Web of Science</v>
      </c>
    </row>
    <row r="225" s="1" customFormat="1" ht="14.4" spans="1:79">
      <c r="A225">
        <v>224</v>
      </c>
      <c r="B225" s="2" t="s">
        <v>79</v>
      </c>
      <c r="C225" s="1" t="s">
        <v>80</v>
      </c>
      <c r="D225" s="1" t="s">
        <v>4533</v>
      </c>
      <c r="E225" s="1" t="s">
        <v>82</v>
      </c>
      <c r="F225" s="1" t="s">
        <v>82</v>
      </c>
      <c r="G225" s="1" t="s">
        <v>82</v>
      </c>
      <c r="H225" s="1" t="s">
        <v>4534</v>
      </c>
      <c r="I225" s="1" t="s">
        <v>82</v>
      </c>
      <c r="J225" s="1" t="s">
        <v>82</v>
      </c>
      <c r="K225" s="1" t="s">
        <v>4535</v>
      </c>
      <c r="L225" s="1" t="s">
        <v>4536</v>
      </c>
      <c r="M225" s="1">
        <v>6.028</v>
      </c>
      <c r="O225" s="1" t="s">
        <v>82</v>
      </c>
      <c r="P225" s="1" t="s">
        <v>82</v>
      </c>
      <c r="Q225" s="1" t="s">
        <v>87</v>
      </c>
      <c r="R225" s="1" t="s">
        <v>115</v>
      </c>
      <c r="S225" s="1" t="s">
        <v>82</v>
      </c>
      <c r="T225" s="1" t="s">
        <v>82</v>
      </c>
      <c r="U225" s="1" t="s">
        <v>82</v>
      </c>
      <c r="V225" s="1" t="s">
        <v>82</v>
      </c>
      <c r="W225" s="1" t="s">
        <v>82</v>
      </c>
      <c r="X225" s="1" t="s">
        <v>4537</v>
      </c>
      <c r="Y225" s="1" t="s">
        <v>4538</v>
      </c>
      <c r="Z225" s="1" t="s">
        <v>4539</v>
      </c>
      <c r="AA225" s="1">
        <v>1</v>
      </c>
      <c r="AB225" s="1" t="s">
        <v>3253</v>
      </c>
      <c r="AC225" s="1" t="s">
        <v>4540</v>
      </c>
      <c r="AD225" s="1" t="s">
        <v>93</v>
      </c>
      <c r="AE225" s="1" t="s">
        <v>1630</v>
      </c>
      <c r="AF225" s="1" t="s">
        <v>4541</v>
      </c>
      <c r="AG225" s="1" t="s">
        <v>4542</v>
      </c>
      <c r="AH225" s="1" t="s">
        <v>82</v>
      </c>
      <c r="AI225" s="1" t="s">
        <v>4543</v>
      </c>
      <c r="AJ225" s="1" t="s">
        <v>4544</v>
      </c>
      <c r="AK225" s="1" t="s">
        <v>4545</v>
      </c>
      <c r="AL225" s="1" t="s">
        <v>4546</v>
      </c>
      <c r="AM225" s="1" t="s">
        <v>82</v>
      </c>
      <c r="AN225" s="1">
        <v>73</v>
      </c>
      <c r="AO225" s="1">
        <v>4</v>
      </c>
      <c r="AP225" s="1">
        <v>4</v>
      </c>
      <c r="AQ225" s="1">
        <v>1</v>
      </c>
      <c r="AR225" s="1">
        <v>28</v>
      </c>
      <c r="AS225" s="1" t="s">
        <v>1700</v>
      </c>
      <c r="AT225" s="1" t="s">
        <v>329</v>
      </c>
      <c r="AU225" s="1" t="s">
        <v>1701</v>
      </c>
      <c r="AV225" s="1" t="s">
        <v>4547</v>
      </c>
      <c r="AW225" s="1" t="s">
        <v>4548</v>
      </c>
      <c r="AX225" s="1" t="s">
        <v>82</v>
      </c>
      <c r="AY225" s="1" t="s">
        <v>4549</v>
      </c>
      <c r="AZ225" s="1" t="s">
        <v>4550</v>
      </c>
      <c r="BA225" s="1" t="s">
        <v>1826</v>
      </c>
      <c r="BB225" s="1">
        <v>2022</v>
      </c>
      <c r="BC225" s="1">
        <v>193</v>
      </c>
      <c r="BD225" s="1" t="s">
        <v>82</v>
      </c>
      <c r="BE225" s="1" t="s">
        <v>82</v>
      </c>
      <c r="BF225" s="1" t="s">
        <v>82</v>
      </c>
      <c r="BG225" s="1" t="s">
        <v>82</v>
      </c>
      <c r="BH225" s="1" t="s">
        <v>82</v>
      </c>
      <c r="BI225" s="1" t="s">
        <v>82</v>
      </c>
      <c r="BJ225" s="1" t="s">
        <v>82</v>
      </c>
      <c r="BK225" s="1">
        <v>104665</v>
      </c>
      <c r="BL225" s="1" t="s">
        <v>4551</v>
      </c>
      <c r="BM225" s="1" t="str">
        <f>HYPERLINK("http://dx.doi.org/10.1016/j.envexpbot.2021.104665","http://dx.doi.org/10.1016/j.envexpbot.2021.104665")</f>
        <v>http://dx.doi.org/10.1016/j.envexpbot.2021.104665</v>
      </c>
      <c r="BN225" s="1" t="s">
        <v>82</v>
      </c>
      <c r="BO225" s="1" t="s">
        <v>1233</v>
      </c>
      <c r="BP225" s="1">
        <v>9</v>
      </c>
      <c r="BQ225" s="1" t="s">
        <v>4552</v>
      </c>
      <c r="BR225" s="1" t="s">
        <v>104</v>
      </c>
      <c r="BS225" s="1" t="s">
        <v>3857</v>
      </c>
      <c r="BT225" s="1" t="s">
        <v>4553</v>
      </c>
      <c r="BU225" s="1" t="s">
        <v>82</v>
      </c>
      <c r="BV225" s="1" t="s">
        <v>82</v>
      </c>
      <c r="BW225" s="1" t="s">
        <v>82</v>
      </c>
      <c r="BX225" s="1" t="s">
        <v>82</v>
      </c>
      <c r="BY225" s="1" t="s">
        <v>108</v>
      </c>
      <c r="BZ225" s="1" t="s">
        <v>4554</v>
      </c>
      <c r="CA225" s="1" t="str">
        <f>HYPERLINK("https%3A%2F%2Fwww.webofscience.com%2Fwos%2Fwoscc%2Ffull-record%2FWOS:000702923000001","View Full Record in Web of Science")</f>
        <v>View Full Record in Web of Science</v>
      </c>
    </row>
    <row r="226" s="1" customFormat="1" ht="14.4" spans="1:79">
      <c r="A226">
        <v>225</v>
      </c>
      <c r="B226" s="2" t="s">
        <v>110</v>
      </c>
      <c r="C226" s="1" t="s">
        <v>80</v>
      </c>
      <c r="D226" s="1" t="s">
        <v>4555</v>
      </c>
      <c r="E226" s="1" t="s">
        <v>82</v>
      </c>
      <c r="G226" s="1" t="s">
        <v>82</v>
      </c>
      <c r="H226" s="1" t="s">
        <v>4556</v>
      </c>
      <c r="I226" s="1" t="s">
        <v>82</v>
      </c>
      <c r="J226" s="1" t="s">
        <v>82</v>
      </c>
      <c r="K226" s="1" t="s">
        <v>4557</v>
      </c>
      <c r="L226" s="1" t="s">
        <v>4558</v>
      </c>
      <c r="M226" s="1">
        <v>5.988</v>
      </c>
      <c r="O226" s="1" t="s">
        <v>82</v>
      </c>
      <c r="P226" s="1" t="s">
        <v>82</v>
      </c>
      <c r="Q226" s="1" t="s">
        <v>87</v>
      </c>
      <c r="R226" s="1" t="s">
        <v>115</v>
      </c>
      <c r="S226" s="1" t="s">
        <v>82</v>
      </c>
      <c r="T226" s="1" t="s">
        <v>82</v>
      </c>
      <c r="U226" s="1" t="s">
        <v>82</v>
      </c>
      <c r="V226" s="1" t="s">
        <v>82</v>
      </c>
      <c r="W226" s="1" t="s">
        <v>82</v>
      </c>
      <c r="X226" s="1" t="s">
        <v>4559</v>
      </c>
      <c r="Y226" s="1" t="s">
        <v>4560</v>
      </c>
      <c r="Z226" s="1" t="s">
        <v>4561</v>
      </c>
      <c r="AB226" s="1" t="s">
        <v>4562</v>
      </c>
      <c r="AC226" s="1" t="s">
        <v>4563</v>
      </c>
      <c r="AD226" s="1" t="s">
        <v>206</v>
      </c>
      <c r="AE226" s="1" t="s">
        <v>4564</v>
      </c>
      <c r="AF226" s="1" t="s">
        <v>4565</v>
      </c>
      <c r="AG226" s="1" t="s">
        <v>4566</v>
      </c>
      <c r="AH226" s="1" t="s">
        <v>82</v>
      </c>
      <c r="AI226" s="1" t="s">
        <v>82</v>
      </c>
      <c r="AJ226" s="1" t="s">
        <v>4567</v>
      </c>
      <c r="AK226" s="1" t="s">
        <v>4568</v>
      </c>
      <c r="AL226" s="1" t="s">
        <v>4569</v>
      </c>
      <c r="AM226" s="1" t="s">
        <v>82</v>
      </c>
      <c r="AN226" s="1">
        <v>59</v>
      </c>
      <c r="AO226" s="1">
        <v>0</v>
      </c>
      <c r="AP226" s="1">
        <v>0</v>
      </c>
      <c r="AQ226" s="1">
        <v>1</v>
      </c>
      <c r="AR226" s="1">
        <v>1</v>
      </c>
      <c r="AS226" s="1" t="s">
        <v>2958</v>
      </c>
      <c r="AT226" s="1" t="s">
        <v>2959</v>
      </c>
      <c r="AU226" s="1" t="s">
        <v>2960</v>
      </c>
      <c r="AV226" s="1" t="s">
        <v>82</v>
      </c>
      <c r="AW226" s="1" t="s">
        <v>4570</v>
      </c>
      <c r="AX226" s="1" t="s">
        <v>82</v>
      </c>
      <c r="AY226" s="1" t="s">
        <v>4571</v>
      </c>
      <c r="AZ226" s="1" t="s">
        <v>4572</v>
      </c>
      <c r="BA226" s="1" t="s">
        <v>4573</v>
      </c>
      <c r="BB226" s="1">
        <v>2022</v>
      </c>
      <c r="BC226" s="1">
        <v>13</v>
      </c>
      <c r="BD226" s="1" t="s">
        <v>82</v>
      </c>
      <c r="BE226" s="1" t="s">
        <v>82</v>
      </c>
      <c r="BF226" s="1" t="s">
        <v>82</v>
      </c>
      <c r="BG226" s="1" t="s">
        <v>82</v>
      </c>
      <c r="BH226" s="1" t="s">
        <v>82</v>
      </c>
      <c r="BI226" s="1" t="s">
        <v>82</v>
      </c>
      <c r="BJ226" s="1" t="s">
        <v>82</v>
      </c>
      <c r="BK226" s="1">
        <v>1081697</v>
      </c>
      <c r="BL226" s="1" t="s">
        <v>4574</v>
      </c>
      <c r="BM226" s="1" t="str">
        <f>HYPERLINK("http://dx.doi.org/10.3389/fphar.2022.1081697","http://dx.doi.org/10.3389/fphar.2022.1081697")</f>
        <v>http://dx.doi.org/10.3389/fphar.2022.1081697</v>
      </c>
      <c r="BN226" s="1" t="s">
        <v>82</v>
      </c>
      <c r="BO226" s="1" t="s">
        <v>82</v>
      </c>
      <c r="BP226" s="1">
        <v>19</v>
      </c>
      <c r="BQ226" s="1" t="s">
        <v>982</v>
      </c>
      <c r="BR226" s="1" t="s">
        <v>104</v>
      </c>
      <c r="BS226" s="1" t="s">
        <v>982</v>
      </c>
      <c r="BT226" s="1" t="s">
        <v>4575</v>
      </c>
      <c r="BU226" s="1">
        <v>36618940</v>
      </c>
      <c r="BV226" s="1" t="s">
        <v>635</v>
      </c>
      <c r="BW226" s="1" t="s">
        <v>82</v>
      </c>
      <c r="BX226" s="1" t="s">
        <v>82</v>
      </c>
      <c r="BY226" s="1" t="s">
        <v>108</v>
      </c>
      <c r="BZ226" s="1" t="s">
        <v>4576</v>
      </c>
      <c r="CA226" s="1" t="str">
        <f>HYPERLINK("https%3A%2F%2Fwww.webofscience.com%2Fwos%2Fwoscc%2Ffull-record%2FWOS:000907595600001","View Full Record in Web of Science")</f>
        <v>View Full Record in Web of Science</v>
      </c>
    </row>
    <row r="227" s="1" customFormat="1" ht="14.4" spans="1:79">
      <c r="A227">
        <v>226</v>
      </c>
      <c r="B227" s="2" t="s">
        <v>79</v>
      </c>
      <c r="C227" s="1" t="s">
        <v>80</v>
      </c>
      <c r="D227" s="1" t="s">
        <v>4577</v>
      </c>
      <c r="E227" s="1" t="s">
        <v>82</v>
      </c>
      <c r="F227" s="1" t="s">
        <v>82</v>
      </c>
      <c r="G227" s="1" t="s">
        <v>82</v>
      </c>
      <c r="H227" s="1" t="s">
        <v>4578</v>
      </c>
      <c r="I227" s="1" t="s">
        <v>82</v>
      </c>
      <c r="J227" s="1" t="s">
        <v>82</v>
      </c>
      <c r="K227" s="1" t="s">
        <v>4579</v>
      </c>
      <c r="L227" s="1" t="s">
        <v>4558</v>
      </c>
      <c r="M227" s="1">
        <v>5.988</v>
      </c>
      <c r="O227" s="1" t="s">
        <v>82</v>
      </c>
      <c r="P227" s="1" t="s">
        <v>82</v>
      </c>
      <c r="Q227" s="1" t="s">
        <v>87</v>
      </c>
      <c r="R227" s="1" t="s">
        <v>88</v>
      </c>
      <c r="S227" s="1" t="s">
        <v>82</v>
      </c>
      <c r="T227" s="1" t="s">
        <v>82</v>
      </c>
      <c r="U227" s="1" t="s">
        <v>82</v>
      </c>
      <c r="V227" s="1" t="s">
        <v>82</v>
      </c>
      <c r="W227" s="1" t="s">
        <v>82</v>
      </c>
      <c r="X227" s="1" t="s">
        <v>4580</v>
      </c>
      <c r="Y227" s="1" t="s">
        <v>4581</v>
      </c>
      <c r="Z227" s="1" t="s">
        <v>82</v>
      </c>
      <c r="AB227" s="1" t="s">
        <v>4582</v>
      </c>
      <c r="AC227" s="1" t="s">
        <v>4583</v>
      </c>
      <c r="AD227" s="1" t="s">
        <v>206</v>
      </c>
      <c r="AE227" s="1" t="s">
        <v>4584</v>
      </c>
      <c r="AF227" s="1" t="s">
        <v>4585</v>
      </c>
      <c r="AG227" s="1" t="s">
        <v>4586</v>
      </c>
      <c r="AH227" s="1" t="s">
        <v>4587</v>
      </c>
      <c r="AI227" s="1" t="s">
        <v>4588</v>
      </c>
      <c r="AJ227" s="1" t="s">
        <v>82</v>
      </c>
      <c r="AK227" s="1" t="s">
        <v>82</v>
      </c>
      <c r="AL227" s="1" t="s">
        <v>82</v>
      </c>
      <c r="AM227" s="1" t="s">
        <v>82</v>
      </c>
      <c r="AN227" s="1">
        <v>15</v>
      </c>
      <c r="AO227" s="1">
        <v>0</v>
      </c>
      <c r="AP227" s="1">
        <v>0</v>
      </c>
      <c r="AQ227" s="1">
        <v>0</v>
      </c>
      <c r="AR227" s="1">
        <v>0</v>
      </c>
      <c r="AS227" s="1" t="s">
        <v>2958</v>
      </c>
      <c r="AT227" s="1" t="s">
        <v>2959</v>
      </c>
      <c r="AU227" s="1" t="s">
        <v>2960</v>
      </c>
      <c r="AV227" s="1" t="s">
        <v>82</v>
      </c>
      <c r="AW227" s="1" t="s">
        <v>4570</v>
      </c>
      <c r="AX227" s="1" t="s">
        <v>82</v>
      </c>
      <c r="AY227" s="1" t="s">
        <v>4571</v>
      </c>
      <c r="AZ227" s="1" t="s">
        <v>4572</v>
      </c>
      <c r="BA227" s="1" t="s">
        <v>4589</v>
      </c>
      <c r="BB227" s="1">
        <v>2022</v>
      </c>
      <c r="BC227" s="1">
        <v>13</v>
      </c>
      <c r="BD227" s="1" t="s">
        <v>82</v>
      </c>
      <c r="BE227" s="1" t="s">
        <v>82</v>
      </c>
      <c r="BF227" s="1" t="s">
        <v>82</v>
      </c>
      <c r="BG227" s="1" t="s">
        <v>82</v>
      </c>
      <c r="BH227" s="1" t="s">
        <v>82</v>
      </c>
      <c r="BI227" s="1" t="s">
        <v>82</v>
      </c>
      <c r="BJ227" s="1" t="s">
        <v>82</v>
      </c>
      <c r="BK227" s="1">
        <v>1015423</v>
      </c>
      <c r="BL227" s="1" t="s">
        <v>4590</v>
      </c>
      <c r="BM227" s="1" t="str">
        <f>HYPERLINK("http://dx.doi.org/10.3389/fphar.2022.1015423","http://dx.doi.org/10.3389/fphar.2022.1015423")</f>
        <v>http://dx.doi.org/10.3389/fphar.2022.1015423</v>
      </c>
      <c r="BN227" s="1" t="s">
        <v>82</v>
      </c>
      <c r="BO227" s="1" t="s">
        <v>82</v>
      </c>
      <c r="BP227" s="1">
        <v>4</v>
      </c>
      <c r="BQ227" s="1" t="s">
        <v>982</v>
      </c>
      <c r="BR227" s="1" t="s">
        <v>104</v>
      </c>
      <c r="BS227" s="1" t="s">
        <v>982</v>
      </c>
      <c r="BT227" s="1" t="s">
        <v>4591</v>
      </c>
      <c r="BU227" s="1">
        <v>36408268</v>
      </c>
      <c r="BV227" s="1" t="s">
        <v>592</v>
      </c>
      <c r="BW227" s="1" t="s">
        <v>82</v>
      </c>
      <c r="BX227" s="1" t="s">
        <v>82</v>
      </c>
      <c r="BY227" s="1" t="s">
        <v>108</v>
      </c>
      <c r="BZ227" s="1" t="s">
        <v>4592</v>
      </c>
      <c r="CA227" s="1" t="str">
        <f>HYPERLINK("https%3A%2F%2Fwww.webofscience.com%2Fwos%2Fwoscc%2Ffull-record%2FWOS:000886631100001","View Full Record in Web of Science")</f>
        <v>View Full Record in Web of Science</v>
      </c>
    </row>
    <row r="228" s="1" customFormat="1" ht="14.4" spans="1:79">
      <c r="A228">
        <v>227</v>
      </c>
      <c r="B228" s="2" t="s">
        <v>79</v>
      </c>
      <c r="C228" s="1" t="s">
        <v>80</v>
      </c>
      <c r="D228" s="1" t="s">
        <v>4593</v>
      </c>
      <c r="E228" s="1" t="s">
        <v>82</v>
      </c>
      <c r="F228" s="1" t="s">
        <v>82</v>
      </c>
      <c r="G228" s="1" t="s">
        <v>82</v>
      </c>
      <c r="H228" s="1" t="s">
        <v>4594</v>
      </c>
      <c r="I228" s="1" t="s">
        <v>82</v>
      </c>
      <c r="J228" s="1" t="s">
        <v>82</v>
      </c>
      <c r="K228" s="1" t="s">
        <v>4595</v>
      </c>
      <c r="L228" s="1" t="s">
        <v>4558</v>
      </c>
      <c r="M228" s="1">
        <v>5.988</v>
      </c>
      <c r="O228" s="1" t="s">
        <v>82</v>
      </c>
      <c r="P228" s="1" t="s">
        <v>82</v>
      </c>
      <c r="Q228" s="1" t="s">
        <v>87</v>
      </c>
      <c r="R228" s="1" t="s">
        <v>200</v>
      </c>
      <c r="S228" s="1" t="s">
        <v>82</v>
      </c>
      <c r="T228" s="1" t="s">
        <v>82</v>
      </c>
      <c r="U228" s="1" t="s">
        <v>82</v>
      </c>
      <c r="V228" s="1" t="s">
        <v>82</v>
      </c>
      <c r="W228" s="1" t="s">
        <v>82</v>
      </c>
      <c r="X228" s="1" t="s">
        <v>4596</v>
      </c>
      <c r="Y228" s="1" t="s">
        <v>4597</v>
      </c>
      <c r="Z228" s="1" t="s">
        <v>4598</v>
      </c>
      <c r="AA228" s="1">
        <v>1</v>
      </c>
      <c r="AB228" s="1" t="s">
        <v>4582</v>
      </c>
      <c r="AC228" s="1" t="s">
        <v>4599</v>
      </c>
      <c r="AD228" s="1" t="s">
        <v>93</v>
      </c>
      <c r="AE228" s="1" t="s">
        <v>3467</v>
      </c>
      <c r="AF228" s="1" t="s">
        <v>4600</v>
      </c>
      <c r="AG228" s="1" t="s">
        <v>4601</v>
      </c>
      <c r="AH228" s="1" t="s">
        <v>4587</v>
      </c>
      <c r="AI228" s="1" t="s">
        <v>4588</v>
      </c>
      <c r="AJ228" s="1" t="s">
        <v>4602</v>
      </c>
      <c r="AK228" s="1" t="s">
        <v>4603</v>
      </c>
      <c r="AL228" s="1" t="s">
        <v>4604</v>
      </c>
      <c r="AM228" s="1" t="s">
        <v>82</v>
      </c>
      <c r="AN228" s="1">
        <v>188</v>
      </c>
      <c r="AO228" s="1">
        <v>1</v>
      </c>
      <c r="AP228" s="1">
        <v>1</v>
      </c>
      <c r="AQ228" s="1">
        <v>16</v>
      </c>
      <c r="AR228" s="1">
        <v>22</v>
      </c>
      <c r="AS228" s="1" t="s">
        <v>2958</v>
      </c>
      <c r="AT228" s="1" t="s">
        <v>2959</v>
      </c>
      <c r="AU228" s="1" t="s">
        <v>2960</v>
      </c>
      <c r="AV228" s="1" t="s">
        <v>82</v>
      </c>
      <c r="AW228" s="1" t="s">
        <v>4570</v>
      </c>
      <c r="AX228" s="1" t="s">
        <v>82</v>
      </c>
      <c r="AY228" s="1" t="s">
        <v>4571</v>
      </c>
      <c r="AZ228" s="1" t="s">
        <v>4572</v>
      </c>
      <c r="BA228" s="1" t="s">
        <v>2639</v>
      </c>
      <c r="BB228" s="1">
        <v>2022</v>
      </c>
      <c r="BC228" s="1">
        <v>13</v>
      </c>
      <c r="BD228" s="1" t="s">
        <v>82</v>
      </c>
      <c r="BE228" s="1" t="s">
        <v>82</v>
      </c>
      <c r="BF228" s="1" t="s">
        <v>82</v>
      </c>
      <c r="BG228" s="1" t="s">
        <v>82</v>
      </c>
      <c r="BH228" s="1" t="s">
        <v>82</v>
      </c>
      <c r="BI228" s="1" t="s">
        <v>82</v>
      </c>
      <c r="BJ228" s="1" t="s">
        <v>82</v>
      </c>
      <c r="BK228" s="1">
        <v>874474</v>
      </c>
      <c r="BL228" s="1" t="s">
        <v>4605</v>
      </c>
      <c r="BM228" s="1" t="str">
        <f>HYPERLINK("http://dx.doi.org/10.3389/fphar.2022.874474","http://dx.doi.org/10.3389/fphar.2022.874474")</f>
        <v>http://dx.doi.org/10.3389/fphar.2022.874474</v>
      </c>
      <c r="BN228" s="1" t="s">
        <v>82</v>
      </c>
      <c r="BO228" s="1" t="s">
        <v>82</v>
      </c>
      <c r="BP228" s="1">
        <v>23</v>
      </c>
      <c r="BQ228" s="1" t="s">
        <v>982</v>
      </c>
      <c r="BR228" s="1" t="s">
        <v>104</v>
      </c>
      <c r="BS228" s="1" t="s">
        <v>982</v>
      </c>
      <c r="BT228" s="1" t="s">
        <v>4606</v>
      </c>
      <c r="BU228" s="1">
        <v>35600869</v>
      </c>
      <c r="BV228" s="1" t="s">
        <v>635</v>
      </c>
      <c r="BW228" s="1" t="s">
        <v>82</v>
      </c>
      <c r="BX228" s="1" t="s">
        <v>82</v>
      </c>
      <c r="BY228" s="1" t="s">
        <v>108</v>
      </c>
      <c r="BZ228" s="1" t="s">
        <v>4607</v>
      </c>
      <c r="CA228" s="1" t="str">
        <f>HYPERLINK("https%3A%2F%2Fwww.webofscience.com%2Fwos%2Fwoscc%2Ffull-record%2FWOS:000797932500001","View Full Record in Web of Science")</f>
        <v>View Full Record in Web of Science</v>
      </c>
    </row>
    <row r="229" s="1" customFormat="1" ht="14.4" spans="1:79">
      <c r="A229">
        <v>228</v>
      </c>
      <c r="B229" t="s">
        <v>110</v>
      </c>
      <c r="C229" t="s">
        <v>80</v>
      </c>
      <c r="D229" t="s">
        <v>4608</v>
      </c>
      <c r="E229" t="s">
        <v>82</v>
      </c>
      <c r="F229" t="s">
        <v>82</v>
      </c>
      <c r="G229" t="s">
        <v>82</v>
      </c>
      <c r="H229" t="s">
        <v>4609</v>
      </c>
      <c r="I229" t="s">
        <v>82</v>
      </c>
      <c r="J229" t="s">
        <v>82</v>
      </c>
      <c r="K229" t="s">
        <v>4610</v>
      </c>
      <c r="L229" t="s">
        <v>4611</v>
      </c>
      <c r="M229">
        <v>5.895</v>
      </c>
      <c r="N229"/>
      <c r="O229" t="s">
        <v>82</v>
      </c>
      <c r="P229" t="s">
        <v>82</v>
      </c>
      <c r="Q229" t="s">
        <v>87</v>
      </c>
      <c r="R229" t="s">
        <v>115</v>
      </c>
      <c r="S229" t="s">
        <v>82</v>
      </c>
      <c r="T229" t="s">
        <v>82</v>
      </c>
      <c r="U229" t="s">
        <v>82</v>
      </c>
      <c r="V229" t="s">
        <v>82</v>
      </c>
      <c r="W229" t="s">
        <v>82</v>
      </c>
      <c r="X229" t="s">
        <v>4612</v>
      </c>
      <c r="Y229" t="s">
        <v>4613</v>
      </c>
      <c r="Z229" t="s">
        <v>4614</v>
      </c>
      <c r="AA229"/>
      <c r="AB229" t="s">
        <v>4615</v>
      </c>
      <c r="AC229" t="s">
        <v>4616</v>
      </c>
      <c r="AD229" s="1" t="s">
        <v>120</v>
      </c>
      <c r="AE229" t="s">
        <v>4617</v>
      </c>
      <c r="AF229" t="s">
        <v>4618</v>
      </c>
      <c r="AG229" t="s">
        <v>4619</v>
      </c>
      <c r="AH229" t="s">
        <v>4620</v>
      </c>
      <c r="AI229" t="s">
        <v>4621</v>
      </c>
      <c r="AJ229" t="s">
        <v>4622</v>
      </c>
      <c r="AK229" t="s">
        <v>442</v>
      </c>
      <c r="AL229" t="s">
        <v>4623</v>
      </c>
      <c r="AM229" t="s">
        <v>82</v>
      </c>
      <c r="AN229">
        <v>45</v>
      </c>
      <c r="AO229">
        <v>0</v>
      </c>
      <c r="AP229">
        <v>0</v>
      </c>
      <c r="AQ229">
        <v>45</v>
      </c>
      <c r="AR229">
        <v>45</v>
      </c>
      <c r="AS229" t="s">
        <v>862</v>
      </c>
      <c r="AT229" t="s">
        <v>129</v>
      </c>
      <c r="AU229" t="s">
        <v>863</v>
      </c>
      <c r="AV229" t="s">
        <v>4624</v>
      </c>
      <c r="AW229" t="s">
        <v>4625</v>
      </c>
      <c r="AX229" t="s">
        <v>82</v>
      </c>
      <c r="AY229" t="s">
        <v>4626</v>
      </c>
      <c r="AZ229" t="s">
        <v>4627</v>
      </c>
      <c r="BA229" t="s">
        <v>4628</v>
      </c>
      <c r="BB229">
        <v>2022</v>
      </c>
      <c r="BC229">
        <v>70</v>
      </c>
      <c r="BD229">
        <v>51</v>
      </c>
      <c r="BE229" t="s">
        <v>82</v>
      </c>
      <c r="BF229" t="s">
        <v>82</v>
      </c>
      <c r="BG229" t="s">
        <v>82</v>
      </c>
      <c r="BH229" t="s">
        <v>82</v>
      </c>
      <c r="BI229">
        <v>16229</v>
      </c>
      <c r="BJ229">
        <v>16240</v>
      </c>
      <c r="BK229" t="s">
        <v>82</v>
      </c>
      <c r="BL229" t="s">
        <v>4629</v>
      </c>
      <c r="BM229" t="s">
        <v>4630</v>
      </c>
      <c r="BN229" t="s">
        <v>82</v>
      </c>
      <c r="BO229" t="s">
        <v>82</v>
      </c>
      <c r="BP229">
        <v>12</v>
      </c>
      <c r="BQ229" t="s">
        <v>4631</v>
      </c>
      <c r="BR229" t="s">
        <v>104</v>
      </c>
      <c r="BS229" t="s">
        <v>4632</v>
      </c>
      <c r="BT229" t="s">
        <v>4633</v>
      </c>
      <c r="BU229">
        <v>36515163</v>
      </c>
      <c r="BV229" t="s">
        <v>82</v>
      </c>
      <c r="BW229" t="s">
        <v>82</v>
      </c>
      <c r="BX229" t="s">
        <v>82</v>
      </c>
      <c r="BY229" t="s">
        <v>340</v>
      </c>
      <c r="BZ229" t="s">
        <v>4634</v>
      </c>
      <c r="CA229" t="s">
        <v>342</v>
      </c>
    </row>
    <row r="230" s="1" customFormat="1" ht="14.4" spans="1:79">
      <c r="A230">
        <v>229</v>
      </c>
      <c r="B230" s="2" t="s">
        <v>110</v>
      </c>
      <c r="C230" s="1" t="s">
        <v>80</v>
      </c>
      <c r="D230" s="1" t="s">
        <v>4608</v>
      </c>
      <c r="E230" s="1" t="s">
        <v>82</v>
      </c>
      <c r="F230" s="1" t="s">
        <v>82</v>
      </c>
      <c r="G230" s="1" t="s">
        <v>82</v>
      </c>
      <c r="H230" s="1" t="s">
        <v>4609</v>
      </c>
      <c r="I230" s="1" t="s">
        <v>82</v>
      </c>
      <c r="J230" s="1" t="s">
        <v>82</v>
      </c>
      <c r="K230" s="1" t="s">
        <v>4635</v>
      </c>
      <c r="L230" s="1" t="s">
        <v>4611</v>
      </c>
      <c r="M230" s="1">
        <v>5.895</v>
      </c>
      <c r="O230" s="1" t="s">
        <v>82</v>
      </c>
      <c r="P230" s="1" t="s">
        <v>82</v>
      </c>
      <c r="Q230" s="1" t="s">
        <v>87</v>
      </c>
      <c r="R230" s="1" t="s">
        <v>1624</v>
      </c>
      <c r="S230" s="1" t="s">
        <v>82</v>
      </c>
      <c r="T230" s="1" t="s">
        <v>82</v>
      </c>
      <c r="U230" s="1" t="s">
        <v>82</v>
      </c>
      <c r="V230" s="1" t="s">
        <v>82</v>
      </c>
      <c r="W230" s="1" t="s">
        <v>82</v>
      </c>
      <c r="X230" s="1" t="s">
        <v>4612</v>
      </c>
      <c r="Y230" s="1" t="s">
        <v>4613</v>
      </c>
      <c r="Z230" s="1" t="s">
        <v>4636</v>
      </c>
      <c r="AB230" s="1" t="s">
        <v>4637</v>
      </c>
      <c r="AC230" s="1" t="s">
        <v>4638</v>
      </c>
      <c r="AD230" s="1" t="s">
        <v>120</v>
      </c>
      <c r="AE230" s="1" t="s">
        <v>4639</v>
      </c>
      <c r="AF230" s="1" t="s">
        <v>4640</v>
      </c>
      <c r="AG230" s="1" t="s">
        <v>4619</v>
      </c>
      <c r="AH230" s="1" t="s">
        <v>82</v>
      </c>
      <c r="AI230" s="1" t="s">
        <v>4621</v>
      </c>
      <c r="AJ230" s="1" t="s">
        <v>4641</v>
      </c>
      <c r="AK230" s="1" t="s">
        <v>4642</v>
      </c>
      <c r="AL230" s="1" t="s">
        <v>4643</v>
      </c>
      <c r="AM230" s="1" t="s">
        <v>82</v>
      </c>
      <c r="AN230" s="1">
        <v>45</v>
      </c>
      <c r="AO230" s="1">
        <v>0</v>
      </c>
      <c r="AP230" s="1">
        <v>0</v>
      </c>
      <c r="AQ230" s="1">
        <v>37</v>
      </c>
      <c r="AR230" s="1">
        <v>37</v>
      </c>
      <c r="AS230" s="1" t="s">
        <v>862</v>
      </c>
      <c r="AT230" s="1" t="s">
        <v>129</v>
      </c>
      <c r="AU230" s="1" t="s">
        <v>863</v>
      </c>
      <c r="AV230" s="1" t="s">
        <v>4624</v>
      </c>
      <c r="AW230" s="1" t="s">
        <v>4625</v>
      </c>
      <c r="AX230" s="1" t="s">
        <v>82</v>
      </c>
      <c r="AY230" s="1" t="s">
        <v>4626</v>
      </c>
      <c r="AZ230" s="1" t="s">
        <v>4627</v>
      </c>
      <c r="BA230" s="1" t="s">
        <v>82</v>
      </c>
      <c r="BB230" s="1" t="s">
        <v>82</v>
      </c>
      <c r="BC230" s="1" t="s">
        <v>82</v>
      </c>
      <c r="BD230" s="1" t="s">
        <v>82</v>
      </c>
      <c r="BE230" s="1" t="s">
        <v>82</v>
      </c>
      <c r="BF230" s="1" t="s">
        <v>82</v>
      </c>
      <c r="BG230" s="1" t="s">
        <v>82</v>
      </c>
      <c r="BH230" s="1" t="s">
        <v>82</v>
      </c>
      <c r="BI230" s="1" t="s">
        <v>82</v>
      </c>
      <c r="BJ230" s="1" t="s">
        <v>82</v>
      </c>
      <c r="BK230" s="1" t="s">
        <v>82</v>
      </c>
      <c r="BL230" s="1" t="s">
        <v>4629</v>
      </c>
      <c r="BM230" s="1" t="str">
        <f>HYPERLINK("http://dx.doi.org/10.1021/acs.jafc.2c07072","http://dx.doi.org/10.1021/acs.jafc.2c07072")</f>
        <v>http://dx.doi.org/10.1021/acs.jafc.2c07072</v>
      </c>
      <c r="BN230" s="1" t="s">
        <v>82</v>
      </c>
      <c r="BO230" s="1" t="s">
        <v>1618</v>
      </c>
      <c r="BP230" s="1">
        <v>12</v>
      </c>
      <c r="BQ230" s="1" t="s">
        <v>4631</v>
      </c>
      <c r="BR230" s="1" t="s">
        <v>104</v>
      </c>
      <c r="BS230" s="1" t="s">
        <v>4632</v>
      </c>
      <c r="BT230" s="1" t="s">
        <v>4644</v>
      </c>
      <c r="BU230" s="1">
        <v>36515163</v>
      </c>
      <c r="BV230" s="1" t="s">
        <v>82</v>
      </c>
      <c r="BW230" s="1" t="s">
        <v>82</v>
      </c>
      <c r="BX230" s="1" t="s">
        <v>82</v>
      </c>
      <c r="BY230" s="1" t="s">
        <v>108</v>
      </c>
      <c r="BZ230" s="1" t="s">
        <v>4645</v>
      </c>
      <c r="CA230" s="1" t="str">
        <f>HYPERLINK("https%3A%2F%2Fwww.webofscience.com%2Fwos%2Fwoscc%2Ffull-record%2FWOS:000897733600001","View Full Record in Web of Science")</f>
        <v>View Full Record in Web of Science</v>
      </c>
    </row>
    <row r="231" s="1" customFormat="1" ht="14.4" spans="1:79">
      <c r="A231">
        <v>230</v>
      </c>
      <c r="B231" s="2" t="s">
        <v>110</v>
      </c>
      <c r="C231" s="1" t="s">
        <v>80</v>
      </c>
      <c r="D231" s="1" t="s">
        <v>4646</v>
      </c>
      <c r="E231" s="1" t="s">
        <v>82</v>
      </c>
      <c r="F231" s="1" t="s">
        <v>82</v>
      </c>
      <c r="G231" s="1" t="s">
        <v>82</v>
      </c>
      <c r="H231" s="1" t="s">
        <v>4647</v>
      </c>
      <c r="I231" s="1" t="s">
        <v>82</v>
      </c>
      <c r="J231" s="1" t="s">
        <v>82</v>
      </c>
      <c r="K231" s="1" t="s">
        <v>4648</v>
      </c>
      <c r="L231" s="1" t="s">
        <v>4611</v>
      </c>
      <c r="M231" s="1">
        <v>5.895</v>
      </c>
      <c r="O231" s="1" t="s">
        <v>82</v>
      </c>
      <c r="P231" s="1" t="s">
        <v>82</v>
      </c>
      <c r="Q231" s="1" t="s">
        <v>87</v>
      </c>
      <c r="R231" s="1" t="s">
        <v>1624</v>
      </c>
      <c r="S231" s="1" t="s">
        <v>82</v>
      </c>
      <c r="T231" s="1" t="s">
        <v>82</v>
      </c>
      <c r="U231" s="1" t="s">
        <v>82</v>
      </c>
      <c r="V231" s="1" t="s">
        <v>82</v>
      </c>
      <c r="W231" s="1" t="s">
        <v>82</v>
      </c>
      <c r="X231" s="1" t="s">
        <v>4649</v>
      </c>
      <c r="Y231" s="1" t="s">
        <v>4650</v>
      </c>
      <c r="Z231" s="1" t="s">
        <v>4651</v>
      </c>
      <c r="AB231" s="1" t="s">
        <v>4652</v>
      </c>
      <c r="AC231" s="1" t="s">
        <v>4653</v>
      </c>
      <c r="AD231" s="1" t="s">
        <v>206</v>
      </c>
      <c r="AE231" s="1" t="s">
        <v>4654</v>
      </c>
      <c r="AF231" s="1" t="s">
        <v>4655</v>
      </c>
      <c r="AG231" s="1" t="s">
        <v>4656</v>
      </c>
      <c r="AH231" s="1" t="s">
        <v>82</v>
      </c>
      <c r="AI231" s="1" t="s">
        <v>4657</v>
      </c>
      <c r="AJ231" s="1" t="s">
        <v>4658</v>
      </c>
      <c r="AK231" s="1" t="s">
        <v>4659</v>
      </c>
      <c r="AL231" s="1" t="s">
        <v>4660</v>
      </c>
      <c r="AM231" s="1" t="s">
        <v>82</v>
      </c>
      <c r="AN231" s="1">
        <v>31</v>
      </c>
      <c r="AO231" s="1">
        <v>0</v>
      </c>
      <c r="AP231" s="1">
        <v>0</v>
      </c>
      <c r="AQ231" s="1">
        <v>10</v>
      </c>
      <c r="AR231" s="1">
        <v>11</v>
      </c>
      <c r="AS231" s="1" t="s">
        <v>862</v>
      </c>
      <c r="AT231" s="1" t="s">
        <v>129</v>
      </c>
      <c r="AU231" s="1" t="s">
        <v>863</v>
      </c>
      <c r="AV231" s="1" t="s">
        <v>4624</v>
      </c>
      <c r="AW231" s="1" t="s">
        <v>4625</v>
      </c>
      <c r="AX231" s="1" t="s">
        <v>82</v>
      </c>
      <c r="AY231" s="1" t="s">
        <v>4626</v>
      </c>
      <c r="AZ231" s="1" t="s">
        <v>4627</v>
      </c>
      <c r="BA231" s="1" t="s">
        <v>82</v>
      </c>
      <c r="BB231" s="1" t="s">
        <v>82</v>
      </c>
      <c r="BC231" s="1" t="s">
        <v>82</v>
      </c>
      <c r="BD231" s="1" t="s">
        <v>82</v>
      </c>
      <c r="BE231" s="1" t="s">
        <v>82</v>
      </c>
      <c r="BF231" s="1" t="s">
        <v>82</v>
      </c>
      <c r="BG231" s="1" t="s">
        <v>82</v>
      </c>
      <c r="BH231" s="1" t="s">
        <v>82</v>
      </c>
      <c r="BI231" s="1" t="s">
        <v>82</v>
      </c>
      <c r="BJ231" s="1" t="s">
        <v>82</v>
      </c>
      <c r="BK231" s="1" t="s">
        <v>82</v>
      </c>
      <c r="BL231" s="1" t="s">
        <v>4661</v>
      </c>
      <c r="BM231" s="1" t="str">
        <f>HYPERLINK("http://dx.doi.org/10.1021/acs.jafc.2c02546","http://dx.doi.org/10.1021/acs.jafc.2c02546")</f>
        <v>http://dx.doi.org/10.1021/acs.jafc.2c02546</v>
      </c>
      <c r="BN231" s="1" t="s">
        <v>82</v>
      </c>
      <c r="BO231" s="1" t="s">
        <v>1257</v>
      </c>
      <c r="BP231" s="1">
        <v>13</v>
      </c>
      <c r="BQ231" s="1" t="s">
        <v>4631</v>
      </c>
      <c r="BR231" s="1" t="s">
        <v>104</v>
      </c>
      <c r="BS231" s="1" t="s">
        <v>4632</v>
      </c>
      <c r="BT231" s="1" t="s">
        <v>4662</v>
      </c>
      <c r="BU231" s="1">
        <v>35849433</v>
      </c>
      <c r="BV231" s="1" t="s">
        <v>82</v>
      </c>
      <c r="BW231" s="1" t="s">
        <v>82</v>
      </c>
      <c r="BX231" s="1" t="s">
        <v>82</v>
      </c>
      <c r="BY231" s="1" t="s">
        <v>108</v>
      </c>
      <c r="BZ231" s="1" t="s">
        <v>4663</v>
      </c>
      <c r="CA231" s="1" t="str">
        <f>HYPERLINK("https%3A%2F%2Fwww.webofscience.com%2Fwos%2Fwoscc%2Ffull-record%2FWOS:000831082600001","View Full Record in Web of Science")</f>
        <v>View Full Record in Web of Science</v>
      </c>
    </row>
    <row r="232" s="1" customFormat="1" ht="14.4" spans="1:79">
      <c r="A232">
        <v>231</v>
      </c>
      <c r="B232" s="2" t="s">
        <v>110</v>
      </c>
      <c r="C232" s="1" t="s">
        <v>80</v>
      </c>
      <c r="D232" s="1" t="s">
        <v>4664</v>
      </c>
      <c r="E232" s="1" t="s">
        <v>82</v>
      </c>
      <c r="F232" s="1" t="s">
        <v>82</v>
      </c>
      <c r="G232" s="1" t="s">
        <v>82</v>
      </c>
      <c r="H232" s="1" t="s">
        <v>4665</v>
      </c>
      <c r="I232" s="1" t="s">
        <v>82</v>
      </c>
      <c r="J232" s="1" t="s">
        <v>82</v>
      </c>
      <c r="K232" s="1" t="s">
        <v>4666</v>
      </c>
      <c r="L232" s="1" t="s">
        <v>4611</v>
      </c>
      <c r="M232" s="1">
        <v>5.895</v>
      </c>
      <c r="O232" s="1" t="s">
        <v>82</v>
      </c>
      <c r="P232" s="1" t="s">
        <v>82</v>
      </c>
      <c r="Q232" s="1" t="s">
        <v>87</v>
      </c>
      <c r="R232" s="1" t="s">
        <v>115</v>
      </c>
      <c r="S232" s="1" t="s">
        <v>82</v>
      </c>
      <c r="T232" s="1" t="s">
        <v>82</v>
      </c>
      <c r="U232" s="1" t="s">
        <v>82</v>
      </c>
      <c r="V232" s="1" t="s">
        <v>82</v>
      </c>
      <c r="W232" s="1" t="s">
        <v>82</v>
      </c>
      <c r="X232" s="1" t="s">
        <v>4667</v>
      </c>
      <c r="Y232" s="1" t="s">
        <v>4668</v>
      </c>
      <c r="Z232" s="1" t="s">
        <v>4669</v>
      </c>
      <c r="AB232" s="1" t="s">
        <v>4670</v>
      </c>
      <c r="AC232" s="1" t="s">
        <v>4671</v>
      </c>
      <c r="AD232" s="1" t="s">
        <v>206</v>
      </c>
      <c r="AE232" s="1" t="s">
        <v>4672</v>
      </c>
      <c r="AF232" s="1" t="s">
        <v>4673</v>
      </c>
      <c r="AG232" s="1" t="s">
        <v>4674</v>
      </c>
      <c r="AH232" s="1" t="s">
        <v>82</v>
      </c>
      <c r="AI232" s="1" t="s">
        <v>82</v>
      </c>
      <c r="AJ232" s="1" t="s">
        <v>4675</v>
      </c>
      <c r="AK232" s="1" t="s">
        <v>4676</v>
      </c>
      <c r="AL232" s="1" t="s">
        <v>4677</v>
      </c>
      <c r="AM232" s="1" t="s">
        <v>82</v>
      </c>
      <c r="AN232" s="1">
        <v>30</v>
      </c>
      <c r="AO232" s="1">
        <v>1</v>
      </c>
      <c r="AP232" s="1">
        <v>1</v>
      </c>
      <c r="AQ232" s="1">
        <v>4</v>
      </c>
      <c r="AR232" s="1">
        <v>12</v>
      </c>
      <c r="AS232" s="1" t="s">
        <v>862</v>
      </c>
      <c r="AT232" s="1" t="s">
        <v>129</v>
      </c>
      <c r="AU232" s="1" t="s">
        <v>863</v>
      </c>
      <c r="AV232" s="1" t="s">
        <v>4624</v>
      </c>
      <c r="AW232" s="1" t="s">
        <v>4625</v>
      </c>
      <c r="AX232" s="1" t="s">
        <v>82</v>
      </c>
      <c r="AY232" s="1" t="s">
        <v>4626</v>
      </c>
      <c r="AZ232" s="1" t="s">
        <v>4627</v>
      </c>
      <c r="BA232" s="1" t="s">
        <v>4678</v>
      </c>
      <c r="BB232" s="1">
        <v>2022</v>
      </c>
      <c r="BC232" s="1">
        <v>70</v>
      </c>
      <c r="BD232" s="1">
        <v>8</v>
      </c>
      <c r="BE232" s="1" t="s">
        <v>82</v>
      </c>
      <c r="BF232" s="1" t="s">
        <v>82</v>
      </c>
      <c r="BG232" s="1" t="s">
        <v>82</v>
      </c>
      <c r="BH232" s="1" t="s">
        <v>82</v>
      </c>
      <c r="BI232" s="1">
        <v>2589</v>
      </c>
      <c r="BJ232" s="1">
        <v>2599</v>
      </c>
      <c r="BK232" s="1" t="s">
        <v>82</v>
      </c>
      <c r="BL232" s="1" t="s">
        <v>4679</v>
      </c>
      <c r="BM232" s="1" t="str">
        <f>HYPERLINK("http://dx.doi.org/10.1021/acs.jafc.1c06399","http://dx.doi.org/10.1021/acs.jafc.1c06399")</f>
        <v>http://dx.doi.org/10.1021/acs.jafc.1c06399</v>
      </c>
      <c r="BN232" s="1" t="s">
        <v>82</v>
      </c>
      <c r="BO232" s="1" t="s">
        <v>82</v>
      </c>
      <c r="BP232" s="1">
        <v>11</v>
      </c>
      <c r="BQ232" s="1" t="s">
        <v>4631</v>
      </c>
      <c r="BR232" s="1" t="s">
        <v>104</v>
      </c>
      <c r="BS232" s="1" t="s">
        <v>4632</v>
      </c>
      <c r="BT232" s="1" t="s">
        <v>4680</v>
      </c>
      <c r="BU232" s="1">
        <v>35180345</v>
      </c>
      <c r="BV232" s="1" t="s">
        <v>82</v>
      </c>
      <c r="BW232" s="1" t="s">
        <v>82</v>
      </c>
      <c r="BX232" s="1" t="s">
        <v>82</v>
      </c>
      <c r="BY232" s="1" t="s">
        <v>108</v>
      </c>
      <c r="BZ232" s="1" t="s">
        <v>4681</v>
      </c>
      <c r="CA232" s="1" t="str">
        <f>HYPERLINK("https%3A%2F%2Fwww.webofscience.com%2Fwos%2Fwoscc%2Ffull-record%2FWOS:000773642500015","View Full Record in Web of Science")</f>
        <v>View Full Record in Web of Science</v>
      </c>
    </row>
    <row r="233" s="1" customFormat="1" ht="14.4" spans="1:79">
      <c r="A233">
        <v>232</v>
      </c>
      <c r="B233" s="2" t="s">
        <v>110</v>
      </c>
      <c r="C233" s="1" t="s">
        <v>80</v>
      </c>
      <c r="D233" s="1" t="s">
        <v>4682</v>
      </c>
      <c r="E233" s="1" t="s">
        <v>82</v>
      </c>
      <c r="F233" s="1" t="s">
        <v>82</v>
      </c>
      <c r="G233" s="1" t="s">
        <v>82</v>
      </c>
      <c r="H233" s="1" t="s">
        <v>4683</v>
      </c>
      <c r="I233" s="1" t="s">
        <v>82</v>
      </c>
      <c r="J233" s="1" t="s">
        <v>82</v>
      </c>
      <c r="K233" s="1" t="s">
        <v>4684</v>
      </c>
      <c r="L233" s="1" t="s">
        <v>4611</v>
      </c>
      <c r="M233" s="1">
        <v>5.895</v>
      </c>
      <c r="O233" s="1" t="s">
        <v>82</v>
      </c>
      <c r="P233" s="1" t="s">
        <v>82</v>
      </c>
      <c r="Q233" s="1" t="s">
        <v>87</v>
      </c>
      <c r="R233" s="1" t="s">
        <v>115</v>
      </c>
      <c r="S233" s="1" t="s">
        <v>82</v>
      </c>
      <c r="T233" s="1" t="s">
        <v>82</v>
      </c>
      <c r="U233" s="1" t="s">
        <v>82</v>
      </c>
      <c r="V233" s="1" t="s">
        <v>82</v>
      </c>
      <c r="W233" s="1" t="s">
        <v>82</v>
      </c>
      <c r="X233" s="1" t="s">
        <v>4685</v>
      </c>
      <c r="Y233" s="1" t="s">
        <v>4686</v>
      </c>
      <c r="Z233" s="1" t="s">
        <v>4687</v>
      </c>
      <c r="AA233" s="1">
        <v>1</v>
      </c>
      <c r="AB233" s="1" t="s">
        <v>4688</v>
      </c>
      <c r="AC233" s="1" t="s">
        <v>4689</v>
      </c>
      <c r="AD233" s="1" t="s">
        <v>93</v>
      </c>
      <c r="AE233" s="1" t="s">
        <v>1630</v>
      </c>
      <c r="AF233" s="1" t="s">
        <v>4690</v>
      </c>
      <c r="AG233" s="1" t="s">
        <v>898</v>
      </c>
      <c r="AH233" s="1" t="s">
        <v>4691</v>
      </c>
      <c r="AI233" s="1" t="s">
        <v>82</v>
      </c>
      <c r="AJ233" s="1" t="s">
        <v>4692</v>
      </c>
      <c r="AK233" s="1" t="s">
        <v>4693</v>
      </c>
      <c r="AL233" s="1" t="s">
        <v>4694</v>
      </c>
      <c r="AM233" s="1" t="s">
        <v>82</v>
      </c>
      <c r="AN233" s="1">
        <v>26</v>
      </c>
      <c r="AO233" s="1">
        <v>3</v>
      </c>
      <c r="AP233" s="1">
        <v>3</v>
      </c>
      <c r="AQ233" s="1">
        <v>7</v>
      </c>
      <c r="AR233" s="1">
        <v>19</v>
      </c>
      <c r="AS233" s="1" t="s">
        <v>862</v>
      </c>
      <c r="AT233" s="1" t="s">
        <v>129</v>
      </c>
      <c r="AU233" s="1" t="s">
        <v>863</v>
      </c>
      <c r="AV233" s="1" t="s">
        <v>4624</v>
      </c>
      <c r="AW233" s="1" t="s">
        <v>4625</v>
      </c>
      <c r="AX233" s="1" t="s">
        <v>82</v>
      </c>
      <c r="AY233" s="1" t="s">
        <v>4626</v>
      </c>
      <c r="AZ233" s="1" t="s">
        <v>4627</v>
      </c>
      <c r="BA233" s="1" t="s">
        <v>4695</v>
      </c>
      <c r="BB233" s="1">
        <v>2022</v>
      </c>
      <c r="BC233" s="1">
        <v>70</v>
      </c>
      <c r="BD233" s="1">
        <v>2</v>
      </c>
      <c r="BE233" s="1" t="s">
        <v>82</v>
      </c>
      <c r="BF233" s="1" t="s">
        <v>82</v>
      </c>
      <c r="BG233" s="1" t="s">
        <v>82</v>
      </c>
      <c r="BH233" s="1" t="s">
        <v>82</v>
      </c>
      <c r="BI233" s="1">
        <v>615</v>
      </c>
      <c r="BJ233" s="1">
        <v>625</v>
      </c>
      <c r="BK233" s="1" t="s">
        <v>82</v>
      </c>
      <c r="BL233" s="1" t="s">
        <v>4696</v>
      </c>
      <c r="BM233" s="1" t="str">
        <f>HYPERLINK("http://dx.doi.org/10.1021/acs.jafc.1c06524","http://dx.doi.org/10.1021/acs.jafc.1c06524")</f>
        <v>http://dx.doi.org/10.1021/acs.jafc.1c06524</v>
      </c>
      <c r="BN233" s="1" t="s">
        <v>82</v>
      </c>
      <c r="BO233" s="1" t="s">
        <v>315</v>
      </c>
      <c r="BP233" s="1">
        <v>11</v>
      </c>
      <c r="BQ233" s="1" t="s">
        <v>4631</v>
      </c>
      <c r="BR233" s="1" t="s">
        <v>745</v>
      </c>
      <c r="BS233" s="1" t="s">
        <v>4632</v>
      </c>
      <c r="BT233" s="1" t="s">
        <v>4697</v>
      </c>
      <c r="BU233" s="1">
        <v>35005957</v>
      </c>
      <c r="BV233" s="1" t="s">
        <v>82</v>
      </c>
      <c r="BW233" s="1" t="s">
        <v>82</v>
      </c>
      <c r="BX233" s="1" t="s">
        <v>82</v>
      </c>
      <c r="BY233" s="1" t="s">
        <v>108</v>
      </c>
      <c r="BZ233" s="1" t="s">
        <v>4698</v>
      </c>
      <c r="CA233" s="1" t="str">
        <f>HYPERLINK("https%3A%2F%2Fwww.webofscience.com%2Fwos%2Fwoscc%2Ffull-record%2FWOS:000745243900001","View Full Record in Web of Science")</f>
        <v>View Full Record in Web of Science</v>
      </c>
    </row>
    <row r="234" s="1" customFormat="1" ht="14.4" spans="1:79">
      <c r="A234">
        <v>233</v>
      </c>
      <c r="B234" s="2" t="s">
        <v>79</v>
      </c>
      <c r="C234" s="1" t="s">
        <v>80</v>
      </c>
      <c r="D234" s="1" t="s">
        <v>4699</v>
      </c>
      <c r="E234" s="1" t="s">
        <v>82</v>
      </c>
      <c r="F234" s="1" t="s">
        <v>82</v>
      </c>
      <c r="G234" s="1" t="s">
        <v>82</v>
      </c>
      <c r="H234" s="1" t="s">
        <v>4700</v>
      </c>
      <c r="I234" s="1" t="s">
        <v>82</v>
      </c>
      <c r="J234" s="1" t="s">
        <v>82</v>
      </c>
      <c r="K234" s="1" t="s">
        <v>4701</v>
      </c>
      <c r="L234" s="1" t="s">
        <v>4702</v>
      </c>
      <c r="M234" s="1">
        <v>5.827</v>
      </c>
      <c r="O234" s="1" t="s">
        <v>82</v>
      </c>
      <c r="P234" s="1" t="s">
        <v>82</v>
      </c>
      <c r="Q234" s="1" t="s">
        <v>87</v>
      </c>
      <c r="R234" s="1" t="s">
        <v>115</v>
      </c>
      <c r="S234" s="1" t="s">
        <v>82</v>
      </c>
      <c r="T234" s="1" t="s">
        <v>82</v>
      </c>
      <c r="U234" s="1" t="s">
        <v>82</v>
      </c>
      <c r="V234" s="1" t="s">
        <v>82</v>
      </c>
      <c r="W234" s="1" t="s">
        <v>82</v>
      </c>
      <c r="X234" s="1" t="s">
        <v>4703</v>
      </c>
      <c r="Y234" s="1" t="s">
        <v>4704</v>
      </c>
      <c r="Z234" s="1" t="s">
        <v>4705</v>
      </c>
      <c r="AA234" s="1">
        <v>1</v>
      </c>
      <c r="AB234" s="1" t="s">
        <v>4706</v>
      </c>
      <c r="AC234" s="1" t="s">
        <v>4707</v>
      </c>
      <c r="AD234" s="1" t="s">
        <v>93</v>
      </c>
      <c r="AE234" s="1" t="s">
        <v>1673</v>
      </c>
      <c r="AF234" s="1" t="s">
        <v>4708</v>
      </c>
      <c r="AG234" s="1" t="s">
        <v>4709</v>
      </c>
      <c r="AH234" s="1" t="s">
        <v>4710</v>
      </c>
      <c r="AI234" s="1" t="s">
        <v>82</v>
      </c>
      <c r="AJ234" s="1" t="s">
        <v>4711</v>
      </c>
      <c r="AK234" s="1" t="s">
        <v>4712</v>
      </c>
      <c r="AL234" s="1" t="s">
        <v>4713</v>
      </c>
      <c r="AM234" s="1" t="s">
        <v>82</v>
      </c>
      <c r="AN234" s="1">
        <v>20</v>
      </c>
      <c r="AO234" s="1">
        <v>2</v>
      </c>
      <c r="AP234" s="1">
        <v>2</v>
      </c>
      <c r="AQ234" s="1">
        <v>16</v>
      </c>
      <c r="AR234" s="1">
        <v>16</v>
      </c>
      <c r="AS234" s="1" t="s">
        <v>563</v>
      </c>
      <c r="AT234" s="1" t="s">
        <v>371</v>
      </c>
      <c r="AU234" s="1" t="s">
        <v>564</v>
      </c>
      <c r="AV234" s="1" t="s">
        <v>82</v>
      </c>
      <c r="AW234" s="1" t="s">
        <v>4714</v>
      </c>
      <c r="AX234" s="1" t="s">
        <v>82</v>
      </c>
      <c r="AY234" s="1" t="s">
        <v>4702</v>
      </c>
      <c r="AZ234" s="1" t="s">
        <v>4715</v>
      </c>
      <c r="BA234" s="1" t="s">
        <v>4716</v>
      </c>
      <c r="BB234" s="1">
        <v>2022</v>
      </c>
      <c r="BC234" s="1">
        <v>18</v>
      </c>
      <c r="BD234" s="1">
        <v>1</v>
      </c>
      <c r="BE234" s="1" t="s">
        <v>82</v>
      </c>
      <c r="BF234" s="1" t="s">
        <v>82</v>
      </c>
      <c r="BG234" s="1" t="s">
        <v>82</v>
      </c>
      <c r="BH234" s="1" t="s">
        <v>82</v>
      </c>
      <c r="BI234" s="1" t="s">
        <v>82</v>
      </c>
      <c r="BJ234" s="1" t="s">
        <v>82</v>
      </c>
      <c r="BK234" s="1">
        <v>98</v>
      </c>
      <c r="BL234" s="1" t="s">
        <v>4717</v>
      </c>
      <c r="BM234" s="1" t="str">
        <f>HYPERLINK("http://dx.doi.org/10.1186/s13007-022-00931-w","http://dx.doi.org/10.1186/s13007-022-00931-w")</f>
        <v>http://dx.doi.org/10.1186/s13007-022-00931-w</v>
      </c>
      <c r="BN234" s="1" t="s">
        <v>82</v>
      </c>
      <c r="BO234" s="1" t="s">
        <v>82</v>
      </c>
      <c r="BP234" s="1">
        <v>8</v>
      </c>
      <c r="BQ234" s="1" t="s">
        <v>4718</v>
      </c>
      <c r="BR234" s="1" t="s">
        <v>104</v>
      </c>
      <c r="BS234" s="1" t="s">
        <v>425</v>
      </c>
      <c r="BT234" s="1" t="s">
        <v>4719</v>
      </c>
      <c r="BU234" s="1">
        <v>35933391</v>
      </c>
      <c r="BV234" s="1" t="s">
        <v>635</v>
      </c>
      <c r="BW234" s="1" t="s">
        <v>82</v>
      </c>
      <c r="BX234" s="1" t="s">
        <v>82</v>
      </c>
      <c r="BY234" s="1" t="s">
        <v>108</v>
      </c>
      <c r="BZ234" s="1" t="s">
        <v>4720</v>
      </c>
      <c r="CA234" s="1" t="str">
        <f>HYPERLINK("https%3A%2F%2Fwww.webofscience.com%2Fwos%2Fwoscc%2Ffull-record%2FWOS:000836797200001","View Full Record in Web of Science")</f>
        <v>View Full Record in Web of Science</v>
      </c>
    </row>
    <row r="235" s="1" customFormat="1" ht="14.4" spans="1:79">
      <c r="A235">
        <v>234</v>
      </c>
      <c r="B235" s="2" t="s">
        <v>79</v>
      </c>
      <c r="C235" s="1" t="s">
        <v>80</v>
      </c>
      <c r="D235" s="1" t="s">
        <v>4721</v>
      </c>
      <c r="E235" s="1" t="s">
        <v>82</v>
      </c>
      <c r="F235" s="1" t="s">
        <v>82</v>
      </c>
      <c r="G235" s="1" t="s">
        <v>82</v>
      </c>
      <c r="H235" s="1" t="s">
        <v>4722</v>
      </c>
      <c r="I235" s="1" t="s">
        <v>82</v>
      </c>
      <c r="J235" s="1" t="s">
        <v>82</v>
      </c>
      <c r="K235" s="1" t="s">
        <v>4723</v>
      </c>
      <c r="L235" s="1" t="s">
        <v>4724</v>
      </c>
      <c r="M235" s="1">
        <v>5.724</v>
      </c>
      <c r="O235" s="1" t="s">
        <v>82</v>
      </c>
      <c r="P235" s="1" t="s">
        <v>82</v>
      </c>
      <c r="Q235" s="1" t="s">
        <v>87</v>
      </c>
      <c r="R235" s="1" t="s">
        <v>115</v>
      </c>
      <c r="S235" s="1" t="s">
        <v>82</v>
      </c>
      <c r="T235" s="1" t="s">
        <v>82</v>
      </c>
      <c r="U235" s="1" t="s">
        <v>82</v>
      </c>
      <c r="V235" s="1" t="s">
        <v>82</v>
      </c>
      <c r="W235" s="1" t="s">
        <v>82</v>
      </c>
      <c r="X235" s="1" t="s">
        <v>4725</v>
      </c>
      <c r="Y235" s="1" t="s">
        <v>4726</v>
      </c>
      <c r="Z235" s="1" t="s">
        <v>4727</v>
      </c>
      <c r="AB235" s="1" t="s">
        <v>4728</v>
      </c>
      <c r="AC235" s="1" t="s">
        <v>4729</v>
      </c>
      <c r="AD235" s="1" t="s">
        <v>120</v>
      </c>
      <c r="AE235" s="1" t="s">
        <v>4730</v>
      </c>
      <c r="AF235" s="1" t="s">
        <v>4731</v>
      </c>
      <c r="AG235" s="1" t="s">
        <v>4385</v>
      </c>
      <c r="AH235" s="1" t="s">
        <v>4732</v>
      </c>
      <c r="AI235" s="1" t="s">
        <v>4733</v>
      </c>
      <c r="AJ235" s="1" t="s">
        <v>4734</v>
      </c>
      <c r="AK235" s="1" t="s">
        <v>4735</v>
      </c>
      <c r="AL235" s="1" t="s">
        <v>4736</v>
      </c>
      <c r="AM235" s="1" t="s">
        <v>82</v>
      </c>
      <c r="AN235" s="1">
        <v>75</v>
      </c>
      <c r="AO235" s="1">
        <v>0</v>
      </c>
      <c r="AP235" s="1">
        <v>0</v>
      </c>
      <c r="AQ235" s="1">
        <v>0</v>
      </c>
      <c r="AR235" s="1">
        <v>0</v>
      </c>
      <c r="AS235" s="1" t="s">
        <v>2117</v>
      </c>
      <c r="AT235" s="1" t="s">
        <v>2118</v>
      </c>
      <c r="AU235" s="1" t="s">
        <v>2119</v>
      </c>
      <c r="AV235" s="1" t="s">
        <v>82</v>
      </c>
      <c r="AW235" s="1" t="s">
        <v>4737</v>
      </c>
      <c r="AX235" s="1" t="s">
        <v>82</v>
      </c>
      <c r="AY235" s="1" t="s">
        <v>4738</v>
      </c>
      <c r="AZ235" s="1" t="s">
        <v>4739</v>
      </c>
      <c r="BA235" s="1" t="s">
        <v>486</v>
      </c>
      <c r="BB235" s="1">
        <v>2022</v>
      </c>
      <c r="BC235" s="1">
        <v>8</v>
      </c>
      <c r="BD235" s="1">
        <v>11</v>
      </c>
      <c r="BE235" s="1" t="s">
        <v>82</v>
      </c>
      <c r="BF235" s="1" t="s">
        <v>82</v>
      </c>
      <c r="BG235" s="1" t="s">
        <v>82</v>
      </c>
      <c r="BH235" s="1" t="s">
        <v>82</v>
      </c>
      <c r="BI235" s="1" t="s">
        <v>82</v>
      </c>
      <c r="BJ235" s="1" t="s">
        <v>82</v>
      </c>
      <c r="BK235" s="1">
        <v>1200</v>
      </c>
      <c r="BL235" s="1" t="s">
        <v>4740</v>
      </c>
      <c r="BM235" s="1" t="str">
        <f>HYPERLINK("http://dx.doi.org/10.3390/jof8111200","http://dx.doi.org/10.3390/jof8111200")</f>
        <v>http://dx.doi.org/10.3390/jof8111200</v>
      </c>
      <c r="BN235" s="1" t="s">
        <v>82</v>
      </c>
      <c r="BO235" s="1" t="s">
        <v>82</v>
      </c>
      <c r="BP235" s="1">
        <v>27</v>
      </c>
      <c r="BQ235" s="1" t="s">
        <v>4741</v>
      </c>
      <c r="BR235" s="1" t="s">
        <v>104</v>
      </c>
      <c r="BS235" s="1" t="s">
        <v>4741</v>
      </c>
      <c r="BT235" s="1" t="s">
        <v>4742</v>
      </c>
      <c r="BU235" s="1">
        <v>36422021</v>
      </c>
      <c r="BV235" s="1" t="s">
        <v>592</v>
      </c>
      <c r="BW235" s="1" t="s">
        <v>82</v>
      </c>
      <c r="BX235" s="1" t="s">
        <v>82</v>
      </c>
      <c r="BY235" s="1" t="s">
        <v>108</v>
      </c>
      <c r="BZ235" s="1" t="s">
        <v>4743</v>
      </c>
      <c r="CA235" s="1" t="str">
        <f>HYPERLINK("https%3A%2F%2Fwww.webofscience.com%2Fwos%2Fwoscc%2Ffull-record%2FWOS:000912349100001","View Full Record in Web of Science")</f>
        <v>View Full Record in Web of Science</v>
      </c>
    </row>
    <row r="236" s="1" customFormat="1" ht="14.4" spans="1:79">
      <c r="A236">
        <v>235</v>
      </c>
      <c r="B236" s="2" t="s">
        <v>79</v>
      </c>
      <c r="C236" s="1" t="s">
        <v>80</v>
      </c>
      <c r="D236" s="1" t="s">
        <v>4744</v>
      </c>
      <c r="E236" s="1" t="s">
        <v>82</v>
      </c>
      <c r="F236" s="1" t="s">
        <v>82</v>
      </c>
      <c r="G236" s="1" t="s">
        <v>82</v>
      </c>
      <c r="H236" s="1" t="s">
        <v>4745</v>
      </c>
      <c r="I236" s="1" t="s">
        <v>82</v>
      </c>
      <c r="J236" s="1" t="s">
        <v>82</v>
      </c>
      <c r="K236" s="1" t="s">
        <v>4746</v>
      </c>
      <c r="L236" s="1" t="s">
        <v>4724</v>
      </c>
      <c r="M236" s="1">
        <v>5.724</v>
      </c>
      <c r="O236" s="1" t="s">
        <v>82</v>
      </c>
      <c r="P236" s="1" t="s">
        <v>82</v>
      </c>
      <c r="Q236" s="1" t="s">
        <v>87</v>
      </c>
      <c r="R236" s="1" t="s">
        <v>115</v>
      </c>
      <c r="S236" s="1" t="s">
        <v>82</v>
      </c>
      <c r="T236" s="1" t="s">
        <v>82</v>
      </c>
      <c r="U236" s="1" t="s">
        <v>82</v>
      </c>
      <c r="V236" s="1" t="s">
        <v>82</v>
      </c>
      <c r="W236" s="1" t="s">
        <v>82</v>
      </c>
      <c r="X236" s="1" t="s">
        <v>4747</v>
      </c>
      <c r="Y236" s="1" t="s">
        <v>4748</v>
      </c>
      <c r="Z236" s="1" t="s">
        <v>4749</v>
      </c>
      <c r="AB236" s="1" t="s">
        <v>4750</v>
      </c>
      <c r="AC236" s="1" t="s">
        <v>4751</v>
      </c>
      <c r="AD236" s="1" t="s">
        <v>206</v>
      </c>
      <c r="AE236" s="1" t="s">
        <v>4752</v>
      </c>
      <c r="AF236" s="1" t="s">
        <v>4753</v>
      </c>
      <c r="AG236" s="1" t="s">
        <v>4754</v>
      </c>
      <c r="AH236" s="1" t="s">
        <v>82</v>
      </c>
      <c r="AI236" s="1" t="s">
        <v>4755</v>
      </c>
      <c r="AJ236" s="1" t="s">
        <v>4756</v>
      </c>
      <c r="AK236" s="1" t="s">
        <v>4757</v>
      </c>
      <c r="AL236" s="1" t="s">
        <v>4758</v>
      </c>
      <c r="AM236" s="1" t="s">
        <v>82</v>
      </c>
      <c r="AN236" s="1">
        <v>65</v>
      </c>
      <c r="AO236" s="1">
        <v>0</v>
      </c>
      <c r="AP236" s="1">
        <v>0</v>
      </c>
      <c r="AQ236" s="1">
        <v>0</v>
      </c>
      <c r="AR236" s="1">
        <v>0</v>
      </c>
      <c r="AS236" s="1" t="s">
        <v>2117</v>
      </c>
      <c r="AT236" s="1" t="s">
        <v>2118</v>
      </c>
      <c r="AU236" s="1" t="s">
        <v>2119</v>
      </c>
      <c r="AV236" s="1" t="s">
        <v>82</v>
      </c>
      <c r="AW236" s="1" t="s">
        <v>4737</v>
      </c>
      <c r="AX236" s="1" t="s">
        <v>82</v>
      </c>
      <c r="AY236" s="1" t="s">
        <v>4738</v>
      </c>
      <c r="AZ236" s="1" t="s">
        <v>4739</v>
      </c>
      <c r="BA236" s="1" t="s">
        <v>2123</v>
      </c>
      <c r="BB236" s="1">
        <v>2022</v>
      </c>
      <c r="BC236" s="1">
        <v>8</v>
      </c>
      <c r="BD236" s="1">
        <v>12</v>
      </c>
      <c r="BE236" s="1" t="s">
        <v>82</v>
      </c>
      <c r="BF236" s="1" t="s">
        <v>82</v>
      </c>
      <c r="BG236" s="1" t="s">
        <v>82</v>
      </c>
      <c r="BH236" s="1" t="s">
        <v>82</v>
      </c>
      <c r="BI236" s="1" t="s">
        <v>82</v>
      </c>
      <c r="BJ236" s="1" t="s">
        <v>82</v>
      </c>
      <c r="BK236" s="1">
        <v>1302</v>
      </c>
      <c r="BL236" s="1" t="s">
        <v>4759</v>
      </c>
      <c r="BM236" s="1" t="str">
        <f>HYPERLINK("http://dx.doi.org/10.3390/jof8121302","http://dx.doi.org/10.3390/jof8121302")</f>
        <v>http://dx.doi.org/10.3390/jof8121302</v>
      </c>
      <c r="BN236" s="1" t="s">
        <v>82</v>
      </c>
      <c r="BO236" s="1" t="s">
        <v>82</v>
      </c>
      <c r="BP236" s="1">
        <v>20</v>
      </c>
      <c r="BQ236" s="1" t="s">
        <v>4741</v>
      </c>
      <c r="BR236" s="1" t="s">
        <v>104</v>
      </c>
      <c r="BS236" s="1" t="s">
        <v>4741</v>
      </c>
      <c r="BT236" s="1" t="s">
        <v>4760</v>
      </c>
      <c r="BU236" s="1">
        <v>36547635</v>
      </c>
      <c r="BV236" s="1" t="s">
        <v>635</v>
      </c>
      <c r="BW236" s="1" t="s">
        <v>82</v>
      </c>
      <c r="BX236" s="1" t="s">
        <v>82</v>
      </c>
      <c r="BY236" s="1" t="s">
        <v>108</v>
      </c>
      <c r="BZ236" s="1" t="s">
        <v>4761</v>
      </c>
      <c r="CA236" s="1" t="str">
        <f>HYPERLINK("https%3A%2F%2Fwww.webofscience.com%2Fwos%2Fwoscc%2Ffull-record%2FWOS:000902694900001","View Full Record in Web of Science")</f>
        <v>View Full Record in Web of Science</v>
      </c>
    </row>
    <row r="237" s="1" customFormat="1" ht="14.4" spans="1:79">
      <c r="A237">
        <v>236</v>
      </c>
      <c r="B237" s="2" t="s">
        <v>79</v>
      </c>
      <c r="C237" s="1" t="s">
        <v>80</v>
      </c>
      <c r="D237" s="1" t="s">
        <v>4762</v>
      </c>
      <c r="E237" s="1" t="s">
        <v>82</v>
      </c>
      <c r="F237" s="1" t="s">
        <v>82</v>
      </c>
      <c r="G237" s="1" t="s">
        <v>82</v>
      </c>
      <c r="H237" s="1" t="s">
        <v>4763</v>
      </c>
      <c r="I237" s="1" t="s">
        <v>82</v>
      </c>
      <c r="J237" s="1" t="s">
        <v>82</v>
      </c>
      <c r="K237" s="1" t="s">
        <v>4764</v>
      </c>
      <c r="L237" s="1" t="s">
        <v>4724</v>
      </c>
      <c r="M237" s="1">
        <v>5.724</v>
      </c>
      <c r="O237" s="1" t="s">
        <v>82</v>
      </c>
      <c r="P237" s="1" t="s">
        <v>82</v>
      </c>
      <c r="Q237" s="1" t="s">
        <v>87</v>
      </c>
      <c r="R237" s="1" t="s">
        <v>115</v>
      </c>
      <c r="S237" s="1" t="s">
        <v>82</v>
      </c>
      <c r="T237" s="1" t="s">
        <v>82</v>
      </c>
      <c r="U237" s="1" t="s">
        <v>82</v>
      </c>
      <c r="V237" s="1" t="s">
        <v>82</v>
      </c>
      <c r="W237" s="1" t="s">
        <v>82</v>
      </c>
      <c r="X237" s="1" t="s">
        <v>4765</v>
      </c>
      <c r="Y237" s="1" t="s">
        <v>4766</v>
      </c>
      <c r="Z237" s="1" t="s">
        <v>4767</v>
      </c>
      <c r="AB237" s="1" t="s">
        <v>4768</v>
      </c>
      <c r="AC237" s="1" t="s">
        <v>4769</v>
      </c>
      <c r="AD237" s="1" t="s">
        <v>206</v>
      </c>
      <c r="AE237" s="1" t="s">
        <v>4770</v>
      </c>
      <c r="AF237" s="1" t="s">
        <v>4771</v>
      </c>
      <c r="AG237" s="1" t="s">
        <v>4772</v>
      </c>
      <c r="AH237" s="1" t="s">
        <v>801</v>
      </c>
      <c r="AI237" s="1" t="s">
        <v>802</v>
      </c>
      <c r="AJ237" s="1" t="s">
        <v>4773</v>
      </c>
      <c r="AK237" s="1" t="s">
        <v>4774</v>
      </c>
      <c r="AL237" s="1" t="s">
        <v>4775</v>
      </c>
      <c r="AM237" s="1" t="s">
        <v>82</v>
      </c>
      <c r="AN237" s="1">
        <v>65</v>
      </c>
      <c r="AO237" s="1">
        <v>0</v>
      </c>
      <c r="AP237" s="1">
        <v>0</v>
      </c>
      <c r="AQ237" s="1">
        <v>2</v>
      </c>
      <c r="AR237" s="1">
        <v>2</v>
      </c>
      <c r="AS237" s="1" t="s">
        <v>2117</v>
      </c>
      <c r="AT237" s="1" t="s">
        <v>2118</v>
      </c>
      <c r="AU237" s="1" t="s">
        <v>2119</v>
      </c>
      <c r="AV237" s="1" t="s">
        <v>82</v>
      </c>
      <c r="AW237" s="1" t="s">
        <v>4737</v>
      </c>
      <c r="AX237" s="1" t="s">
        <v>82</v>
      </c>
      <c r="AY237" s="1" t="s">
        <v>4738</v>
      </c>
      <c r="AZ237" s="1" t="s">
        <v>4739</v>
      </c>
      <c r="BA237" s="1" t="s">
        <v>2123</v>
      </c>
      <c r="BB237" s="1">
        <v>2022</v>
      </c>
      <c r="BC237" s="1">
        <v>8</v>
      </c>
      <c r="BD237" s="1">
        <v>12</v>
      </c>
      <c r="BE237" s="1" t="s">
        <v>82</v>
      </c>
      <c r="BF237" s="1" t="s">
        <v>82</v>
      </c>
      <c r="BG237" s="1" t="s">
        <v>82</v>
      </c>
      <c r="BH237" s="1" t="s">
        <v>82</v>
      </c>
      <c r="BI237" s="1" t="s">
        <v>82</v>
      </c>
      <c r="BJ237" s="1" t="s">
        <v>82</v>
      </c>
      <c r="BK237" s="1">
        <v>1297</v>
      </c>
      <c r="BL237" s="1" t="s">
        <v>4776</v>
      </c>
      <c r="BM237" s="1" t="str">
        <f>HYPERLINK("http://dx.doi.org/10.3390/jof8121297","http://dx.doi.org/10.3390/jof8121297")</f>
        <v>http://dx.doi.org/10.3390/jof8121297</v>
      </c>
      <c r="BN237" s="1" t="s">
        <v>82</v>
      </c>
      <c r="BO237" s="1" t="s">
        <v>82</v>
      </c>
      <c r="BP237" s="1">
        <v>15</v>
      </c>
      <c r="BQ237" s="1" t="s">
        <v>4741</v>
      </c>
      <c r="BR237" s="1" t="s">
        <v>104</v>
      </c>
      <c r="BS237" s="1" t="s">
        <v>4741</v>
      </c>
      <c r="BT237" s="1" t="s">
        <v>4777</v>
      </c>
      <c r="BU237" s="1">
        <v>36547630</v>
      </c>
      <c r="BV237" s="1" t="s">
        <v>635</v>
      </c>
      <c r="BW237" s="1" t="s">
        <v>82</v>
      </c>
      <c r="BX237" s="1" t="s">
        <v>82</v>
      </c>
      <c r="BY237" s="1" t="s">
        <v>108</v>
      </c>
      <c r="BZ237" s="1" t="s">
        <v>4778</v>
      </c>
      <c r="CA237" s="1" t="str">
        <f>HYPERLINK("https%3A%2F%2Fwww.webofscience.com%2Fwos%2Fwoscc%2Ffull-record%2FWOS:000902432900001","View Full Record in Web of Science")</f>
        <v>View Full Record in Web of Science</v>
      </c>
    </row>
    <row r="238" s="1" customFormat="1" ht="14.4" spans="1:79">
      <c r="A238">
        <v>237</v>
      </c>
      <c r="B238" s="2" t="s">
        <v>79</v>
      </c>
      <c r="C238" s="1" t="s">
        <v>80</v>
      </c>
      <c r="D238" s="1" t="s">
        <v>4779</v>
      </c>
      <c r="E238" s="1" t="s">
        <v>82</v>
      </c>
      <c r="F238" s="1" t="s">
        <v>82</v>
      </c>
      <c r="G238" s="1" t="s">
        <v>82</v>
      </c>
      <c r="H238" s="1" t="s">
        <v>4780</v>
      </c>
      <c r="I238" s="1" t="s">
        <v>82</v>
      </c>
      <c r="J238" s="1" t="s">
        <v>82</v>
      </c>
      <c r="K238" s="1" t="s">
        <v>4781</v>
      </c>
      <c r="L238" s="1" t="s">
        <v>4724</v>
      </c>
      <c r="M238" s="1">
        <v>5.724</v>
      </c>
      <c r="O238" s="1" t="s">
        <v>82</v>
      </c>
      <c r="P238" s="1" t="s">
        <v>82</v>
      </c>
      <c r="Q238" s="1" t="s">
        <v>87</v>
      </c>
      <c r="R238" s="1" t="s">
        <v>115</v>
      </c>
      <c r="S238" s="1" t="s">
        <v>82</v>
      </c>
      <c r="T238" s="1" t="s">
        <v>82</v>
      </c>
      <c r="U238" s="1" t="s">
        <v>82</v>
      </c>
      <c r="V238" s="1" t="s">
        <v>82</v>
      </c>
      <c r="W238" s="1" t="s">
        <v>82</v>
      </c>
      <c r="X238" s="1" t="s">
        <v>4782</v>
      </c>
      <c r="Y238" s="1" t="s">
        <v>4783</v>
      </c>
      <c r="Z238" s="1" t="s">
        <v>4784</v>
      </c>
      <c r="AB238" s="1" t="s">
        <v>4785</v>
      </c>
      <c r="AC238" s="1" t="s">
        <v>4786</v>
      </c>
      <c r="AD238" s="1" t="s">
        <v>206</v>
      </c>
      <c r="AE238" s="1" t="s">
        <v>4787</v>
      </c>
      <c r="AF238" s="1" t="s">
        <v>4788</v>
      </c>
      <c r="AG238" s="1" t="s">
        <v>4438</v>
      </c>
      <c r="AH238" s="1" t="s">
        <v>82</v>
      </c>
      <c r="AI238" s="1" t="s">
        <v>4789</v>
      </c>
      <c r="AJ238" s="1" t="s">
        <v>4790</v>
      </c>
      <c r="AK238" s="1" t="s">
        <v>4791</v>
      </c>
      <c r="AL238" s="1" t="s">
        <v>4792</v>
      </c>
      <c r="AM238" s="1" t="s">
        <v>82</v>
      </c>
      <c r="AN238" s="1">
        <v>75</v>
      </c>
      <c r="AO238" s="1">
        <v>0</v>
      </c>
      <c r="AP238" s="1">
        <v>0</v>
      </c>
      <c r="AQ238" s="1">
        <v>0</v>
      </c>
      <c r="AR238" s="1">
        <v>0</v>
      </c>
      <c r="AS238" s="1" t="s">
        <v>2117</v>
      </c>
      <c r="AT238" s="1" t="s">
        <v>2118</v>
      </c>
      <c r="AU238" s="1" t="s">
        <v>2119</v>
      </c>
      <c r="AV238" s="1" t="s">
        <v>82</v>
      </c>
      <c r="AW238" s="1" t="s">
        <v>4737</v>
      </c>
      <c r="AX238" s="1" t="s">
        <v>82</v>
      </c>
      <c r="AY238" s="1" t="s">
        <v>4738</v>
      </c>
      <c r="AZ238" s="1" t="s">
        <v>4739</v>
      </c>
      <c r="BA238" s="1" t="s">
        <v>486</v>
      </c>
      <c r="BB238" s="1">
        <v>2022</v>
      </c>
      <c r="BC238" s="1">
        <v>8</v>
      </c>
      <c r="BD238" s="1">
        <v>11</v>
      </c>
      <c r="BE238" s="1" t="s">
        <v>82</v>
      </c>
      <c r="BF238" s="1" t="s">
        <v>82</v>
      </c>
      <c r="BG238" s="1" t="s">
        <v>82</v>
      </c>
      <c r="BH238" s="1" t="s">
        <v>82</v>
      </c>
      <c r="BI238" s="1" t="s">
        <v>82</v>
      </c>
      <c r="BJ238" s="1" t="s">
        <v>82</v>
      </c>
      <c r="BK238" s="1">
        <v>1227</v>
      </c>
      <c r="BL238" s="1" t="s">
        <v>4793</v>
      </c>
      <c r="BM238" s="1" t="str">
        <f>HYPERLINK("http://dx.doi.org/10.3390/jof8111227","http://dx.doi.org/10.3390/jof8111227")</f>
        <v>http://dx.doi.org/10.3390/jof8111227</v>
      </c>
      <c r="BN238" s="1" t="s">
        <v>82</v>
      </c>
      <c r="BO238" s="1" t="s">
        <v>82</v>
      </c>
      <c r="BP238" s="1">
        <v>23</v>
      </c>
      <c r="BQ238" s="1" t="s">
        <v>4741</v>
      </c>
      <c r="BR238" s="1" t="s">
        <v>104</v>
      </c>
      <c r="BS238" s="1" t="s">
        <v>4741</v>
      </c>
      <c r="BT238" s="1" t="s">
        <v>4794</v>
      </c>
      <c r="BU238" s="1">
        <v>36422048</v>
      </c>
      <c r="BV238" s="1" t="s">
        <v>635</v>
      </c>
      <c r="BW238" s="1" t="s">
        <v>82</v>
      </c>
      <c r="BX238" s="1" t="s">
        <v>82</v>
      </c>
      <c r="BY238" s="1" t="s">
        <v>108</v>
      </c>
      <c r="BZ238" s="1" t="s">
        <v>4795</v>
      </c>
      <c r="CA238" s="1" t="str">
        <f>HYPERLINK("https%3A%2F%2Fwww.webofscience.com%2Fwos%2Fwoscc%2Ffull-record%2FWOS:000895511300001","View Full Record in Web of Science")</f>
        <v>View Full Record in Web of Science</v>
      </c>
    </row>
    <row r="239" s="1" customFormat="1" ht="14.4" spans="1:79">
      <c r="A239">
        <v>238</v>
      </c>
      <c r="B239" s="2" t="s">
        <v>79</v>
      </c>
      <c r="C239" s="1" t="s">
        <v>80</v>
      </c>
      <c r="D239" s="1" t="s">
        <v>4796</v>
      </c>
      <c r="E239" s="1" t="s">
        <v>82</v>
      </c>
      <c r="F239" s="1" t="s">
        <v>82</v>
      </c>
      <c r="G239" s="1" t="s">
        <v>82</v>
      </c>
      <c r="H239" s="1" t="s">
        <v>4797</v>
      </c>
      <c r="I239" s="1" t="s">
        <v>82</v>
      </c>
      <c r="J239" s="1" t="s">
        <v>82</v>
      </c>
      <c r="K239" s="1" t="s">
        <v>4798</v>
      </c>
      <c r="L239" s="1" t="s">
        <v>4724</v>
      </c>
      <c r="M239" s="1">
        <v>5.724</v>
      </c>
      <c r="O239" s="1" t="s">
        <v>82</v>
      </c>
      <c r="P239" s="1" t="s">
        <v>82</v>
      </c>
      <c r="Q239" s="1" t="s">
        <v>87</v>
      </c>
      <c r="R239" s="1" t="s">
        <v>115</v>
      </c>
      <c r="S239" s="1" t="s">
        <v>82</v>
      </c>
      <c r="T239" s="1" t="s">
        <v>82</v>
      </c>
      <c r="U239" s="1" t="s">
        <v>82</v>
      </c>
      <c r="V239" s="1" t="s">
        <v>82</v>
      </c>
      <c r="W239" s="1" t="s">
        <v>82</v>
      </c>
      <c r="X239" s="1" t="s">
        <v>4799</v>
      </c>
      <c r="Y239" s="1" t="s">
        <v>4800</v>
      </c>
      <c r="Z239" s="1" t="s">
        <v>4801</v>
      </c>
      <c r="AB239" s="1" t="s">
        <v>4802</v>
      </c>
      <c r="AC239" s="1" t="s">
        <v>4803</v>
      </c>
      <c r="AD239" s="1" t="s">
        <v>206</v>
      </c>
      <c r="AE239" s="1" t="s">
        <v>4804</v>
      </c>
      <c r="AF239" s="1" t="s">
        <v>4805</v>
      </c>
      <c r="AG239" s="1" t="s">
        <v>4806</v>
      </c>
      <c r="AH239" s="1" t="s">
        <v>4807</v>
      </c>
      <c r="AI239" s="1" t="s">
        <v>4808</v>
      </c>
      <c r="AJ239" s="1" t="s">
        <v>4809</v>
      </c>
      <c r="AK239" s="1" t="s">
        <v>4810</v>
      </c>
      <c r="AL239" s="1" t="s">
        <v>4811</v>
      </c>
      <c r="AM239" s="1" t="s">
        <v>82</v>
      </c>
      <c r="AN239" s="1">
        <v>63</v>
      </c>
      <c r="AO239" s="1">
        <v>0</v>
      </c>
      <c r="AP239" s="1">
        <v>0</v>
      </c>
      <c r="AQ239" s="1">
        <v>4</v>
      </c>
      <c r="AR239" s="1">
        <v>4</v>
      </c>
      <c r="AS239" s="1" t="s">
        <v>2117</v>
      </c>
      <c r="AT239" s="1" t="s">
        <v>2118</v>
      </c>
      <c r="AU239" s="1" t="s">
        <v>2119</v>
      </c>
      <c r="AV239" s="1" t="s">
        <v>82</v>
      </c>
      <c r="AW239" s="1" t="s">
        <v>4737</v>
      </c>
      <c r="AX239" s="1" t="s">
        <v>82</v>
      </c>
      <c r="AY239" s="1" t="s">
        <v>4738</v>
      </c>
      <c r="AZ239" s="1" t="s">
        <v>4739</v>
      </c>
      <c r="BA239" s="1" t="s">
        <v>486</v>
      </c>
      <c r="BB239" s="1">
        <v>2022</v>
      </c>
      <c r="BC239" s="1">
        <v>8</v>
      </c>
      <c r="BD239" s="1">
        <v>11</v>
      </c>
      <c r="BE239" s="1" t="s">
        <v>82</v>
      </c>
      <c r="BF239" s="1" t="s">
        <v>82</v>
      </c>
      <c r="BG239" s="1" t="s">
        <v>82</v>
      </c>
      <c r="BH239" s="1" t="s">
        <v>82</v>
      </c>
      <c r="BI239" s="1" t="s">
        <v>82</v>
      </c>
      <c r="BJ239" s="1" t="s">
        <v>82</v>
      </c>
      <c r="BK239" s="1">
        <v>1197</v>
      </c>
      <c r="BL239" s="1" t="s">
        <v>4812</v>
      </c>
      <c r="BM239" s="1" t="str">
        <f>HYPERLINK("http://dx.doi.org/10.3390/jof8111197","http://dx.doi.org/10.3390/jof8111197")</f>
        <v>http://dx.doi.org/10.3390/jof8111197</v>
      </c>
      <c r="BN239" s="1" t="s">
        <v>82</v>
      </c>
      <c r="BO239" s="1" t="s">
        <v>82</v>
      </c>
      <c r="BP239" s="1">
        <v>16</v>
      </c>
      <c r="BQ239" s="1" t="s">
        <v>4741</v>
      </c>
      <c r="BR239" s="1" t="s">
        <v>104</v>
      </c>
      <c r="BS239" s="1" t="s">
        <v>4741</v>
      </c>
      <c r="BT239" s="1" t="s">
        <v>4813</v>
      </c>
      <c r="BU239" s="1">
        <v>36422018</v>
      </c>
      <c r="BV239" s="1" t="s">
        <v>635</v>
      </c>
      <c r="BW239" s="1" t="s">
        <v>82</v>
      </c>
      <c r="BX239" s="1" t="s">
        <v>82</v>
      </c>
      <c r="BY239" s="1" t="s">
        <v>108</v>
      </c>
      <c r="BZ239" s="1" t="s">
        <v>4814</v>
      </c>
      <c r="CA239" s="1" t="str">
        <f>HYPERLINK("https%3A%2F%2Fwww.webofscience.com%2Fwos%2Fwoscc%2Ffull-record%2FWOS:000895596600001","View Full Record in Web of Science")</f>
        <v>View Full Record in Web of Science</v>
      </c>
    </row>
    <row r="240" s="1" customFormat="1" ht="14.4" spans="1:79">
      <c r="A240">
        <v>239</v>
      </c>
      <c r="B240" s="2" t="s">
        <v>79</v>
      </c>
      <c r="C240" s="1" t="s">
        <v>80</v>
      </c>
      <c r="D240" s="1" t="s">
        <v>4428</v>
      </c>
      <c r="E240" s="1" t="s">
        <v>82</v>
      </c>
      <c r="F240" s="1" t="s">
        <v>82</v>
      </c>
      <c r="G240" s="1" t="s">
        <v>82</v>
      </c>
      <c r="H240" s="1" t="s">
        <v>4815</v>
      </c>
      <c r="I240" s="1" t="s">
        <v>82</v>
      </c>
      <c r="J240" s="1" t="s">
        <v>82</v>
      </c>
      <c r="K240" s="1" t="s">
        <v>4816</v>
      </c>
      <c r="L240" s="1" t="s">
        <v>4724</v>
      </c>
      <c r="M240" s="1">
        <v>5.724</v>
      </c>
      <c r="O240" s="1" t="s">
        <v>82</v>
      </c>
      <c r="P240" s="1" t="s">
        <v>82</v>
      </c>
      <c r="Q240" s="1" t="s">
        <v>87</v>
      </c>
      <c r="R240" s="1" t="s">
        <v>115</v>
      </c>
      <c r="S240" s="1" t="s">
        <v>82</v>
      </c>
      <c r="T240" s="1" t="s">
        <v>82</v>
      </c>
      <c r="U240" s="1" t="s">
        <v>82</v>
      </c>
      <c r="V240" s="1" t="s">
        <v>82</v>
      </c>
      <c r="W240" s="1" t="s">
        <v>82</v>
      </c>
      <c r="X240" s="1" t="s">
        <v>4817</v>
      </c>
      <c r="Y240" s="1" t="s">
        <v>4818</v>
      </c>
      <c r="Z240" s="1" t="s">
        <v>4819</v>
      </c>
      <c r="AB240" s="1" t="s">
        <v>4820</v>
      </c>
      <c r="AC240" s="1" t="s">
        <v>4821</v>
      </c>
      <c r="AD240" s="1" t="s">
        <v>206</v>
      </c>
      <c r="AE240" s="1" t="s">
        <v>4436</v>
      </c>
      <c r="AF240" s="1" t="s">
        <v>4822</v>
      </c>
      <c r="AG240" s="1" t="s">
        <v>4438</v>
      </c>
      <c r="AH240" s="1" t="s">
        <v>82</v>
      </c>
      <c r="AI240" s="1" t="s">
        <v>4823</v>
      </c>
      <c r="AJ240" s="1" t="s">
        <v>4824</v>
      </c>
      <c r="AK240" s="1" t="s">
        <v>4825</v>
      </c>
      <c r="AL240" s="1" t="s">
        <v>4826</v>
      </c>
      <c r="AM240" s="1" t="s">
        <v>82</v>
      </c>
      <c r="AN240" s="1">
        <v>67</v>
      </c>
      <c r="AO240" s="1">
        <v>1</v>
      </c>
      <c r="AP240" s="1">
        <v>1</v>
      </c>
      <c r="AQ240" s="1">
        <v>4</v>
      </c>
      <c r="AR240" s="1">
        <v>4</v>
      </c>
      <c r="AS240" s="1" t="s">
        <v>2117</v>
      </c>
      <c r="AT240" s="1" t="s">
        <v>2118</v>
      </c>
      <c r="AU240" s="1" t="s">
        <v>2119</v>
      </c>
      <c r="AV240" s="1" t="s">
        <v>82</v>
      </c>
      <c r="AW240" s="1" t="s">
        <v>4737</v>
      </c>
      <c r="AX240" s="1" t="s">
        <v>82</v>
      </c>
      <c r="AY240" s="1" t="s">
        <v>4738</v>
      </c>
      <c r="AZ240" s="1" t="s">
        <v>4739</v>
      </c>
      <c r="BA240" s="1" t="s">
        <v>1340</v>
      </c>
      <c r="BB240" s="1">
        <v>2022</v>
      </c>
      <c r="BC240" s="1">
        <v>8</v>
      </c>
      <c r="BD240" s="1">
        <v>10</v>
      </c>
      <c r="BE240" s="1" t="s">
        <v>82</v>
      </c>
      <c r="BF240" s="1" t="s">
        <v>82</v>
      </c>
      <c r="BG240" s="1" t="s">
        <v>82</v>
      </c>
      <c r="BH240" s="1" t="s">
        <v>82</v>
      </c>
      <c r="BI240" s="1" t="s">
        <v>82</v>
      </c>
      <c r="BJ240" s="1" t="s">
        <v>82</v>
      </c>
      <c r="BK240" s="1">
        <v>1020</v>
      </c>
      <c r="BL240" s="1" t="s">
        <v>4827</v>
      </c>
      <c r="BM240" s="1" t="str">
        <f>HYPERLINK("http://dx.doi.org/10.3390/jof8101020","http://dx.doi.org/10.3390/jof8101020")</f>
        <v>http://dx.doi.org/10.3390/jof8101020</v>
      </c>
      <c r="BN240" s="1" t="s">
        <v>82</v>
      </c>
      <c r="BO240" s="1" t="s">
        <v>82</v>
      </c>
      <c r="BP240" s="1">
        <v>15</v>
      </c>
      <c r="BQ240" s="1" t="s">
        <v>4741</v>
      </c>
      <c r="BR240" s="1" t="s">
        <v>104</v>
      </c>
      <c r="BS240" s="1" t="s">
        <v>4741</v>
      </c>
      <c r="BT240" s="1" t="s">
        <v>4828</v>
      </c>
      <c r="BU240" s="1">
        <v>36294585</v>
      </c>
      <c r="BV240" s="1" t="s">
        <v>592</v>
      </c>
      <c r="BW240" s="1" t="s">
        <v>82</v>
      </c>
      <c r="BX240" s="1" t="s">
        <v>82</v>
      </c>
      <c r="BY240" s="1" t="s">
        <v>108</v>
      </c>
      <c r="BZ240" s="1" t="s">
        <v>4829</v>
      </c>
      <c r="CA240" s="1" t="str">
        <f>HYPERLINK("https%3A%2F%2Fwww.webofscience.com%2Fwos%2Fwoscc%2Ffull-record%2FWOS:000873289400001","View Full Record in Web of Science")</f>
        <v>View Full Record in Web of Science</v>
      </c>
    </row>
    <row r="241" s="1" customFormat="1" ht="14.4" spans="1:79">
      <c r="A241">
        <v>240</v>
      </c>
      <c r="B241" s="2" t="s">
        <v>79</v>
      </c>
      <c r="C241" s="1" t="s">
        <v>80</v>
      </c>
      <c r="D241" s="1" t="s">
        <v>4830</v>
      </c>
      <c r="E241" s="1" t="s">
        <v>82</v>
      </c>
      <c r="F241" s="1" t="s">
        <v>82</v>
      </c>
      <c r="G241" s="1" t="s">
        <v>82</v>
      </c>
      <c r="H241" s="1" t="s">
        <v>4831</v>
      </c>
      <c r="I241" s="1" t="s">
        <v>82</v>
      </c>
      <c r="J241" s="1" t="s">
        <v>82</v>
      </c>
      <c r="K241" s="1" t="s">
        <v>4832</v>
      </c>
      <c r="L241" s="1" t="s">
        <v>4724</v>
      </c>
      <c r="M241" s="1">
        <v>5.724</v>
      </c>
      <c r="O241" s="1" t="s">
        <v>82</v>
      </c>
      <c r="P241" s="1" t="s">
        <v>82</v>
      </c>
      <c r="Q241" s="1" t="s">
        <v>87</v>
      </c>
      <c r="R241" s="1" t="s">
        <v>115</v>
      </c>
      <c r="S241" s="1" t="s">
        <v>82</v>
      </c>
      <c r="T241" s="1" t="s">
        <v>82</v>
      </c>
      <c r="U241" s="1" t="s">
        <v>82</v>
      </c>
      <c r="V241" s="1" t="s">
        <v>82</v>
      </c>
      <c r="W241" s="1" t="s">
        <v>82</v>
      </c>
      <c r="X241" s="1" t="s">
        <v>4833</v>
      </c>
      <c r="Y241" s="1" t="s">
        <v>4834</v>
      </c>
      <c r="Z241" s="1" t="s">
        <v>4835</v>
      </c>
      <c r="AA241" s="1">
        <v>1</v>
      </c>
      <c r="AB241" s="1" t="s">
        <v>4836</v>
      </c>
      <c r="AC241" s="1" t="s">
        <v>4837</v>
      </c>
      <c r="AD241" s="1" t="s">
        <v>93</v>
      </c>
      <c r="AE241" s="1" t="s">
        <v>4838</v>
      </c>
      <c r="AF241" s="1" t="s">
        <v>4839</v>
      </c>
      <c r="AG241" s="1" t="s">
        <v>4840</v>
      </c>
      <c r="AH241" s="1" t="s">
        <v>1738</v>
      </c>
      <c r="AI241" s="1" t="s">
        <v>4841</v>
      </c>
      <c r="AJ241" s="1" t="s">
        <v>4842</v>
      </c>
      <c r="AK241" s="1" t="s">
        <v>4843</v>
      </c>
      <c r="AL241" s="1" t="s">
        <v>4844</v>
      </c>
      <c r="AM241" s="1" t="s">
        <v>82</v>
      </c>
      <c r="AN241" s="1">
        <v>43</v>
      </c>
      <c r="AO241" s="1">
        <v>0</v>
      </c>
      <c r="AP241" s="1">
        <v>0</v>
      </c>
      <c r="AQ241" s="1">
        <v>8</v>
      </c>
      <c r="AR241" s="1">
        <v>8</v>
      </c>
      <c r="AS241" s="1" t="s">
        <v>2117</v>
      </c>
      <c r="AT241" s="1" t="s">
        <v>2118</v>
      </c>
      <c r="AU241" s="1" t="s">
        <v>2119</v>
      </c>
      <c r="AV241" s="1" t="s">
        <v>82</v>
      </c>
      <c r="AW241" s="1" t="s">
        <v>4737</v>
      </c>
      <c r="AX241" s="1" t="s">
        <v>82</v>
      </c>
      <c r="AY241" s="1" t="s">
        <v>4738</v>
      </c>
      <c r="AZ241" s="1" t="s">
        <v>4739</v>
      </c>
      <c r="BA241" s="1" t="s">
        <v>1340</v>
      </c>
      <c r="BB241" s="1">
        <v>2022</v>
      </c>
      <c r="BC241" s="1">
        <v>8</v>
      </c>
      <c r="BD241" s="1">
        <v>10</v>
      </c>
      <c r="BE241" s="1" t="s">
        <v>82</v>
      </c>
      <c r="BF241" s="1" t="s">
        <v>82</v>
      </c>
      <c r="BG241" s="1" t="s">
        <v>82</v>
      </c>
      <c r="BH241" s="1" t="s">
        <v>82</v>
      </c>
      <c r="BI241" s="1" t="s">
        <v>82</v>
      </c>
      <c r="BJ241" s="1" t="s">
        <v>82</v>
      </c>
      <c r="BK241" s="1">
        <v>1107</v>
      </c>
      <c r="BL241" s="1" t="s">
        <v>4845</v>
      </c>
      <c r="BM241" s="1" t="str">
        <f>HYPERLINK("http://dx.doi.org/10.3390/jof8101107","http://dx.doi.org/10.3390/jof8101107")</f>
        <v>http://dx.doi.org/10.3390/jof8101107</v>
      </c>
      <c r="BN241" s="1" t="s">
        <v>82</v>
      </c>
      <c r="BO241" s="1" t="s">
        <v>82</v>
      </c>
      <c r="BP241" s="1">
        <v>14</v>
      </c>
      <c r="BQ241" s="1" t="s">
        <v>4741</v>
      </c>
      <c r="BR241" s="1" t="s">
        <v>104</v>
      </c>
      <c r="BS241" s="1" t="s">
        <v>4741</v>
      </c>
      <c r="BT241" s="1" t="s">
        <v>4846</v>
      </c>
      <c r="BU241" s="1">
        <v>36294672</v>
      </c>
      <c r="BV241" s="1" t="s">
        <v>592</v>
      </c>
      <c r="BW241" s="1" t="s">
        <v>82</v>
      </c>
      <c r="BX241" s="1" t="s">
        <v>82</v>
      </c>
      <c r="BY241" s="1" t="s">
        <v>108</v>
      </c>
      <c r="BZ241" s="1" t="s">
        <v>4847</v>
      </c>
      <c r="CA241" s="1" t="str">
        <f>HYPERLINK("https%3A%2F%2Fwww.webofscience.com%2Fwos%2Fwoscc%2Ffull-record%2FWOS:000873005000001","View Full Record in Web of Science")</f>
        <v>View Full Record in Web of Science</v>
      </c>
    </row>
    <row r="242" s="1" customFormat="1" ht="14.4" spans="1:79">
      <c r="A242">
        <v>241</v>
      </c>
      <c r="B242" s="2" t="s">
        <v>79</v>
      </c>
      <c r="C242" s="1" t="s">
        <v>80</v>
      </c>
      <c r="D242" s="1" t="s">
        <v>4848</v>
      </c>
      <c r="E242" s="1" t="s">
        <v>82</v>
      </c>
      <c r="F242" s="1" t="s">
        <v>82</v>
      </c>
      <c r="G242" s="1" t="s">
        <v>82</v>
      </c>
      <c r="H242" s="1" t="s">
        <v>4849</v>
      </c>
      <c r="I242" s="1" t="s">
        <v>82</v>
      </c>
      <c r="J242" s="1" t="s">
        <v>82</v>
      </c>
      <c r="K242" s="1" t="s">
        <v>4850</v>
      </c>
      <c r="L242" s="1" t="s">
        <v>4724</v>
      </c>
      <c r="M242" s="1">
        <v>5.724</v>
      </c>
      <c r="O242" s="1" t="s">
        <v>82</v>
      </c>
      <c r="P242" s="1" t="s">
        <v>82</v>
      </c>
      <c r="Q242" s="1" t="s">
        <v>87</v>
      </c>
      <c r="R242" s="1" t="s">
        <v>115</v>
      </c>
      <c r="S242" s="1" t="s">
        <v>82</v>
      </c>
      <c r="T242" s="1" t="s">
        <v>82</v>
      </c>
      <c r="U242" s="1" t="s">
        <v>82</v>
      </c>
      <c r="V242" s="1" t="s">
        <v>82</v>
      </c>
      <c r="W242" s="1" t="s">
        <v>82</v>
      </c>
      <c r="X242" s="1" t="s">
        <v>4851</v>
      </c>
      <c r="Y242" s="1" t="s">
        <v>4852</v>
      </c>
      <c r="Z242" s="1" t="s">
        <v>4853</v>
      </c>
      <c r="AB242" s="1" t="s">
        <v>4854</v>
      </c>
      <c r="AC242" s="1" t="s">
        <v>4855</v>
      </c>
      <c r="AD242" s="1" t="s">
        <v>120</v>
      </c>
      <c r="AE242" s="1" t="s">
        <v>4856</v>
      </c>
      <c r="AF242" s="1" t="s">
        <v>4857</v>
      </c>
      <c r="AG242" s="1" t="s">
        <v>4858</v>
      </c>
      <c r="AH242" s="1" t="s">
        <v>4859</v>
      </c>
      <c r="AI242" s="1" t="s">
        <v>4860</v>
      </c>
      <c r="AJ242" s="1" t="s">
        <v>4861</v>
      </c>
      <c r="AK242" s="1" t="s">
        <v>4861</v>
      </c>
      <c r="AL242" s="1" t="s">
        <v>4862</v>
      </c>
      <c r="AM242" s="1" t="s">
        <v>82</v>
      </c>
      <c r="AN242" s="1">
        <v>90</v>
      </c>
      <c r="AO242" s="1">
        <v>0</v>
      </c>
      <c r="AP242" s="1">
        <v>0</v>
      </c>
      <c r="AQ242" s="1">
        <v>2</v>
      </c>
      <c r="AR242" s="1">
        <v>2</v>
      </c>
      <c r="AS242" s="1" t="s">
        <v>2117</v>
      </c>
      <c r="AT242" s="1" t="s">
        <v>2118</v>
      </c>
      <c r="AU242" s="1" t="s">
        <v>2119</v>
      </c>
      <c r="AV242" s="1" t="s">
        <v>82</v>
      </c>
      <c r="AW242" s="1" t="s">
        <v>4737</v>
      </c>
      <c r="AX242" s="1" t="s">
        <v>82</v>
      </c>
      <c r="AY242" s="1" t="s">
        <v>4738</v>
      </c>
      <c r="AZ242" s="1" t="s">
        <v>4739</v>
      </c>
      <c r="BA242" s="1" t="s">
        <v>222</v>
      </c>
      <c r="BB242" s="1">
        <v>2022</v>
      </c>
      <c r="BC242" s="1">
        <v>8</v>
      </c>
      <c r="BD242" s="1">
        <v>9</v>
      </c>
      <c r="BE242" s="1" t="s">
        <v>82</v>
      </c>
      <c r="BF242" s="1" t="s">
        <v>82</v>
      </c>
      <c r="BG242" s="1" t="s">
        <v>82</v>
      </c>
      <c r="BH242" s="1" t="s">
        <v>82</v>
      </c>
      <c r="BI242" s="1" t="s">
        <v>82</v>
      </c>
      <c r="BJ242" s="1" t="s">
        <v>82</v>
      </c>
      <c r="BK242" s="1">
        <v>966</v>
      </c>
      <c r="BL242" s="1" t="s">
        <v>4863</v>
      </c>
      <c r="BM242" s="1" t="str">
        <f>HYPERLINK("http://dx.doi.org/10.3390/jof8090966","http://dx.doi.org/10.3390/jof8090966")</f>
        <v>http://dx.doi.org/10.3390/jof8090966</v>
      </c>
      <c r="BN242" s="1" t="s">
        <v>82</v>
      </c>
      <c r="BO242" s="1" t="s">
        <v>82</v>
      </c>
      <c r="BP242" s="1">
        <v>22</v>
      </c>
      <c r="BQ242" s="1" t="s">
        <v>4741</v>
      </c>
      <c r="BR242" s="1" t="s">
        <v>104</v>
      </c>
      <c r="BS242" s="1" t="s">
        <v>4741</v>
      </c>
      <c r="BT242" s="1" t="s">
        <v>4864</v>
      </c>
      <c r="BU242" s="1">
        <v>36135691</v>
      </c>
      <c r="BV242" s="1" t="s">
        <v>635</v>
      </c>
      <c r="BW242" s="1" t="s">
        <v>82</v>
      </c>
      <c r="BX242" s="1" t="s">
        <v>82</v>
      </c>
      <c r="BY242" s="1" t="s">
        <v>108</v>
      </c>
      <c r="BZ242" s="1" t="s">
        <v>4865</v>
      </c>
      <c r="CA242" s="1" t="str">
        <f>HYPERLINK("https%3A%2F%2Fwww.webofscience.com%2Fwos%2Fwoscc%2Ffull-record%2FWOS:000858526500001","View Full Record in Web of Science")</f>
        <v>View Full Record in Web of Science</v>
      </c>
    </row>
    <row r="243" s="1" customFormat="1" ht="14.4" spans="1:79">
      <c r="A243">
        <v>242</v>
      </c>
      <c r="B243" s="2" t="s">
        <v>79</v>
      </c>
      <c r="C243" s="1" t="s">
        <v>80</v>
      </c>
      <c r="D243" s="1" t="s">
        <v>4866</v>
      </c>
      <c r="E243" s="1" t="s">
        <v>82</v>
      </c>
      <c r="F243" s="1" t="s">
        <v>82</v>
      </c>
      <c r="G243" s="1" t="s">
        <v>82</v>
      </c>
      <c r="H243" s="1" t="s">
        <v>4867</v>
      </c>
      <c r="I243" s="1" t="s">
        <v>82</v>
      </c>
      <c r="J243" s="1" t="s">
        <v>82</v>
      </c>
      <c r="K243" s="1" t="s">
        <v>4868</v>
      </c>
      <c r="L243" s="1" t="s">
        <v>4724</v>
      </c>
      <c r="M243" s="1">
        <v>5.724</v>
      </c>
      <c r="O243" s="1" t="s">
        <v>82</v>
      </c>
      <c r="P243" s="1" t="s">
        <v>82</v>
      </c>
      <c r="Q243" s="1" t="s">
        <v>87</v>
      </c>
      <c r="R243" s="1" t="s">
        <v>115</v>
      </c>
      <c r="S243" s="1" t="s">
        <v>82</v>
      </c>
      <c r="T243" s="1" t="s">
        <v>82</v>
      </c>
      <c r="U243" s="1" t="s">
        <v>82</v>
      </c>
      <c r="V243" s="1" t="s">
        <v>82</v>
      </c>
      <c r="W243" s="1" t="s">
        <v>82</v>
      </c>
      <c r="X243" s="1" t="s">
        <v>4869</v>
      </c>
      <c r="Y243" s="1" t="s">
        <v>4870</v>
      </c>
      <c r="Z243" s="1" t="s">
        <v>4871</v>
      </c>
      <c r="AB243" s="1" t="s">
        <v>4872</v>
      </c>
      <c r="AC243" s="1" t="s">
        <v>4873</v>
      </c>
      <c r="AD243" s="1" t="s">
        <v>206</v>
      </c>
      <c r="AE243" s="1" t="s">
        <v>4874</v>
      </c>
      <c r="AF243" s="1" t="s">
        <v>4875</v>
      </c>
      <c r="AG243" s="1" t="s">
        <v>239</v>
      </c>
      <c r="AH243" s="1" t="s">
        <v>4876</v>
      </c>
      <c r="AI243" s="1" t="s">
        <v>4877</v>
      </c>
      <c r="AJ243" s="1" t="s">
        <v>4878</v>
      </c>
      <c r="AK243" s="1" t="s">
        <v>4879</v>
      </c>
      <c r="AL243" s="1" t="s">
        <v>4880</v>
      </c>
      <c r="AM243" s="1" t="s">
        <v>82</v>
      </c>
      <c r="AN243" s="1">
        <v>105</v>
      </c>
      <c r="AO243" s="1">
        <v>2</v>
      </c>
      <c r="AP243" s="1">
        <v>2</v>
      </c>
      <c r="AQ243" s="1">
        <v>7</v>
      </c>
      <c r="AR243" s="1">
        <v>7</v>
      </c>
      <c r="AS243" s="1" t="s">
        <v>2117</v>
      </c>
      <c r="AT243" s="1" t="s">
        <v>2118</v>
      </c>
      <c r="AU243" s="1" t="s">
        <v>2119</v>
      </c>
      <c r="AV243" s="1" t="s">
        <v>82</v>
      </c>
      <c r="AW243" s="1" t="s">
        <v>4737</v>
      </c>
      <c r="AX243" s="1" t="s">
        <v>82</v>
      </c>
      <c r="AY243" s="1" t="s">
        <v>4738</v>
      </c>
      <c r="AZ243" s="1" t="s">
        <v>4739</v>
      </c>
      <c r="BA243" s="1" t="s">
        <v>222</v>
      </c>
      <c r="BB243" s="1">
        <v>2022</v>
      </c>
      <c r="BC243" s="1">
        <v>8</v>
      </c>
      <c r="BD243" s="1">
        <v>9</v>
      </c>
      <c r="BE243" s="1" t="s">
        <v>82</v>
      </c>
      <c r="BF243" s="1" t="s">
        <v>82</v>
      </c>
      <c r="BG243" s="1" t="s">
        <v>82</v>
      </c>
      <c r="BH243" s="1" t="s">
        <v>82</v>
      </c>
      <c r="BI243" s="1" t="s">
        <v>82</v>
      </c>
      <c r="BJ243" s="1" t="s">
        <v>82</v>
      </c>
      <c r="BK243" s="1">
        <v>907</v>
      </c>
      <c r="BL243" s="1" t="s">
        <v>4881</v>
      </c>
      <c r="BM243" s="1" t="str">
        <f>HYPERLINK("http://dx.doi.org/10.3390/jof8090907","http://dx.doi.org/10.3390/jof8090907")</f>
        <v>http://dx.doi.org/10.3390/jof8090907</v>
      </c>
      <c r="BN243" s="1" t="s">
        <v>82</v>
      </c>
      <c r="BO243" s="1" t="s">
        <v>82</v>
      </c>
      <c r="BP243" s="1">
        <v>28</v>
      </c>
      <c r="BQ243" s="1" t="s">
        <v>4741</v>
      </c>
      <c r="BR243" s="1" t="s">
        <v>104</v>
      </c>
      <c r="BS243" s="1" t="s">
        <v>4741</v>
      </c>
      <c r="BT243" s="1" t="s">
        <v>4882</v>
      </c>
      <c r="BU243" s="1">
        <v>36135632</v>
      </c>
      <c r="BV243" s="1" t="s">
        <v>592</v>
      </c>
      <c r="BW243" s="1" t="s">
        <v>82</v>
      </c>
      <c r="BX243" s="1" t="s">
        <v>82</v>
      </c>
      <c r="BY243" s="1" t="s">
        <v>108</v>
      </c>
      <c r="BZ243" s="1" t="s">
        <v>4883</v>
      </c>
      <c r="CA243" s="1" t="str">
        <f>HYPERLINK("https%3A%2F%2Fwww.webofscience.com%2Fwos%2Fwoscc%2Ffull-record%2FWOS:000858333900001","View Full Record in Web of Science")</f>
        <v>View Full Record in Web of Science</v>
      </c>
    </row>
    <row r="244" s="1" customFormat="1" ht="14.4" spans="1:79">
      <c r="A244">
        <v>243</v>
      </c>
      <c r="B244" s="2" t="s">
        <v>79</v>
      </c>
      <c r="C244" s="1" t="s">
        <v>80</v>
      </c>
      <c r="D244" s="1" t="s">
        <v>4884</v>
      </c>
      <c r="E244" s="1" t="s">
        <v>82</v>
      </c>
      <c r="F244" s="1" t="s">
        <v>82</v>
      </c>
      <c r="G244" s="1" t="s">
        <v>82</v>
      </c>
      <c r="H244" s="1" t="s">
        <v>4885</v>
      </c>
      <c r="I244" s="1" t="s">
        <v>82</v>
      </c>
      <c r="J244" s="1" t="s">
        <v>82</v>
      </c>
      <c r="K244" s="1" t="s">
        <v>4886</v>
      </c>
      <c r="L244" s="1" t="s">
        <v>4724</v>
      </c>
      <c r="M244" s="1">
        <v>5.724</v>
      </c>
      <c r="O244" s="1" t="s">
        <v>82</v>
      </c>
      <c r="P244" s="1" t="s">
        <v>82</v>
      </c>
      <c r="Q244" s="1" t="s">
        <v>87</v>
      </c>
      <c r="R244" s="1" t="s">
        <v>115</v>
      </c>
      <c r="S244" s="1" t="s">
        <v>82</v>
      </c>
      <c r="T244" s="1" t="s">
        <v>82</v>
      </c>
      <c r="U244" s="1" t="s">
        <v>82</v>
      </c>
      <c r="V244" s="1" t="s">
        <v>82</v>
      </c>
      <c r="W244" s="1" t="s">
        <v>82</v>
      </c>
      <c r="X244" s="1" t="s">
        <v>4887</v>
      </c>
      <c r="Y244" s="1" t="s">
        <v>4888</v>
      </c>
      <c r="Z244" s="1" t="s">
        <v>4889</v>
      </c>
      <c r="AA244" s="1">
        <v>1</v>
      </c>
      <c r="AB244" s="1" t="s">
        <v>4890</v>
      </c>
      <c r="AC244" s="1" t="s">
        <v>4891</v>
      </c>
      <c r="AD244" s="1" t="s">
        <v>93</v>
      </c>
      <c r="AE244" s="1" t="s">
        <v>4892</v>
      </c>
      <c r="AF244" s="1" t="s">
        <v>4893</v>
      </c>
      <c r="AG244" s="1" t="s">
        <v>4894</v>
      </c>
      <c r="AH244" s="1" t="s">
        <v>4895</v>
      </c>
      <c r="AI244" s="1" t="s">
        <v>4896</v>
      </c>
      <c r="AJ244" s="1" t="s">
        <v>4897</v>
      </c>
      <c r="AK244" s="1" t="s">
        <v>4898</v>
      </c>
      <c r="AL244" s="1" t="s">
        <v>4899</v>
      </c>
      <c r="AM244" s="1" t="s">
        <v>82</v>
      </c>
      <c r="AN244" s="1">
        <v>48</v>
      </c>
      <c r="AO244" s="1">
        <v>1</v>
      </c>
      <c r="AP244" s="1">
        <v>1</v>
      </c>
      <c r="AQ244" s="1">
        <v>9</v>
      </c>
      <c r="AR244" s="1">
        <v>9</v>
      </c>
      <c r="AS244" s="1" t="s">
        <v>2117</v>
      </c>
      <c r="AT244" s="1" t="s">
        <v>2118</v>
      </c>
      <c r="AU244" s="1" t="s">
        <v>2119</v>
      </c>
      <c r="AV244" s="1" t="s">
        <v>82</v>
      </c>
      <c r="AW244" s="1" t="s">
        <v>4737</v>
      </c>
      <c r="AX244" s="1" t="s">
        <v>82</v>
      </c>
      <c r="AY244" s="1" t="s">
        <v>4738</v>
      </c>
      <c r="AZ244" s="1" t="s">
        <v>4739</v>
      </c>
      <c r="BA244" s="1" t="s">
        <v>222</v>
      </c>
      <c r="BB244" s="1">
        <v>2022</v>
      </c>
      <c r="BC244" s="1">
        <v>8</v>
      </c>
      <c r="BD244" s="1">
        <v>9</v>
      </c>
      <c r="BE244" s="1" t="s">
        <v>82</v>
      </c>
      <c r="BF244" s="1" t="s">
        <v>82</v>
      </c>
      <c r="BG244" s="1" t="s">
        <v>82</v>
      </c>
      <c r="BH244" s="1" t="s">
        <v>82</v>
      </c>
      <c r="BI244" s="1" t="s">
        <v>82</v>
      </c>
      <c r="BJ244" s="1" t="s">
        <v>82</v>
      </c>
      <c r="BK244" s="1">
        <v>898</v>
      </c>
      <c r="BL244" s="1" t="s">
        <v>4900</v>
      </c>
      <c r="BM244" s="1" t="str">
        <f>HYPERLINK("http://dx.doi.org/10.3390/jof8090898","http://dx.doi.org/10.3390/jof8090898")</f>
        <v>http://dx.doi.org/10.3390/jof8090898</v>
      </c>
      <c r="BN244" s="1" t="s">
        <v>82</v>
      </c>
      <c r="BO244" s="1" t="s">
        <v>82</v>
      </c>
      <c r="BP244" s="1">
        <v>22</v>
      </c>
      <c r="BQ244" s="1" t="s">
        <v>4741</v>
      </c>
      <c r="BR244" s="1" t="s">
        <v>104</v>
      </c>
      <c r="BS244" s="1" t="s">
        <v>4741</v>
      </c>
      <c r="BT244" s="1" t="s">
        <v>4901</v>
      </c>
      <c r="BU244" s="1">
        <v>36135624</v>
      </c>
      <c r="BV244" s="1" t="s">
        <v>635</v>
      </c>
      <c r="BW244" s="1" t="s">
        <v>82</v>
      </c>
      <c r="BX244" s="1" t="s">
        <v>82</v>
      </c>
      <c r="BY244" s="1" t="s">
        <v>108</v>
      </c>
      <c r="BZ244" s="1" t="s">
        <v>4902</v>
      </c>
      <c r="CA244" s="1" t="str">
        <f>HYPERLINK("https%3A%2F%2Fwww.webofscience.com%2Fwos%2Fwoscc%2Ffull-record%2FWOS:000856391600001","View Full Record in Web of Science")</f>
        <v>View Full Record in Web of Science</v>
      </c>
    </row>
    <row r="245" s="1" customFormat="1" ht="14.4" spans="1:79">
      <c r="A245">
        <v>244</v>
      </c>
      <c r="B245" s="2" t="s">
        <v>79</v>
      </c>
      <c r="C245" s="1" t="s">
        <v>80</v>
      </c>
      <c r="D245" s="1" t="s">
        <v>4903</v>
      </c>
      <c r="E245" s="1" t="s">
        <v>82</v>
      </c>
      <c r="F245" s="1" t="s">
        <v>82</v>
      </c>
      <c r="G245" s="1" t="s">
        <v>82</v>
      </c>
      <c r="H245" s="1" t="s">
        <v>4904</v>
      </c>
      <c r="I245" s="1" t="s">
        <v>82</v>
      </c>
      <c r="J245" s="1" t="s">
        <v>82</v>
      </c>
      <c r="K245" s="1" t="s">
        <v>4905</v>
      </c>
      <c r="L245" s="1" t="s">
        <v>4724</v>
      </c>
      <c r="M245" s="1">
        <v>5.724</v>
      </c>
      <c r="O245" s="1" t="s">
        <v>82</v>
      </c>
      <c r="P245" s="1" t="s">
        <v>82</v>
      </c>
      <c r="Q245" s="1" t="s">
        <v>87</v>
      </c>
      <c r="R245" s="1" t="s">
        <v>115</v>
      </c>
      <c r="S245" s="1" t="s">
        <v>82</v>
      </c>
      <c r="T245" s="1" t="s">
        <v>82</v>
      </c>
      <c r="U245" s="1" t="s">
        <v>82</v>
      </c>
      <c r="V245" s="1" t="s">
        <v>82</v>
      </c>
      <c r="W245" s="1" t="s">
        <v>82</v>
      </c>
      <c r="X245" s="1" t="s">
        <v>4906</v>
      </c>
      <c r="Y245" s="1" t="s">
        <v>4907</v>
      </c>
      <c r="Z245" s="1" t="s">
        <v>4908</v>
      </c>
      <c r="AB245" s="1" t="s">
        <v>4909</v>
      </c>
      <c r="AC245" s="1" t="s">
        <v>4910</v>
      </c>
      <c r="AD245" s="1" t="s">
        <v>120</v>
      </c>
      <c r="AE245" s="1" t="s">
        <v>4911</v>
      </c>
      <c r="AF245" s="1" t="s">
        <v>4912</v>
      </c>
      <c r="AG245" s="1" t="s">
        <v>4913</v>
      </c>
      <c r="AH245" s="1" t="s">
        <v>4914</v>
      </c>
      <c r="AI245" s="1" t="s">
        <v>4915</v>
      </c>
      <c r="AJ245" s="1" t="s">
        <v>4916</v>
      </c>
      <c r="AK245" s="1" t="s">
        <v>4917</v>
      </c>
      <c r="AL245" s="1" t="s">
        <v>4918</v>
      </c>
      <c r="AM245" s="1" t="s">
        <v>82</v>
      </c>
      <c r="AN245" s="1">
        <v>38</v>
      </c>
      <c r="AO245" s="1">
        <v>3</v>
      </c>
      <c r="AP245" s="1">
        <v>3</v>
      </c>
      <c r="AQ245" s="1">
        <v>6</v>
      </c>
      <c r="AR245" s="1">
        <v>6</v>
      </c>
      <c r="AS245" s="1" t="s">
        <v>2117</v>
      </c>
      <c r="AT245" s="1" t="s">
        <v>2118</v>
      </c>
      <c r="AU245" s="1" t="s">
        <v>2119</v>
      </c>
      <c r="AV245" s="1" t="s">
        <v>82</v>
      </c>
      <c r="AW245" s="1" t="s">
        <v>4737</v>
      </c>
      <c r="AX245" s="1" t="s">
        <v>82</v>
      </c>
      <c r="AY245" s="1" t="s">
        <v>4738</v>
      </c>
      <c r="AZ245" s="1" t="s">
        <v>4739</v>
      </c>
      <c r="BA245" s="1" t="s">
        <v>1403</v>
      </c>
      <c r="BB245" s="1">
        <v>2022</v>
      </c>
      <c r="BC245" s="1">
        <v>8</v>
      </c>
      <c r="BD245" s="1">
        <v>7</v>
      </c>
      <c r="BE245" s="1" t="s">
        <v>82</v>
      </c>
      <c r="BF245" s="1" t="s">
        <v>82</v>
      </c>
      <c r="BG245" s="1" t="s">
        <v>82</v>
      </c>
      <c r="BH245" s="1" t="s">
        <v>82</v>
      </c>
      <c r="BI245" s="1" t="s">
        <v>82</v>
      </c>
      <c r="BJ245" s="1" t="s">
        <v>82</v>
      </c>
      <c r="BK245" s="1">
        <v>719</v>
      </c>
      <c r="BL245" s="1" t="s">
        <v>4919</v>
      </c>
      <c r="BM245" s="1" t="str">
        <f>HYPERLINK("http://dx.doi.org/10.3390/jof8070719","http://dx.doi.org/10.3390/jof8070719")</f>
        <v>http://dx.doi.org/10.3390/jof8070719</v>
      </c>
      <c r="BN245" s="1" t="s">
        <v>82</v>
      </c>
      <c r="BO245" s="1" t="s">
        <v>82</v>
      </c>
      <c r="BP245" s="1">
        <v>21</v>
      </c>
      <c r="BQ245" s="1" t="s">
        <v>4741</v>
      </c>
      <c r="BR245" s="1" t="s">
        <v>104</v>
      </c>
      <c r="BS245" s="1" t="s">
        <v>4741</v>
      </c>
      <c r="BT245" s="1" t="s">
        <v>4920</v>
      </c>
      <c r="BU245" s="1">
        <v>35887474</v>
      </c>
      <c r="BV245" s="1" t="s">
        <v>592</v>
      </c>
      <c r="BW245" s="1" t="s">
        <v>82</v>
      </c>
      <c r="BX245" s="1" t="s">
        <v>82</v>
      </c>
      <c r="BY245" s="1" t="s">
        <v>108</v>
      </c>
      <c r="BZ245" s="1" t="s">
        <v>4921</v>
      </c>
      <c r="CA245" s="1" t="str">
        <f>HYPERLINK("https%3A%2F%2Fwww.webofscience.com%2Fwos%2Fwoscc%2Ffull-record%2FWOS:000833393400001","View Full Record in Web of Science")</f>
        <v>View Full Record in Web of Science</v>
      </c>
    </row>
    <row r="246" s="1" customFormat="1" ht="14.4" spans="1:79">
      <c r="A246">
        <v>245</v>
      </c>
      <c r="B246" s="2" t="s">
        <v>79</v>
      </c>
      <c r="C246" s="1" t="s">
        <v>80</v>
      </c>
      <c r="D246" s="1" t="s">
        <v>4922</v>
      </c>
      <c r="E246" s="1" t="s">
        <v>82</v>
      </c>
      <c r="F246" s="1" t="s">
        <v>82</v>
      </c>
      <c r="G246" s="1" t="s">
        <v>82</v>
      </c>
      <c r="H246" s="1" t="s">
        <v>4923</v>
      </c>
      <c r="I246" s="1" t="s">
        <v>82</v>
      </c>
      <c r="J246" s="1" t="s">
        <v>82</v>
      </c>
      <c r="K246" s="1" t="s">
        <v>4924</v>
      </c>
      <c r="L246" s="1" t="s">
        <v>4724</v>
      </c>
      <c r="M246" s="1">
        <v>5.724</v>
      </c>
      <c r="O246" s="1" t="s">
        <v>82</v>
      </c>
      <c r="P246" s="1" t="s">
        <v>82</v>
      </c>
      <c r="Q246" s="1" t="s">
        <v>87</v>
      </c>
      <c r="R246" s="1" t="s">
        <v>115</v>
      </c>
      <c r="S246" s="1" t="s">
        <v>82</v>
      </c>
      <c r="T246" s="1" t="s">
        <v>82</v>
      </c>
      <c r="U246" s="1" t="s">
        <v>82</v>
      </c>
      <c r="V246" s="1" t="s">
        <v>82</v>
      </c>
      <c r="W246" s="1" t="s">
        <v>82</v>
      </c>
      <c r="X246" s="1" t="s">
        <v>4925</v>
      </c>
      <c r="Y246" s="1" t="s">
        <v>4926</v>
      </c>
      <c r="Z246" s="1" t="s">
        <v>4927</v>
      </c>
      <c r="AB246" s="1" t="s">
        <v>4928</v>
      </c>
      <c r="AC246" s="1" t="s">
        <v>4929</v>
      </c>
      <c r="AD246" s="1" t="s">
        <v>120</v>
      </c>
      <c r="AE246" s="1" t="s">
        <v>4930</v>
      </c>
      <c r="AF246" s="1" t="s">
        <v>4931</v>
      </c>
      <c r="AG246" s="1" t="s">
        <v>4932</v>
      </c>
      <c r="AH246" s="1" t="s">
        <v>4933</v>
      </c>
      <c r="AI246" s="1" t="s">
        <v>4934</v>
      </c>
      <c r="AJ246" s="1" t="s">
        <v>4935</v>
      </c>
      <c r="AK246" s="1" t="s">
        <v>4936</v>
      </c>
      <c r="AL246" s="1" t="s">
        <v>4937</v>
      </c>
      <c r="AM246" s="1" t="s">
        <v>82</v>
      </c>
      <c r="AN246" s="1">
        <v>139</v>
      </c>
      <c r="AO246" s="1">
        <v>0</v>
      </c>
      <c r="AP246" s="1">
        <v>0</v>
      </c>
      <c r="AQ246" s="1">
        <v>5</v>
      </c>
      <c r="AR246" s="1">
        <v>9</v>
      </c>
      <c r="AS246" s="1" t="s">
        <v>2117</v>
      </c>
      <c r="AT246" s="1" t="s">
        <v>2118</v>
      </c>
      <c r="AU246" s="1" t="s">
        <v>2119</v>
      </c>
      <c r="AV246" s="1" t="s">
        <v>82</v>
      </c>
      <c r="AW246" s="1" t="s">
        <v>4737</v>
      </c>
      <c r="AX246" s="1" t="s">
        <v>82</v>
      </c>
      <c r="AY246" s="1" t="s">
        <v>4738</v>
      </c>
      <c r="AZ246" s="1" t="s">
        <v>4739</v>
      </c>
      <c r="BA246" s="1" t="s">
        <v>1146</v>
      </c>
      <c r="BB246" s="1">
        <v>2022</v>
      </c>
      <c r="BC246" s="1">
        <v>8</v>
      </c>
      <c r="BD246" s="1">
        <v>6</v>
      </c>
      <c r="BE246" s="1" t="s">
        <v>82</v>
      </c>
      <c r="BF246" s="1" t="s">
        <v>82</v>
      </c>
      <c r="BG246" s="1" t="s">
        <v>82</v>
      </c>
      <c r="BH246" s="1" t="s">
        <v>82</v>
      </c>
      <c r="BI246" s="1" t="s">
        <v>82</v>
      </c>
      <c r="BJ246" s="1" t="s">
        <v>82</v>
      </c>
      <c r="BK246" s="1">
        <v>630</v>
      </c>
      <c r="BL246" s="1" t="s">
        <v>4938</v>
      </c>
      <c r="BM246" s="1" t="str">
        <f>HYPERLINK("http://dx.doi.org/10.3390/jof8060630","http://dx.doi.org/10.3390/jof8060630")</f>
        <v>http://dx.doi.org/10.3390/jof8060630</v>
      </c>
      <c r="BN246" s="1" t="s">
        <v>82</v>
      </c>
      <c r="BO246" s="1" t="s">
        <v>82</v>
      </c>
      <c r="BP246" s="1">
        <v>35</v>
      </c>
      <c r="BQ246" s="1" t="s">
        <v>4741</v>
      </c>
      <c r="BR246" s="1" t="s">
        <v>104</v>
      </c>
      <c r="BS246" s="1" t="s">
        <v>4741</v>
      </c>
      <c r="BT246" s="1" t="s">
        <v>4939</v>
      </c>
      <c r="BU246" s="1">
        <v>35736113</v>
      </c>
      <c r="BV246" s="1" t="s">
        <v>635</v>
      </c>
      <c r="BW246" s="1" t="s">
        <v>82</v>
      </c>
      <c r="BX246" s="1" t="s">
        <v>82</v>
      </c>
      <c r="BY246" s="1" t="s">
        <v>108</v>
      </c>
      <c r="BZ246" s="1" t="s">
        <v>4940</v>
      </c>
      <c r="CA246" s="1" t="str">
        <f>HYPERLINK("https%3A%2F%2Fwww.webofscience.com%2Fwos%2Fwoscc%2Ffull-record%2FWOS:000819114500001","View Full Record in Web of Science")</f>
        <v>View Full Record in Web of Science</v>
      </c>
    </row>
    <row r="247" s="1" customFormat="1" ht="14.4" spans="1:79">
      <c r="A247">
        <v>246</v>
      </c>
      <c r="B247" s="2" t="s">
        <v>79</v>
      </c>
      <c r="C247" s="1" t="s">
        <v>80</v>
      </c>
      <c r="D247" s="1" t="s">
        <v>4941</v>
      </c>
      <c r="E247" s="1" t="s">
        <v>82</v>
      </c>
      <c r="F247" s="1" t="s">
        <v>82</v>
      </c>
      <c r="G247" s="1" t="s">
        <v>82</v>
      </c>
      <c r="H247" s="1" t="s">
        <v>4942</v>
      </c>
      <c r="I247" s="1" t="s">
        <v>82</v>
      </c>
      <c r="J247" s="1" t="s">
        <v>82</v>
      </c>
      <c r="K247" s="1" t="s">
        <v>4943</v>
      </c>
      <c r="L247" s="1" t="s">
        <v>4724</v>
      </c>
      <c r="M247" s="1">
        <v>5.724</v>
      </c>
      <c r="O247" s="1" t="s">
        <v>82</v>
      </c>
      <c r="P247" s="1" t="s">
        <v>82</v>
      </c>
      <c r="Q247" s="1" t="s">
        <v>87</v>
      </c>
      <c r="R247" s="1" t="s">
        <v>115</v>
      </c>
      <c r="S247" s="1" t="s">
        <v>82</v>
      </c>
      <c r="T247" s="1" t="s">
        <v>82</v>
      </c>
      <c r="U247" s="1" t="s">
        <v>82</v>
      </c>
      <c r="V247" s="1" t="s">
        <v>82</v>
      </c>
      <c r="W247" s="1" t="s">
        <v>82</v>
      </c>
      <c r="X247" s="1" t="s">
        <v>4944</v>
      </c>
      <c r="Y247" s="1" t="s">
        <v>4945</v>
      </c>
      <c r="Z247" s="1" t="s">
        <v>4946</v>
      </c>
      <c r="AA247" s="1">
        <v>1</v>
      </c>
      <c r="AB247" s="1" t="s">
        <v>4947</v>
      </c>
      <c r="AC247" s="1" t="s">
        <v>4948</v>
      </c>
      <c r="AD247" s="1" t="s">
        <v>93</v>
      </c>
      <c r="AE247" s="1" t="s">
        <v>4949</v>
      </c>
      <c r="AF247" s="1" t="s">
        <v>4950</v>
      </c>
      <c r="AG247" s="1" t="s">
        <v>4951</v>
      </c>
      <c r="AH247" s="1" t="s">
        <v>82</v>
      </c>
      <c r="AI247" s="1" t="s">
        <v>4952</v>
      </c>
      <c r="AJ247" s="1" t="s">
        <v>4953</v>
      </c>
      <c r="AK247" s="1" t="s">
        <v>4954</v>
      </c>
      <c r="AL247" s="1" t="s">
        <v>4955</v>
      </c>
      <c r="AM247" s="1" t="s">
        <v>82</v>
      </c>
      <c r="AN247" s="1">
        <v>87</v>
      </c>
      <c r="AO247" s="1">
        <v>0</v>
      </c>
      <c r="AP247" s="1">
        <v>0</v>
      </c>
      <c r="AQ247" s="1">
        <v>7</v>
      </c>
      <c r="AR247" s="1">
        <v>9</v>
      </c>
      <c r="AS247" s="1" t="s">
        <v>2117</v>
      </c>
      <c r="AT247" s="1" t="s">
        <v>2118</v>
      </c>
      <c r="AU247" s="1" t="s">
        <v>2119</v>
      </c>
      <c r="AV247" s="1" t="s">
        <v>82</v>
      </c>
      <c r="AW247" s="1" t="s">
        <v>4737</v>
      </c>
      <c r="AX247" s="1" t="s">
        <v>82</v>
      </c>
      <c r="AY247" s="1" t="s">
        <v>4738</v>
      </c>
      <c r="AZ247" s="1" t="s">
        <v>4739</v>
      </c>
      <c r="BA247" s="1" t="s">
        <v>245</v>
      </c>
      <c r="BB247" s="1">
        <v>2022</v>
      </c>
      <c r="BC247" s="1">
        <v>8</v>
      </c>
      <c r="BD247" s="1">
        <v>5</v>
      </c>
      <c r="BE247" s="1" t="s">
        <v>82</v>
      </c>
      <c r="BF247" s="1" t="s">
        <v>82</v>
      </c>
      <c r="BG247" s="1" t="s">
        <v>82</v>
      </c>
      <c r="BH247" s="1" t="s">
        <v>82</v>
      </c>
      <c r="BI247" s="1" t="s">
        <v>82</v>
      </c>
      <c r="BJ247" s="1" t="s">
        <v>82</v>
      </c>
      <c r="BK247" s="1">
        <v>490</v>
      </c>
      <c r="BL247" s="1" t="s">
        <v>4956</v>
      </c>
      <c r="BM247" s="1" t="str">
        <f>HYPERLINK("http://dx.doi.org/10.3390/jof8050490","http://dx.doi.org/10.3390/jof8050490")</f>
        <v>http://dx.doi.org/10.3390/jof8050490</v>
      </c>
      <c r="BN247" s="1" t="s">
        <v>82</v>
      </c>
      <c r="BO247" s="1" t="s">
        <v>82</v>
      </c>
      <c r="BP247" s="1">
        <v>18</v>
      </c>
      <c r="BQ247" s="1" t="s">
        <v>4741</v>
      </c>
      <c r="BR247" s="1" t="s">
        <v>104</v>
      </c>
      <c r="BS247" s="1" t="s">
        <v>4741</v>
      </c>
      <c r="BT247" s="1" t="s">
        <v>4957</v>
      </c>
      <c r="BU247" s="1">
        <v>35628746</v>
      </c>
      <c r="BV247" s="1" t="s">
        <v>635</v>
      </c>
      <c r="BW247" s="1" t="s">
        <v>82</v>
      </c>
      <c r="BX247" s="1" t="s">
        <v>82</v>
      </c>
      <c r="BY247" s="1" t="s">
        <v>108</v>
      </c>
      <c r="BZ247" s="1" t="s">
        <v>4958</v>
      </c>
      <c r="CA247" s="1" t="str">
        <f>HYPERLINK("https%3A%2F%2Fwww.webofscience.com%2Fwos%2Fwoscc%2Ffull-record%2FWOS:000804900800001","View Full Record in Web of Science")</f>
        <v>View Full Record in Web of Science</v>
      </c>
    </row>
    <row r="248" s="1" customFormat="1" ht="14.4" spans="1:79">
      <c r="A248">
        <v>247</v>
      </c>
      <c r="B248" s="2" t="s">
        <v>110</v>
      </c>
      <c r="C248" s="1" t="s">
        <v>80</v>
      </c>
      <c r="D248" s="1" t="s">
        <v>4959</v>
      </c>
      <c r="E248" s="1" t="s">
        <v>82</v>
      </c>
      <c r="F248" s="1" t="s">
        <v>82</v>
      </c>
      <c r="G248" s="1" t="s">
        <v>82</v>
      </c>
      <c r="H248" s="1" t="s">
        <v>4960</v>
      </c>
      <c r="I248" s="1" t="s">
        <v>82</v>
      </c>
      <c r="J248" s="1" t="s">
        <v>82</v>
      </c>
      <c r="K248" s="1" t="s">
        <v>4961</v>
      </c>
      <c r="L248" s="1" t="s">
        <v>4724</v>
      </c>
      <c r="M248" s="1">
        <v>5.724</v>
      </c>
      <c r="O248" s="1" t="s">
        <v>82</v>
      </c>
      <c r="P248" s="1" t="s">
        <v>82</v>
      </c>
      <c r="Q248" s="1" t="s">
        <v>87</v>
      </c>
      <c r="R248" s="1" t="s">
        <v>115</v>
      </c>
      <c r="S248" s="1" t="s">
        <v>82</v>
      </c>
      <c r="T248" s="1" t="s">
        <v>82</v>
      </c>
      <c r="U248" s="1" t="s">
        <v>82</v>
      </c>
      <c r="V248" s="1" t="s">
        <v>82</v>
      </c>
      <c r="W248" s="1" t="s">
        <v>82</v>
      </c>
      <c r="X248" s="1" t="s">
        <v>4962</v>
      </c>
      <c r="Y248" s="1" t="s">
        <v>4362</v>
      </c>
      <c r="Z248" s="1" t="s">
        <v>4963</v>
      </c>
      <c r="AA248" s="1">
        <v>1</v>
      </c>
      <c r="AB248" s="1" t="s">
        <v>4964</v>
      </c>
      <c r="AC248" s="1" t="s">
        <v>4965</v>
      </c>
      <c r="AD248" s="1" t="s">
        <v>93</v>
      </c>
      <c r="AE248" s="1" t="s">
        <v>1630</v>
      </c>
      <c r="AF248" s="1" t="s">
        <v>4966</v>
      </c>
      <c r="AG248" s="1" t="s">
        <v>4967</v>
      </c>
      <c r="AH248" s="1" t="s">
        <v>82</v>
      </c>
      <c r="AI248" s="1" t="s">
        <v>4968</v>
      </c>
      <c r="AJ248" s="1" t="s">
        <v>4969</v>
      </c>
      <c r="AK248" s="1" t="s">
        <v>4970</v>
      </c>
      <c r="AL248" s="1" t="s">
        <v>4971</v>
      </c>
      <c r="AM248" s="1" t="s">
        <v>82</v>
      </c>
      <c r="AN248" s="1">
        <v>28</v>
      </c>
      <c r="AO248" s="1">
        <v>2</v>
      </c>
      <c r="AP248" s="1">
        <v>2</v>
      </c>
      <c r="AQ248" s="1">
        <v>8</v>
      </c>
      <c r="AR248" s="1">
        <v>13</v>
      </c>
      <c r="AS248" s="1" t="s">
        <v>2117</v>
      </c>
      <c r="AT248" s="1" t="s">
        <v>2118</v>
      </c>
      <c r="AU248" s="1" t="s">
        <v>2119</v>
      </c>
      <c r="AV248" s="1" t="s">
        <v>82</v>
      </c>
      <c r="AW248" s="1" t="s">
        <v>4737</v>
      </c>
      <c r="AX248" s="1" t="s">
        <v>82</v>
      </c>
      <c r="AY248" s="1" t="s">
        <v>4738</v>
      </c>
      <c r="AZ248" s="1" t="s">
        <v>4739</v>
      </c>
      <c r="BA248" s="1" t="s">
        <v>245</v>
      </c>
      <c r="BB248" s="1">
        <v>2022</v>
      </c>
      <c r="BC248" s="1">
        <v>8</v>
      </c>
      <c r="BD248" s="1">
        <v>5</v>
      </c>
      <c r="BE248" s="1" t="s">
        <v>82</v>
      </c>
      <c r="BF248" s="1" t="s">
        <v>82</v>
      </c>
      <c r="BG248" s="1" t="s">
        <v>82</v>
      </c>
      <c r="BH248" s="1" t="s">
        <v>82</v>
      </c>
      <c r="BI248" s="1" t="s">
        <v>82</v>
      </c>
      <c r="BJ248" s="1" t="s">
        <v>82</v>
      </c>
      <c r="BK248" s="1">
        <v>543</v>
      </c>
      <c r="BL248" s="1" t="s">
        <v>4972</v>
      </c>
      <c r="BM248" s="1" t="str">
        <f>HYPERLINK("http://dx.doi.org/10.3390/jof8050543","http://dx.doi.org/10.3390/jof8050543")</f>
        <v>http://dx.doi.org/10.3390/jof8050543</v>
      </c>
      <c r="BN248" s="1" t="s">
        <v>82</v>
      </c>
      <c r="BO248" s="1" t="s">
        <v>82</v>
      </c>
      <c r="BP248" s="1">
        <v>10</v>
      </c>
      <c r="BQ248" s="1" t="s">
        <v>4741</v>
      </c>
      <c r="BR248" s="1" t="s">
        <v>104</v>
      </c>
      <c r="BS248" s="1" t="s">
        <v>4741</v>
      </c>
      <c r="BT248" s="1" t="s">
        <v>4973</v>
      </c>
      <c r="BU248" s="1">
        <v>35628798</v>
      </c>
      <c r="BV248" s="1" t="s">
        <v>635</v>
      </c>
      <c r="BW248" s="1" t="s">
        <v>82</v>
      </c>
      <c r="BX248" s="1" t="s">
        <v>82</v>
      </c>
      <c r="BY248" s="1" t="s">
        <v>108</v>
      </c>
      <c r="BZ248" s="1" t="s">
        <v>4974</v>
      </c>
      <c r="CA248" s="1" t="str">
        <f>HYPERLINK("https%3A%2F%2Fwww.webofscience.com%2Fwos%2Fwoscc%2Ffull-record%2FWOS:000801898400001","View Full Record in Web of Science")</f>
        <v>View Full Record in Web of Science</v>
      </c>
    </row>
    <row r="249" s="1" customFormat="1" ht="14.4" spans="1:79">
      <c r="A249">
        <v>248</v>
      </c>
      <c r="B249" s="2" t="s">
        <v>79</v>
      </c>
      <c r="C249" s="1" t="s">
        <v>80</v>
      </c>
      <c r="D249" s="1" t="s">
        <v>4975</v>
      </c>
      <c r="E249" s="1" t="s">
        <v>82</v>
      </c>
      <c r="F249" s="1" t="s">
        <v>82</v>
      </c>
      <c r="G249" s="1" t="s">
        <v>82</v>
      </c>
      <c r="H249" s="1" t="s">
        <v>4976</v>
      </c>
      <c r="I249" s="1" t="s">
        <v>82</v>
      </c>
      <c r="J249" s="1" t="s">
        <v>82</v>
      </c>
      <c r="K249" s="1" t="s">
        <v>4977</v>
      </c>
      <c r="L249" s="1" t="s">
        <v>4724</v>
      </c>
      <c r="M249" s="1">
        <v>5.724</v>
      </c>
      <c r="O249" s="1" t="s">
        <v>82</v>
      </c>
      <c r="P249" s="1" t="s">
        <v>82</v>
      </c>
      <c r="Q249" s="1" t="s">
        <v>87</v>
      </c>
      <c r="R249" s="1" t="s">
        <v>115</v>
      </c>
      <c r="S249" s="1" t="s">
        <v>82</v>
      </c>
      <c r="T249" s="1" t="s">
        <v>82</v>
      </c>
      <c r="U249" s="1" t="s">
        <v>82</v>
      </c>
      <c r="V249" s="1" t="s">
        <v>82</v>
      </c>
      <c r="W249" s="1" t="s">
        <v>82</v>
      </c>
      <c r="X249" s="1" t="s">
        <v>4978</v>
      </c>
      <c r="Y249" s="1" t="s">
        <v>4979</v>
      </c>
      <c r="Z249" s="1" t="s">
        <v>4980</v>
      </c>
      <c r="AB249" s="1" t="s">
        <v>4434</v>
      </c>
      <c r="AC249" s="1" t="s">
        <v>4981</v>
      </c>
      <c r="AD249" s="1" t="s">
        <v>206</v>
      </c>
      <c r="AE249" s="1" t="s">
        <v>4982</v>
      </c>
      <c r="AF249" s="1" t="s">
        <v>4983</v>
      </c>
      <c r="AG249" s="1" t="s">
        <v>4984</v>
      </c>
      <c r="AH249" s="1" t="s">
        <v>82</v>
      </c>
      <c r="AI249" s="1" t="s">
        <v>4823</v>
      </c>
      <c r="AJ249" s="1" t="s">
        <v>4985</v>
      </c>
      <c r="AK249" s="1" t="s">
        <v>4986</v>
      </c>
      <c r="AL249" s="1" t="s">
        <v>4987</v>
      </c>
      <c r="AM249" s="1" t="s">
        <v>82</v>
      </c>
      <c r="AN249" s="1">
        <v>84</v>
      </c>
      <c r="AO249" s="1">
        <v>2</v>
      </c>
      <c r="AP249" s="1">
        <v>3</v>
      </c>
      <c r="AQ249" s="1">
        <v>0</v>
      </c>
      <c r="AR249" s="1">
        <v>2</v>
      </c>
      <c r="AS249" s="1" t="s">
        <v>2117</v>
      </c>
      <c r="AT249" s="1" t="s">
        <v>2118</v>
      </c>
      <c r="AU249" s="1" t="s">
        <v>2119</v>
      </c>
      <c r="AV249" s="1" t="s">
        <v>82</v>
      </c>
      <c r="AW249" s="1" t="s">
        <v>4737</v>
      </c>
      <c r="AX249" s="1" t="s">
        <v>82</v>
      </c>
      <c r="AY249" s="1" t="s">
        <v>4738</v>
      </c>
      <c r="AZ249" s="1" t="s">
        <v>4739</v>
      </c>
      <c r="BA249" s="1" t="s">
        <v>657</v>
      </c>
      <c r="BB249" s="1">
        <v>2022</v>
      </c>
      <c r="BC249" s="1">
        <v>8</v>
      </c>
      <c r="BD249" s="1">
        <v>4</v>
      </c>
      <c r="BE249" s="1" t="s">
        <v>82</v>
      </c>
      <c r="BF249" s="1" t="s">
        <v>82</v>
      </c>
      <c r="BG249" s="1" t="s">
        <v>82</v>
      </c>
      <c r="BH249" s="1" t="s">
        <v>82</v>
      </c>
      <c r="BI249" s="1" t="s">
        <v>82</v>
      </c>
      <c r="BJ249" s="1" t="s">
        <v>82</v>
      </c>
      <c r="BK249" s="1">
        <v>405</v>
      </c>
      <c r="BL249" s="1" t="s">
        <v>4988</v>
      </c>
      <c r="BM249" s="1" t="str">
        <f>HYPERLINK("http://dx.doi.org/10.3390/jof8040405","http://dx.doi.org/10.3390/jof8040405")</f>
        <v>http://dx.doi.org/10.3390/jof8040405</v>
      </c>
      <c r="BN249" s="1" t="s">
        <v>82</v>
      </c>
      <c r="BO249" s="1" t="s">
        <v>82</v>
      </c>
      <c r="BP249" s="1">
        <v>18</v>
      </c>
      <c r="BQ249" s="1" t="s">
        <v>4741</v>
      </c>
      <c r="BR249" s="1" t="s">
        <v>104</v>
      </c>
      <c r="BS249" s="1" t="s">
        <v>4741</v>
      </c>
      <c r="BT249" s="1" t="s">
        <v>4989</v>
      </c>
      <c r="BU249" s="1">
        <v>35448636</v>
      </c>
      <c r="BV249" s="1" t="s">
        <v>592</v>
      </c>
      <c r="BW249" s="1" t="s">
        <v>82</v>
      </c>
      <c r="BX249" s="1" t="s">
        <v>82</v>
      </c>
      <c r="BY249" s="1" t="s">
        <v>108</v>
      </c>
      <c r="BZ249" s="1" t="s">
        <v>4990</v>
      </c>
      <c r="CA249" s="1" t="str">
        <f>HYPERLINK("https%3A%2F%2Fwww.webofscience.com%2Fwos%2Fwoscc%2Ffull-record%2FWOS:000786784300001","View Full Record in Web of Science")</f>
        <v>View Full Record in Web of Science</v>
      </c>
    </row>
    <row r="250" s="1" customFormat="1" ht="14.4" spans="1:79">
      <c r="A250">
        <v>249</v>
      </c>
      <c r="B250" s="2" t="s">
        <v>110</v>
      </c>
      <c r="C250" s="1" t="s">
        <v>80</v>
      </c>
      <c r="D250" s="1" t="s">
        <v>4991</v>
      </c>
      <c r="E250" s="1" t="s">
        <v>82</v>
      </c>
      <c r="F250" s="1" t="s">
        <v>82</v>
      </c>
      <c r="G250" s="1" t="s">
        <v>82</v>
      </c>
      <c r="H250" s="1" t="s">
        <v>4992</v>
      </c>
      <c r="I250" s="1" t="s">
        <v>82</v>
      </c>
      <c r="J250" s="1" t="s">
        <v>82</v>
      </c>
      <c r="K250" s="1" t="s">
        <v>4993</v>
      </c>
      <c r="L250" s="1" t="s">
        <v>4724</v>
      </c>
      <c r="M250" s="1">
        <v>5.724</v>
      </c>
      <c r="O250" s="1" t="s">
        <v>82</v>
      </c>
      <c r="P250" s="1" t="s">
        <v>82</v>
      </c>
      <c r="Q250" s="1" t="s">
        <v>87</v>
      </c>
      <c r="R250" s="1" t="s">
        <v>115</v>
      </c>
      <c r="S250" s="1" t="s">
        <v>82</v>
      </c>
      <c r="T250" s="1" t="s">
        <v>82</v>
      </c>
      <c r="U250" s="1" t="s">
        <v>82</v>
      </c>
      <c r="V250" s="1" t="s">
        <v>82</v>
      </c>
      <c r="W250" s="1" t="s">
        <v>82</v>
      </c>
      <c r="X250" s="1" t="s">
        <v>4994</v>
      </c>
      <c r="Y250" s="1" t="s">
        <v>4995</v>
      </c>
      <c r="Z250" s="1" t="s">
        <v>4996</v>
      </c>
      <c r="AA250" s="1">
        <v>1</v>
      </c>
      <c r="AB250" s="1" t="s">
        <v>4997</v>
      </c>
      <c r="AC250" s="1" t="s">
        <v>4998</v>
      </c>
      <c r="AD250" s="1" t="s">
        <v>93</v>
      </c>
      <c r="AE250" s="1" t="s">
        <v>2596</v>
      </c>
      <c r="AF250" s="1" t="s">
        <v>4999</v>
      </c>
      <c r="AG250" s="1" t="s">
        <v>5000</v>
      </c>
      <c r="AH250" s="1" t="s">
        <v>5001</v>
      </c>
      <c r="AI250" s="1" t="s">
        <v>5002</v>
      </c>
      <c r="AJ250" s="1" t="s">
        <v>5003</v>
      </c>
      <c r="AK250" s="1" t="s">
        <v>5004</v>
      </c>
      <c r="AL250" s="1" t="s">
        <v>5005</v>
      </c>
      <c r="AM250" s="1" t="s">
        <v>82</v>
      </c>
      <c r="AN250" s="1">
        <v>38</v>
      </c>
      <c r="AO250" s="1">
        <v>2</v>
      </c>
      <c r="AP250" s="1">
        <v>2</v>
      </c>
      <c r="AQ250" s="1">
        <v>3</v>
      </c>
      <c r="AR250" s="1">
        <v>7</v>
      </c>
      <c r="AS250" s="1" t="s">
        <v>2117</v>
      </c>
      <c r="AT250" s="1" t="s">
        <v>2118</v>
      </c>
      <c r="AU250" s="1" t="s">
        <v>2119</v>
      </c>
      <c r="AV250" s="1" t="s">
        <v>82</v>
      </c>
      <c r="AW250" s="1" t="s">
        <v>4737</v>
      </c>
      <c r="AX250" s="1" t="s">
        <v>82</v>
      </c>
      <c r="AY250" s="1" t="s">
        <v>4738</v>
      </c>
      <c r="AZ250" s="1" t="s">
        <v>4739</v>
      </c>
      <c r="BA250" s="1" t="s">
        <v>657</v>
      </c>
      <c r="BB250" s="1">
        <v>2022</v>
      </c>
      <c r="BC250" s="1">
        <v>8</v>
      </c>
      <c r="BD250" s="1">
        <v>4</v>
      </c>
      <c r="BE250" s="1" t="s">
        <v>82</v>
      </c>
      <c r="BF250" s="1" t="s">
        <v>82</v>
      </c>
      <c r="BG250" s="1" t="s">
        <v>82</v>
      </c>
      <c r="BH250" s="1" t="s">
        <v>82</v>
      </c>
      <c r="BI250" s="1" t="s">
        <v>82</v>
      </c>
      <c r="BJ250" s="1" t="s">
        <v>82</v>
      </c>
      <c r="BK250" s="1">
        <v>331</v>
      </c>
      <c r="BL250" s="1" t="s">
        <v>5006</v>
      </c>
      <c r="BM250" s="1" t="str">
        <f>HYPERLINK("http://dx.doi.org/10.3390/jof8040331","http://dx.doi.org/10.3390/jof8040331")</f>
        <v>http://dx.doi.org/10.3390/jof8040331</v>
      </c>
      <c r="BN250" s="1" t="s">
        <v>82</v>
      </c>
      <c r="BO250" s="1" t="s">
        <v>82</v>
      </c>
      <c r="BP250" s="1">
        <v>17</v>
      </c>
      <c r="BQ250" s="1" t="s">
        <v>4741</v>
      </c>
      <c r="BR250" s="1" t="s">
        <v>104</v>
      </c>
      <c r="BS250" s="1" t="s">
        <v>4741</v>
      </c>
      <c r="BT250" s="1" t="s">
        <v>5007</v>
      </c>
      <c r="BU250" s="1">
        <v>35448561</v>
      </c>
      <c r="BV250" s="1" t="s">
        <v>635</v>
      </c>
      <c r="BW250" s="1" t="s">
        <v>82</v>
      </c>
      <c r="BX250" s="1" t="s">
        <v>82</v>
      </c>
      <c r="BY250" s="1" t="s">
        <v>108</v>
      </c>
      <c r="BZ250" s="1" t="s">
        <v>5008</v>
      </c>
      <c r="CA250" s="1" t="str">
        <f>HYPERLINK("https%3A%2F%2Fwww.webofscience.com%2Fwos%2Fwoscc%2Ffull-record%2FWOS:000786086000001","View Full Record in Web of Science")</f>
        <v>View Full Record in Web of Science</v>
      </c>
    </row>
    <row r="251" s="1" customFormat="1" ht="14.4" spans="1:79">
      <c r="A251">
        <v>250</v>
      </c>
      <c r="B251" s="2" t="s">
        <v>79</v>
      </c>
      <c r="C251" s="1" t="s">
        <v>80</v>
      </c>
      <c r="D251" s="1" t="s">
        <v>5009</v>
      </c>
      <c r="E251" s="1" t="s">
        <v>82</v>
      </c>
      <c r="F251" s="1" t="s">
        <v>82</v>
      </c>
      <c r="G251" s="1" t="s">
        <v>82</v>
      </c>
      <c r="H251" s="1" t="s">
        <v>5010</v>
      </c>
      <c r="I251" s="1" t="s">
        <v>82</v>
      </c>
      <c r="J251" s="1" t="s">
        <v>82</v>
      </c>
      <c r="K251" s="1" t="s">
        <v>5011</v>
      </c>
      <c r="L251" s="1" t="s">
        <v>4724</v>
      </c>
      <c r="M251" s="1">
        <v>5.724</v>
      </c>
      <c r="O251" s="1" t="s">
        <v>82</v>
      </c>
      <c r="P251" s="1" t="s">
        <v>82</v>
      </c>
      <c r="Q251" s="1" t="s">
        <v>87</v>
      </c>
      <c r="R251" s="1" t="s">
        <v>115</v>
      </c>
      <c r="S251" s="1" t="s">
        <v>82</v>
      </c>
      <c r="T251" s="1" t="s">
        <v>82</v>
      </c>
      <c r="U251" s="1" t="s">
        <v>82</v>
      </c>
      <c r="V251" s="1" t="s">
        <v>82</v>
      </c>
      <c r="W251" s="1" t="s">
        <v>82</v>
      </c>
      <c r="X251" s="1" t="s">
        <v>5012</v>
      </c>
      <c r="Y251" s="1" t="s">
        <v>5013</v>
      </c>
      <c r="Z251" s="1" t="s">
        <v>5014</v>
      </c>
      <c r="AA251" s="1">
        <v>1</v>
      </c>
      <c r="AB251" s="1" t="s">
        <v>4481</v>
      </c>
      <c r="AC251" s="1" t="s">
        <v>5015</v>
      </c>
      <c r="AD251" s="1" t="s">
        <v>93</v>
      </c>
      <c r="AE251" s="1" t="s">
        <v>5016</v>
      </c>
      <c r="AF251" s="1" t="s">
        <v>5017</v>
      </c>
      <c r="AG251" s="1" t="s">
        <v>5018</v>
      </c>
      <c r="AH251" s="1" t="s">
        <v>801</v>
      </c>
      <c r="AI251" s="1" t="s">
        <v>802</v>
      </c>
      <c r="AJ251" s="1" t="s">
        <v>5019</v>
      </c>
      <c r="AK251" s="1" t="s">
        <v>5020</v>
      </c>
      <c r="AL251" s="1" t="s">
        <v>5021</v>
      </c>
      <c r="AM251" s="1" t="s">
        <v>82</v>
      </c>
      <c r="AN251" s="1">
        <v>60</v>
      </c>
      <c r="AO251" s="1">
        <v>3</v>
      </c>
      <c r="AP251" s="1">
        <v>3</v>
      </c>
      <c r="AQ251" s="1">
        <v>2</v>
      </c>
      <c r="AR251" s="1">
        <v>3</v>
      </c>
      <c r="AS251" s="1" t="s">
        <v>2117</v>
      </c>
      <c r="AT251" s="1" t="s">
        <v>2118</v>
      </c>
      <c r="AU251" s="1" t="s">
        <v>2119</v>
      </c>
      <c r="AV251" s="1" t="s">
        <v>82</v>
      </c>
      <c r="AW251" s="1" t="s">
        <v>4737</v>
      </c>
      <c r="AX251" s="1" t="s">
        <v>82</v>
      </c>
      <c r="AY251" s="1" t="s">
        <v>4738</v>
      </c>
      <c r="AZ251" s="1" t="s">
        <v>4739</v>
      </c>
      <c r="BA251" s="1" t="s">
        <v>657</v>
      </c>
      <c r="BB251" s="1">
        <v>2022</v>
      </c>
      <c r="BC251" s="1">
        <v>8</v>
      </c>
      <c r="BD251" s="1">
        <v>4</v>
      </c>
      <c r="BE251" s="1" t="s">
        <v>82</v>
      </c>
      <c r="BF251" s="1" t="s">
        <v>82</v>
      </c>
      <c r="BG251" s="1" t="s">
        <v>82</v>
      </c>
      <c r="BH251" s="1" t="s">
        <v>82</v>
      </c>
      <c r="BI251" s="1" t="s">
        <v>82</v>
      </c>
      <c r="BJ251" s="1" t="s">
        <v>82</v>
      </c>
      <c r="BK251" s="1">
        <v>375</v>
      </c>
      <c r="BL251" s="1" t="s">
        <v>5022</v>
      </c>
      <c r="BM251" s="1" t="str">
        <f>HYPERLINK("http://dx.doi.org/10.3390/jof8040375","http://dx.doi.org/10.3390/jof8040375")</f>
        <v>http://dx.doi.org/10.3390/jof8040375</v>
      </c>
      <c r="BN251" s="1" t="s">
        <v>82</v>
      </c>
      <c r="BO251" s="1" t="s">
        <v>82</v>
      </c>
      <c r="BP251" s="1">
        <v>21</v>
      </c>
      <c r="BQ251" s="1" t="s">
        <v>4741</v>
      </c>
      <c r="BR251" s="1" t="s">
        <v>104</v>
      </c>
      <c r="BS251" s="1" t="s">
        <v>4741</v>
      </c>
      <c r="BT251" s="1" t="s">
        <v>5023</v>
      </c>
      <c r="BU251" s="1">
        <v>35448606</v>
      </c>
      <c r="BV251" s="1" t="s">
        <v>592</v>
      </c>
      <c r="BW251" s="1" t="s">
        <v>82</v>
      </c>
      <c r="BX251" s="1" t="s">
        <v>82</v>
      </c>
      <c r="BY251" s="1" t="s">
        <v>108</v>
      </c>
      <c r="BZ251" s="1" t="s">
        <v>5024</v>
      </c>
      <c r="CA251" s="1" t="str">
        <f>HYPERLINK("https%3A%2F%2Fwww.webofscience.com%2Fwos%2Fwoscc%2Ffull-record%2FWOS:000785374300001","View Full Record in Web of Science")</f>
        <v>View Full Record in Web of Science</v>
      </c>
    </row>
    <row r="252" s="1" customFormat="1" ht="14.4" spans="1:79">
      <c r="A252">
        <v>251</v>
      </c>
      <c r="B252" s="2" t="s">
        <v>79</v>
      </c>
      <c r="C252" s="1" t="s">
        <v>80</v>
      </c>
      <c r="D252" s="1" t="s">
        <v>5025</v>
      </c>
      <c r="E252" s="1" t="s">
        <v>82</v>
      </c>
      <c r="F252" s="1" t="s">
        <v>82</v>
      </c>
      <c r="G252" s="1" t="s">
        <v>82</v>
      </c>
      <c r="H252" s="1" t="s">
        <v>5026</v>
      </c>
      <c r="I252" s="1" t="s">
        <v>82</v>
      </c>
      <c r="J252" s="1" t="s">
        <v>82</v>
      </c>
      <c r="K252" s="1" t="s">
        <v>5027</v>
      </c>
      <c r="L252" s="1" t="s">
        <v>4724</v>
      </c>
      <c r="M252" s="1">
        <v>5.724</v>
      </c>
      <c r="O252" s="1" t="s">
        <v>82</v>
      </c>
      <c r="P252" s="1" t="s">
        <v>82</v>
      </c>
      <c r="Q252" s="1" t="s">
        <v>87</v>
      </c>
      <c r="R252" s="1" t="s">
        <v>115</v>
      </c>
      <c r="S252" s="1" t="s">
        <v>82</v>
      </c>
      <c r="T252" s="1" t="s">
        <v>82</v>
      </c>
      <c r="U252" s="1" t="s">
        <v>82</v>
      </c>
      <c r="V252" s="1" t="s">
        <v>82</v>
      </c>
      <c r="W252" s="1" t="s">
        <v>82</v>
      </c>
      <c r="X252" s="1" t="s">
        <v>5028</v>
      </c>
      <c r="Y252" s="1" t="s">
        <v>5029</v>
      </c>
      <c r="Z252" s="1" t="s">
        <v>5030</v>
      </c>
      <c r="AB252" s="1" t="s">
        <v>5031</v>
      </c>
      <c r="AC252" s="1" t="s">
        <v>5032</v>
      </c>
      <c r="AD252" s="1" t="s">
        <v>120</v>
      </c>
      <c r="AE252" s="1" t="s">
        <v>5033</v>
      </c>
      <c r="AF252" s="1" t="s">
        <v>5034</v>
      </c>
      <c r="AG252" s="1" t="s">
        <v>5035</v>
      </c>
      <c r="AH252" s="1" t="s">
        <v>5036</v>
      </c>
      <c r="AI252" s="1" t="s">
        <v>5037</v>
      </c>
      <c r="AJ252" s="1" t="s">
        <v>5038</v>
      </c>
      <c r="AK252" s="1" t="s">
        <v>5039</v>
      </c>
      <c r="AL252" s="1" t="s">
        <v>5040</v>
      </c>
      <c r="AM252" s="1" t="s">
        <v>82</v>
      </c>
      <c r="AN252" s="1">
        <v>69</v>
      </c>
      <c r="AO252" s="1">
        <v>2</v>
      </c>
      <c r="AP252" s="1">
        <v>2</v>
      </c>
      <c r="AQ252" s="1">
        <v>8</v>
      </c>
      <c r="AR252" s="1">
        <v>14</v>
      </c>
      <c r="AS252" s="1" t="s">
        <v>2117</v>
      </c>
      <c r="AT252" s="1" t="s">
        <v>2118</v>
      </c>
      <c r="AU252" s="1" t="s">
        <v>2119</v>
      </c>
      <c r="AV252" s="1" t="s">
        <v>82</v>
      </c>
      <c r="AW252" s="1" t="s">
        <v>4737</v>
      </c>
      <c r="AX252" s="1" t="s">
        <v>82</v>
      </c>
      <c r="AY252" s="1" t="s">
        <v>4738</v>
      </c>
      <c r="AZ252" s="1" t="s">
        <v>4739</v>
      </c>
      <c r="BA252" s="1" t="s">
        <v>2145</v>
      </c>
      <c r="BB252" s="1">
        <v>2022</v>
      </c>
      <c r="BC252" s="1">
        <v>8</v>
      </c>
      <c r="BD252" s="1">
        <v>3</v>
      </c>
      <c r="BE252" s="1" t="s">
        <v>82</v>
      </c>
      <c r="BF252" s="1" t="s">
        <v>82</v>
      </c>
      <c r="BG252" s="1" t="s">
        <v>82</v>
      </c>
      <c r="BH252" s="1" t="s">
        <v>82</v>
      </c>
      <c r="BI252" s="1" t="s">
        <v>82</v>
      </c>
      <c r="BJ252" s="1" t="s">
        <v>82</v>
      </c>
      <c r="BK252" s="1">
        <v>243</v>
      </c>
      <c r="BL252" s="1" t="s">
        <v>5041</v>
      </c>
      <c r="BM252" s="1" t="str">
        <f>HYPERLINK("http://dx.doi.org/10.3390/jof8030243","http://dx.doi.org/10.3390/jof8030243")</f>
        <v>http://dx.doi.org/10.3390/jof8030243</v>
      </c>
      <c r="BN252" s="1" t="s">
        <v>82</v>
      </c>
      <c r="BO252" s="1" t="s">
        <v>82</v>
      </c>
      <c r="BP252" s="1">
        <v>30</v>
      </c>
      <c r="BQ252" s="1" t="s">
        <v>4741</v>
      </c>
      <c r="BR252" s="1" t="s">
        <v>104</v>
      </c>
      <c r="BS252" s="1" t="s">
        <v>4741</v>
      </c>
      <c r="BT252" s="1" t="s">
        <v>5042</v>
      </c>
      <c r="BU252" s="1">
        <v>35330245</v>
      </c>
      <c r="BV252" s="1" t="s">
        <v>592</v>
      </c>
      <c r="BW252" s="1" t="s">
        <v>82</v>
      </c>
      <c r="BX252" s="1" t="s">
        <v>82</v>
      </c>
      <c r="BY252" s="1" t="s">
        <v>108</v>
      </c>
      <c r="BZ252" s="1" t="s">
        <v>5043</v>
      </c>
      <c r="CA252" s="1" t="str">
        <f>HYPERLINK("https%3A%2F%2Fwww.webofscience.com%2Fwos%2Fwoscc%2Ffull-record%2FWOS:000774997400001","View Full Record in Web of Science")</f>
        <v>View Full Record in Web of Science</v>
      </c>
    </row>
    <row r="253" s="1" customFormat="1" ht="14.4" spans="1:79">
      <c r="A253">
        <v>252</v>
      </c>
      <c r="B253" s="2" t="s">
        <v>79</v>
      </c>
      <c r="C253" s="1" t="s">
        <v>80</v>
      </c>
      <c r="D253" s="1" t="s">
        <v>5044</v>
      </c>
      <c r="E253" s="1" t="s">
        <v>82</v>
      </c>
      <c r="F253" s="1" t="s">
        <v>82</v>
      </c>
      <c r="G253" s="1" t="s">
        <v>82</v>
      </c>
      <c r="H253" s="1" t="s">
        <v>5045</v>
      </c>
      <c r="I253" s="1" t="s">
        <v>82</v>
      </c>
      <c r="J253" s="1" t="s">
        <v>82</v>
      </c>
      <c r="K253" s="1" t="s">
        <v>5046</v>
      </c>
      <c r="L253" s="1" t="s">
        <v>4724</v>
      </c>
      <c r="M253" s="1">
        <v>5.724</v>
      </c>
      <c r="O253" s="1" t="s">
        <v>82</v>
      </c>
      <c r="P253" s="1" t="s">
        <v>82</v>
      </c>
      <c r="Q253" s="1" t="s">
        <v>87</v>
      </c>
      <c r="R253" s="1" t="s">
        <v>115</v>
      </c>
      <c r="S253" s="1" t="s">
        <v>82</v>
      </c>
      <c r="T253" s="1" t="s">
        <v>82</v>
      </c>
      <c r="U253" s="1" t="s">
        <v>82</v>
      </c>
      <c r="V253" s="1" t="s">
        <v>82</v>
      </c>
      <c r="W253" s="1" t="s">
        <v>82</v>
      </c>
      <c r="X253" s="1" t="s">
        <v>5047</v>
      </c>
      <c r="Y253" s="1" t="s">
        <v>5048</v>
      </c>
      <c r="Z253" s="1" t="s">
        <v>5049</v>
      </c>
      <c r="AA253" s="1">
        <v>1</v>
      </c>
      <c r="AB253" s="1" t="s">
        <v>5050</v>
      </c>
      <c r="AC253" s="1" t="s">
        <v>5051</v>
      </c>
      <c r="AD253" s="1" t="s">
        <v>93</v>
      </c>
      <c r="AE253" s="1" t="s">
        <v>5052</v>
      </c>
      <c r="AF253" s="1" t="s">
        <v>5053</v>
      </c>
      <c r="AG253" s="1" t="s">
        <v>5054</v>
      </c>
      <c r="AH253" s="1" t="s">
        <v>5055</v>
      </c>
      <c r="AI253" s="1" t="s">
        <v>5056</v>
      </c>
      <c r="AJ253" s="1" t="s">
        <v>5057</v>
      </c>
      <c r="AK253" s="1" t="s">
        <v>5058</v>
      </c>
      <c r="AL253" s="1" t="s">
        <v>5059</v>
      </c>
      <c r="AM253" s="1" t="s">
        <v>82</v>
      </c>
      <c r="AN253" s="1">
        <v>71</v>
      </c>
      <c r="AO253" s="1">
        <v>5</v>
      </c>
      <c r="AP253" s="1">
        <v>5</v>
      </c>
      <c r="AQ253" s="1">
        <v>14</v>
      </c>
      <c r="AR253" s="1">
        <v>25</v>
      </c>
      <c r="AS253" s="1" t="s">
        <v>2117</v>
      </c>
      <c r="AT253" s="1" t="s">
        <v>2118</v>
      </c>
      <c r="AU253" s="1" t="s">
        <v>2119</v>
      </c>
      <c r="AV253" s="1" t="s">
        <v>82</v>
      </c>
      <c r="AW253" s="1" t="s">
        <v>4737</v>
      </c>
      <c r="AX253" s="1" t="s">
        <v>82</v>
      </c>
      <c r="AY253" s="1" t="s">
        <v>4738</v>
      </c>
      <c r="AZ253" s="1" t="s">
        <v>4739</v>
      </c>
      <c r="BA253" s="1" t="s">
        <v>2145</v>
      </c>
      <c r="BB253" s="1">
        <v>2022</v>
      </c>
      <c r="BC253" s="1">
        <v>8</v>
      </c>
      <c r="BD253" s="1">
        <v>3</v>
      </c>
      <c r="BE253" s="1" t="s">
        <v>82</v>
      </c>
      <c r="BF253" s="1" t="s">
        <v>82</v>
      </c>
      <c r="BG253" s="1" t="s">
        <v>82</v>
      </c>
      <c r="BH253" s="1" t="s">
        <v>82</v>
      </c>
      <c r="BI253" s="1" t="s">
        <v>82</v>
      </c>
      <c r="BJ253" s="1" t="s">
        <v>82</v>
      </c>
      <c r="BK253" s="1">
        <v>299</v>
      </c>
      <c r="BL253" s="1" t="s">
        <v>5060</v>
      </c>
      <c r="BM253" s="1" t="str">
        <f>HYPERLINK("http://dx.doi.org/10.3390/jof8030299","http://dx.doi.org/10.3390/jof8030299")</f>
        <v>http://dx.doi.org/10.3390/jof8030299</v>
      </c>
      <c r="BN253" s="1" t="s">
        <v>82</v>
      </c>
      <c r="BO253" s="1" t="s">
        <v>82</v>
      </c>
      <c r="BP253" s="1">
        <v>16</v>
      </c>
      <c r="BQ253" s="1" t="s">
        <v>4741</v>
      </c>
      <c r="BR253" s="1" t="s">
        <v>104</v>
      </c>
      <c r="BS253" s="1" t="s">
        <v>4741</v>
      </c>
      <c r="BT253" s="1" t="s">
        <v>5061</v>
      </c>
      <c r="BU253" s="1">
        <v>35330300</v>
      </c>
      <c r="BV253" s="1" t="s">
        <v>592</v>
      </c>
      <c r="BW253" s="1" t="s">
        <v>82</v>
      </c>
      <c r="BX253" s="1" t="s">
        <v>82</v>
      </c>
      <c r="BY253" s="1" t="s">
        <v>108</v>
      </c>
      <c r="BZ253" s="1" t="s">
        <v>5062</v>
      </c>
      <c r="CA253" s="1" t="str">
        <f>HYPERLINK("https%3A%2F%2Fwww.webofscience.com%2Fwos%2Fwoscc%2Ffull-record%2FWOS:000775036200001","View Full Record in Web of Science")</f>
        <v>View Full Record in Web of Science</v>
      </c>
    </row>
    <row r="254" s="1" customFormat="1" ht="14.4" spans="1:79">
      <c r="A254">
        <v>253</v>
      </c>
      <c r="B254" s="2" t="s">
        <v>79</v>
      </c>
      <c r="C254" s="1" t="s">
        <v>80</v>
      </c>
      <c r="D254" s="1" t="s">
        <v>5063</v>
      </c>
      <c r="E254" s="1" t="s">
        <v>82</v>
      </c>
      <c r="F254" s="1" t="s">
        <v>82</v>
      </c>
      <c r="G254" s="1" t="s">
        <v>82</v>
      </c>
      <c r="H254" s="1" t="s">
        <v>5064</v>
      </c>
      <c r="I254" s="1" t="s">
        <v>82</v>
      </c>
      <c r="J254" s="1" t="s">
        <v>82</v>
      </c>
      <c r="K254" s="1" t="s">
        <v>5065</v>
      </c>
      <c r="L254" s="1" t="s">
        <v>4724</v>
      </c>
      <c r="M254" s="1">
        <v>5.724</v>
      </c>
      <c r="O254" s="1" t="s">
        <v>82</v>
      </c>
      <c r="P254" s="1" t="s">
        <v>82</v>
      </c>
      <c r="Q254" s="1" t="s">
        <v>87</v>
      </c>
      <c r="R254" s="1" t="s">
        <v>115</v>
      </c>
      <c r="S254" s="1" t="s">
        <v>82</v>
      </c>
      <c r="T254" s="1" t="s">
        <v>82</v>
      </c>
      <c r="U254" s="1" t="s">
        <v>82</v>
      </c>
      <c r="V254" s="1" t="s">
        <v>82</v>
      </c>
      <c r="W254" s="1" t="s">
        <v>82</v>
      </c>
      <c r="X254" s="1" t="s">
        <v>5066</v>
      </c>
      <c r="Y254" s="1" t="s">
        <v>5067</v>
      </c>
      <c r="Z254" s="1" t="s">
        <v>5068</v>
      </c>
      <c r="AB254" s="1" t="s">
        <v>5031</v>
      </c>
      <c r="AC254" s="1" t="s">
        <v>5069</v>
      </c>
      <c r="AD254" s="1" t="s">
        <v>206</v>
      </c>
      <c r="AE254" s="1" t="s">
        <v>5070</v>
      </c>
      <c r="AF254" s="1" t="s">
        <v>5071</v>
      </c>
      <c r="AG254" s="1" t="s">
        <v>5072</v>
      </c>
      <c r="AH254" s="1" t="s">
        <v>5073</v>
      </c>
      <c r="AI254" s="1" t="s">
        <v>5074</v>
      </c>
      <c r="AJ254" s="1" t="s">
        <v>5075</v>
      </c>
      <c r="AK254" s="1" t="s">
        <v>5076</v>
      </c>
      <c r="AL254" s="1" t="s">
        <v>5077</v>
      </c>
      <c r="AM254" s="1" t="s">
        <v>82</v>
      </c>
      <c r="AN254" s="1">
        <v>107</v>
      </c>
      <c r="AO254" s="1">
        <v>6</v>
      </c>
      <c r="AP254" s="1">
        <v>6</v>
      </c>
      <c r="AQ254" s="1">
        <v>3</v>
      </c>
      <c r="AR254" s="1">
        <v>3</v>
      </c>
      <c r="AS254" s="1" t="s">
        <v>2117</v>
      </c>
      <c r="AT254" s="1" t="s">
        <v>2118</v>
      </c>
      <c r="AU254" s="1" t="s">
        <v>2119</v>
      </c>
      <c r="AV254" s="1" t="s">
        <v>82</v>
      </c>
      <c r="AW254" s="1" t="s">
        <v>4737</v>
      </c>
      <c r="AX254" s="1" t="s">
        <v>82</v>
      </c>
      <c r="AY254" s="1" t="s">
        <v>4738</v>
      </c>
      <c r="AZ254" s="1" t="s">
        <v>4739</v>
      </c>
      <c r="BA254" s="1" t="s">
        <v>397</v>
      </c>
      <c r="BB254" s="1">
        <v>2022</v>
      </c>
      <c r="BC254" s="1">
        <v>8</v>
      </c>
      <c r="BD254" s="1">
        <v>2</v>
      </c>
      <c r="BE254" s="1" t="s">
        <v>82</v>
      </c>
      <c r="BF254" s="1" t="s">
        <v>82</v>
      </c>
      <c r="BG254" s="1" t="s">
        <v>82</v>
      </c>
      <c r="BH254" s="1" t="s">
        <v>82</v>
      </c>
      <c r="BI254" s="1" t="s">
        <v>82</v>
      </c>
      <c r="BJ254" s="1" t="s">
        <v>82</v>
      </c>
      <c r="BK254" s="1">
        <v>152</v>
      </c>
      <c r="BL254" s="1" t="s">
        <v>5078</v>
      </c>
      <c r="BM254" s="1" t="str">
        <f>HYPERLINK("http://dx.doi.org/10.3390/jof8020152","http://dx.doi.org/10.3390/jof8020152")</f>
        <v>http://dx.doi.org/10.3390/jof8020152</v>
      </c>
      <c r="BN254" s="1" t="s">
        <v>82</v>
      </c>
      <c r="BO254" s="1" t="s">
        <v>82</v>
      </c>
      <c r="BP254" s="1">
        <v>39</v>
      </c>
      <c r="BQ254" s="1" t="s">
        <v>4741</v>
      </c>
      <c r="BR254" s="1" t="s">
        <v>104</v>
      </c>
      <c r="BS254" s="1" t="s">
        <v>4741</v>
      </c>
      <c r="BT254" s="1" t="s">
        <v>5079</v>
      </c>
      <c r="BU254" s="1">
        <v>35205906</v>
      </c>
      <c r="BV254" s="1" t="s">
        <v>635</v>
      </c>
      <c r="BW254" s="1" t="s">
        <v>82</v>
      </c>
      <c r="BX254" s="1" t="s">
        <v>82</v>
      </c>
      <c r="BY254" s="1" t="s">
        <v>108</v>
      </c>
      <c r="BZ254" s="1" t="s">
        <v>5080</v>
      </c>
      <c r="CA254" s="1" t="str">
        <f>HYPERLINK("https%3A%2F%2Fwww.webofscience.com%2Fwos%2Fwoscc%2Ffull-record%2FWOS:000774396400001","View Full Record in Web of Science")</f>
        <v>View Full Record in Web of Science</v>
      </c>
    </row>
    <row r="255" s="1" customFormat="1" ht="14.4" spans="1:79">
      <c r="A255">
        <v>254</v>
      </c>
      <c r="B255" s="2" t="s">
        <v>79</v>
      </c>
      <c r="C255" s="1" t="s">
        <v>80</v>
      </c>
      <c r="D255" s="1" t="s">
        <v>5081</v>
      </c>
      <c r="E255" s="1" t="s">
        <v>82</v>
      </c>
      <c r="F255" s="1" t="s">
        <v>82</v>
      </c>
      <c r="G255" s="1" t="s">
        <v>82</v>
      </c>
      <c r="H255" s="1" t="s">
        <v>5082</v>
      </c>
      <c r="I255" s="1" t="s">
        <v>82</v>
      </c>
      <c r="J255" s="1" t="s">
        <v>82</v>
      </c>
      <c r="K255" s="1" t="s">
        <v>5083</v>
      </c>
      <c r="L255" s="1" t="s">
        <v>4724</v>
      </c>
      <c r="M255" s="1">
        <v>5.724</v>
      </c>
      <c r="O255" s="1" t="s">
        <v>82</v>
      </c>
      <c r="P255" s="1" t="s">
        <v>82</v>
      </c>
      <c r="Q255" s="1" t="s">
        <v>87</v>
      </c>
      <c r="R255" s="1" t="s">
        <v>115</v>
      </c>
      <c r="S255" s="1" t="s">
        <v>82</v>
      </c>
      <c r="T255" s="1" t="s">
        <v>82</v>
      </c>
      <c r="U255" s="1" t="s">
        <v>82</v>
      </c>
      <c r="V255" s="1" t="s">
        <v>82</v>
      </c>
      <c r="W255" s="1" t="s">
        <v>82</v>
      </c>
      <c r="X255" s="1" t="s">
        <v>5084</v>
      </c>
      <c r="Y255" s="1" t="s">
        <v>5085</v>
      </c>
      <c r="Z255" s="1" t="s">
        <v>5086</v>
      </c>
      <c r="AB255" s="1" t="s">
        <v>5087</v>
      </c>
      <c r="AC255" s="1" t="s">
        <v>5088</v>
      </c>
      <c r="AD255" s="1" t="s">
        <v>120</v>
      </c>
      <c r="AE255" s="1" t="s">
        <v>5089</v>
      </c>
      <c r="AF255" s="1" t="s">
        <v>5090</v>
      </c>
      <c r="AG255" s="1" t="s">
        <v>5091</v>
      </c>
      <c r="AH255" s="1" t="s">
        <v>5092</v>
      </c>
      <c r="AI255" s="1" t="s">
        <v>5093</v>
      </c>
      <c r="AJ255" s="1" t="s">
        <v>5094</v>
      </c>
      <c r="AK255" s="1" t="s">
        <v>5095</v>
      </c>
      <c r="AL255" s="1" t="s">
        <v>5096</v>
      </c>
      <c r="AM255" s="1" t="s">
        <v>82</v>
      </c>
      <c r="AN255" s="1">
        <v>21</v>
      </c>
      <c r="AO255" s="1">
        <v>2</v>
      </c>
      <c r="AP255" s="1">
        <v>2</v>
      </c>
      <c r="AQ255" s="1">
        <v>1</v>
      </c>
      <c r="AR255" s="1">
        <v>6</v>
      </c>
      <c r="AS255" s="1" t="s">
        <v>2117</v>
      </c>
      <c r="AT255" s="1" t="s">
        <v>2118</v>
      </c>
      <c r="AU255" s="1" t="s">
        <v>2119</v>
      </c>
      <c r="AV255" s="1" t="s">
        <v>82</v>
      </c>
      <c r="AW255" s="1" t="s">
        <v>4737</v>
      </c>
      <c r="AX255" s="1" t="s">
        <v>82</v>
      </c>
      <c r="AY255" s="1" t="s">
        <v>4738</v>
      </c>
      <c r="AZ255" s="1" t="s">
        <v>4739</v>
      </c>
      <c r="BA255" s="1" t="s">
        <v>397</v>
      </c>
      <c r="BB255" s="1">
        <v>2022</v>
      </c>
      <c r="BC255" s="1">
        <v>8</v>
      </c>
      <c r="BD255" s="1">
        <v>2</v>
      </c>
      <c r="BE255" s="1" t="s">
        <v>82</v>
      </c>
      <c r="BF255" s="1" t="s">
        <v>82</v>
      </c>
      <c r="BG255" s="1" t="s">
        <v>82</v>
      </c>
      <c r="BH255" s="1" t="s">
        <v>82</v>
      </c>
      <c r="BI255" s="1" t="s">
        <v>82</v>
      </c>
      <c r="BJ255" s="1" t="s">
        <v>82</v>
      </c>
      <c r="BK255" s="1">
        <v>108</v>
      </c>
      <c r="BL255" s="1" t="s">
        <v>5097</v>
      </c>
      <c r="BM255" s="1" t="str">
        <f>HYPERLINK("http://dx.doi.org/10.3390/jof8020108","http://dx.doi.org/10.3390/jof8020108")</f>
        <v>http://dx.doi.org/10.3390/jof8020108</v>
      </c>
      <c r="BN255" s="1" t="s">
        <v>82</v>
      </c>
      <c r="BO255" s="1" t="s">
        <v>82</v>
      </c>
      <c r="BP255" s="1">
        <v>17</v>
      </c>
      <c r="BQ255" s="1" t="s">
        <v>4741</v>
      </c>
      <c r="BR255" s="1" t="s">
        <v>104</v>
      </c>
      <c r="BS255" s="1" t="s">
        <v>4741</v>
      </c>
      <c r="BT255" s="1" t="s">
        <v>5098</v>
      </c>
      <c r="BU255" s="1">
        <v>35205862</v>
      </c>
      <c r="BV255" s="1" t="s">
        <v>635</v>
      </c>
      <c r="BW255" s="1" t="s">
        <v>82</v>
      </c>
      <c r="BX255" s="1" t="s">
        <v>82</v>
      </c>
      <c r="BY255" s="1" t="s">
        <v>108</v>
      </c>
      <c r="BZ255" s="1" t="s">
        <v>5099</v>
      </c>
      <c r="CA255" s="1" t="str">
        <f>HYPERLINK("https%3A%2F%2Fwww.webofscience.com%2Fwos%2Fwoscc%2Ffull-record%2FWOS:000770674900001","View Full Record in Web of Science")</f>
        <v>View Full Record in Web of Science</v>
      </c>
    </row>
    <row r="256" s="1" customFormat="1" ht="14.4" spans="1:79">
      <c r="A256">
        <v>255</v>
      </c>
      <c r="B256" s="2" t="s">
        <v>79</v>
      </c>
      <c r="C256" s="1" t="s">
        <v>80</v>
      </c>
      <c r="D256" s="1" t="s">
        <v>5100</v>
      </c>
      <c r="E256" s="1" t="s">
        <v>82</v>
      </c>
      <c r="F256" s="1" t="s">
        <v>82</v>
      </c>
      <c r="G256" s="1" t="s">
        <v>82</v>
      </c>
      <c r="H256" s="1" t="s">
        <v>5101</v>
      </c>
      <c r="I256" s="1" t="s">
        <v>82</v>
      </c>
      <c r="J256" s="1" t="s">
        <v>82</v>
      </c>
      <c r="K256" s="1" t="s">
        <v>5102</v>
      </c>
      <c r="L256" s="1" t="s">
        <v>4724</v>
      </c>
      <c r="M256" s="1">
        <v>5.724</v>
      </c>
      <c r="O256" s="1" t="s">
        <v>82</v>
      </c>
      <c r="P256" s="1" t="s">
        <v>82</v>
      </c>
      <c r="Q256" s="1" t="s">
        <v>87</v>
      </c>
      <c r="R256" s="1" t="s">
        <v>115</v>
      </c>
      <c r="S256" s="1" t="s">
        <v>82</v>
      </c>
      <c r="T256" s="1" t="s">
        <v>82</v>
      </c>
      <c r="U256" s="1" t="s">
        <v>82</v>
      </c>
      <c r="V256" s="1" t="s">
        <v>82</v>
      </c>
      <c r="W256" s="1" t="s">
        <v>82</v>
      </c>
      <c r="X256" s="1" t="s">
        <v>5103</v>
      </c>
      <c r="Y256" s="1" t="s">
        <v>5104</v>
      </c>
      <c r="Z256" s="1" t="s">
        <v>5105</v>
      </c>
      <c r="AB256" s="1" t="s">
        <v>5106</v>
      </c>
      <c r="AC256" s="1" t="s">
        <v>5107</v>
      </c>
      <c r="AD256" s="1" t="s">
        <v>206</v>
      </c>
      <c r="AE256" s="1" t="s">
        <v>5108</v>
      </c>
      <c r="AF256" s="1" t="s">
        <v>5109</v>
      </c>
      <c r="AG256" s="1" t="s">
        <v>5110</v>
      </c>
      <c r="AH256" s="1" t="s">
        <v>5111</v>
      </c>
      <c r="AI256" s="1" t="s">
        <v>5112</v>
      </c>
      <c r="AJ256" s="1" t="s">
        <v>5113</v>
      </c>
      <c r="AK256" s="1" t="s">
        <v>5114</v>
      </c>
      <c r="AL256" s="1" t="s">
        <v>5115</v>
      </c>
      <c r="AM256" s="1" t="s">
        <v>82</v>
      </c>
      <c r="AN256" s="1">
        <v>60</v>
      </c>
      <c r="AO256" s="1">
        <v>2</v>
      </c>
      <c r="AP256" s="1">
        <v>2</v>
      </c>
      <c r="AQ256" s="1">
        <v>2</v>
      </c>
      <c r="AR256" s="1">
        <v>3</v>
      </c>
      <c r="AS256" s="1" t="s">
        <v>2117</v>
      </c>
      <c r="AT256" s="1" t="s">
        <v>2118</v>
      </c>
      <c r="AU256" s="1" t="s">
        <v>2119</v>
      </c>
      <c r="AV256" s="1" t="s">
        <v>82</v>
      </c>
      <c r="AW256" s="1" t="s">
        <v>4737</v>
      </c>
      <c r="AX256" s="1" t="s">
        <v>82</v>
      </c>
      <c r="AY256" s="1" t="s">
        <v>4738</v>
      </c>
      <c r="AZ256" s="1" t="s">
        <v>4739</v>
      </c>
      <c r="BA256" s="1" t="s">
        <v>397</v>
      </c>
      <c r="BB256" s="1">
        <v>2022</v>
      </c>
      <c r="BC256" s="1">
        <v>8</v>
      </c>
      <c r="BD256" s="1">
        <v>2</v>
      </c>
      <c r="BE256" s="1" t="s">
        <v>82</v>
      </c>
      <c r="BF256" s="1" t="s">
        <v>82</v>
      </c>
      <c r="BG256" s="1" t="s">
        <v>82</v>
      </c>
      <c r="BH256" s="1" t="s">
        <v>82</v>
      </c>
      <c r="BI256" s="1" t="s">
        <v>82</v>
      </c>
      <c r="BJ256" s="1" t="s">
        <v>82</v>
      </c>
      <c r="BK256" s="1">
        <v>206</v>
      </c>
      <c r="BL256" s="1" t="s">
        <v>5116</v>
      </c>
      <c r="BM256" s="1" t="str">
        <f>HYPERLINK("http://dx.doi.org/10.3390/jof8020206","http://dx.doi.org/10.3390/jof8020206")</f>
        <v>http://dx.doi.org/10.3390/jof8020206</v>
      </c>
      <c r="BN256" s="1" t="s">
        <v>82</v>
      </c>
      <c r="BO256" s="1" t="s">
        <v>82</v>
      </c>
      <c r="BP256" s="1">
        <v>30</v>
      </c>
      <c r="BQ256" s="1" t="s">
        <v>4741</v>
      </c>
      <c r="BR256" s="1" t="s">
        <v>104</v>
      </c>
      <c r="BS256" s="1" t="s">
        <v>4741</v>
      </c>
      <c r="BT256" s="1" t="s">
        <v>5117</v>
      </c>
      <c r="BU256" s="1">
        <v>35205960</v>
      </c>
      <c r="BV256" s="1" t="s">
        <v>635</v>
      </c>
      <c r="BW256" s="1" t="s">
        <v>82</v>
      </c>
      <c r="BX256" s="1" t="s">
        <v>82</v>
      </c>
      <c r="BY256" s="1" t="s">
        <v>108</v>
      </c>
      <c r="BZ256" s="1" t="s">
        <v>5118</v>
      </c>
      <c r="CA256" s="1" t="str">
        <f>HYPERLINK("https%3A%2F%2Fwww.webofscience.com%2Fwos%2Fwoscc%2Ffull-record%2FWOS:000763728400001","View Full Record in Web of Science")</f>
        <v>View Full Record in Web of Science</v>
      </c>
    </row>
    <row r="257" s="1" customFormat="1" ht="14.4" spans="1:79">
      <c r="A257">
        <v>256</v>
      </c>
      <c r="B257" s="2" t="s">
        <v>79</v>
      </c>
      <c r="C257" s="1" t="s">
        <v>80</v>
      </c>
      <c r="D257" s="1" t="s">
        <v>5119</v>
      </c>
      <c r="E257" s="1" t="s">
        <v>82</v>
      </c>
      <c r="F257" s="1" t="s">
        <v>82</v>
      </c>
      <c r="G257" s="1" t="s">
        <v>82</v>
      </c>
      <c r="H257" s="1" t="s">
        <v>5120</v>
      </c>
      <c r="I257" s="1" t="s">
        <v>82</v>
      </c>
      <c r="J257" s="1" t="s">
        <v>82</v>
      </c>
      <c r="K257" s="1" t="s">
        <v>5121</v>
      </c>
      <c r="L257" s="1" t="s">
        <v>4724</v>
      </c>
      <c r="M257" s="1">
        <v>5.724</v>
      </c>
      <c r="O257" s="1" t="s">
        <v>82</v>
      </c>
      <c r="P257" s="1" t="s">
        <v>82</v>
      </c>
      <c r="Q257" s="1" t="s">
        <v>87</v>
      </c>
      <c r="R257" s="1" t="s">
        <v>115</v>
      </c>
      <c r="S257" s="1" t="s">
        <v>82</v>
      </c>
      <c r="T257" s="1" t="s">
        <v>82</v>
      </c>
      <c r="U257" s="1" t="s">
        <v>82</v>
      </c>
      <c r="V257" s="1" t="s">
        <v>82</v>
      </c>
      <c r="W257" s="1" t="s">
        <v>82</v>
      </c>
      <c r="X257" s="1" t="s">
        <v>5122</v>
      </c>
      <c r="Y257" s="1" t="s">
        <v>5123</v>
      </c>
      <c r="Z257" s="1" t="s">
        <v>5124</v>
      </c>
      <c r="AB257" s="1" t="s">
        <v>5125</v>
      </c>
      <c r="AC257" s="1" t="s">
        <v>5126</v>
      </c>
      <c r="AD257" s="1" t="s">
        <v>120</v>
      </c>
      <c r="AE257" s="1" t="s">
        <v>5127</v>
      </c>
      <c r="AF257" s="1" t="s">
        <v>5128</v>
      </c>
      <c r="AG257" s="1" t="s">
        <v>5129</v>
      </c>
      <c r="AH257" s="1" t="s">
        <v>82</v>
      </c>
      <c r="AI257" s="1" t="s">
        <v>82</v>
      </c>
      <c r="AJ257" s="1" t="s">
        <v>5130</v>
      </c>
      <c r="AK257" s="1" t="s">
        <v>5131</v>
      </c>
      <c r="AL257" s="1" t="s">
        <v>5132</v>
      </c>
      <c r="AM257" s="1" t="s">
        <v>82</v>
      </c>
      <c r="AN257" s="1">
        <v>72</v>
      </c>
      <c r="AO257" s="1">
        <v>4</v>
      </c>
      <c r="AP257" s="1">
        <v>4</v>
      </c>
      <c r="AQ257" s="1">
        <v>0</v>
      </c>
      <c r="AR257" s="1">
        <v>0</v>
      </c>
      <c r="AS257" s="1" t="s">
        <v>2117</v>
      </c>
      <c r="AT257" s="1" t="s">
        <v>2118</v>
      </c>
      <c r="AU257" s="1" t="s">
        <v>2119</v>
      </c>
      <c r="AV257" s="1" t="s">
        <v>82</v>
      </c>
      <c r="AW257" s="1" t="s">
        <v>4737</v>
      </c>
      <c r="AX257" s="1" t="s">
        <v>82</v>
      </c>
      <c r="AY257" s="1" t="s">
        <v>4738</v>
      </c>
      <c r="AZ257" s="1" t="s">
        <v>4739</v>
      </c>
      <c r="BA257" s="1" t="s">
        <v>1826</v>
      </c>
      <c r="BB257" s="1">
        <v>2022</v>
      </c>
      <c r="BC257" s="1">
        <v>8</v>
      </c>
      <c r="BD257" s="1">
        <v>1</v>
      </c>
      <c r="BE257" s="1" t="s">
        <v>82</v>
      </c>
      <c r="BF257" s="1" t="s">
        <v>82</v>
      </c>
      <c r="BG257" s="1" t="s">
        <v>82</v>
      </c>
      <c r="BH257" s="1" t="s">
        <v>82</v>
      </c>
      <c r="BI257" s="1" t="s">
        <v>82</v>
      </c>
      <c r="BJ257" s="1" t="s">
        <v>82</v>
      </c>
      <c r="BK257" s="1">
        <v>35</v>
      </c>
      <c r="BL257" s="1" t="s">
        <v>5133</v>
      </c>
      <c r="BM257" s="1" t="str">
        <f>HYPERLINK("http://dx.doi.org/10.3390/jof8010035","http://dx.doi.org/10.3390/jof8010035")</f>
        <v>http://dx.doi.org/10.3390/jof8010035</v>
      </c>
      <c r="BN257" s="1" t="s">
        <v>82</v>
      </c>
      <c r="BO257" s="1" t="s">
        <v>82</v>
      </c>
      <c r="BP257" s="1">
        <v>18</v>
      </c>
      <c r="BQ257" s="1" t="s">
        <v>4741</v>
      </c>
      <c r="BR257" s="1" t="s">
        <v>104</v>
      </c>
      <c r="BS257" s="1" t="s">
        <v>4741</v>
      </c>
      <c r="BT257" s="1" t="s">
        <v>5134</v>
      </c>
      <c r="BU257" s="1">
        <v>35049975</v>
      </c>
      <c r="BV257" s="1" t="s">
        <v>592</v>
      </c>
      <c r="BW257" s="1" t="s">
        <v>82</v>
      </c>
      <c r="BX257" s="1" t="s">
        <v>82</v>
      </c>
      <c r="BY257" s="1" t="s">
        <v>108</v>
      </c>
      <c r="BZ257" s="1" t="s">
        <v>5135</v>
      </c>
      <c r="CA257" s="1" t="str">
        <f>HYPERLINK("https%3A%2F%2Fwww.webofscience.com%2Fwos%2Fwoscc%2Ffull-record%2FWOS:000757399300001","View Full Record in Web of Science")</f>
        <v>View Full Record in Web of Science</v>
      </c>
    </row>
    <row r="258" s="1" customFormat="1" ht="14.4" spans="1:79">
      <c r="A258">
        <v>257</v>
      </c>
      <c r="B258" s="2" t="s">
        <v>79</v>
      </c>
      <c r="C258" s="1" t="s">
        <v>80</v>
      </c>
      <c r="D258" s="1" t="s">
        <v>5136</v>
      </c>
      <c r="E258" s="1" t="s">
        <v>82</v>
      </c>
      <c r="F258" s="1" t="s">
        <v>82</v>
      </c>
      <c r="G258" s="1" t="s">
        <v>82</v>
      </c>
      <c r="H258" s="1" t="s">
        <v>5137</v>
      </c>
      <c r="I258" s="1" t="s">
        <v>82</v>
      </c>
      <c r="J258" s="1" t="s">
        <v>82</v>
      </c>
      <c r="K258" s="1" t="s">
        <v>5138</v>
      </c>
      <c r="L258" s="1" t="s">
        <v>4724</v>
      </c>
      <c r="M258" s="1">
        <v>5.724</v>
      </c>
      <c r="O258" s="1" t="s">
        <v>82</v>
      </c>
      <c r="P258" s="1" t="s">
        <v>82</v>
      </c>
      <c r="Q258" s="1" t="s">
        <v>87</v>
      </c>
      <c r="R258" s="1" t="s">
        <v>115</v>
      </c>
      <c r="S258" s="1" t="s">
        <v>82</v>
      </c>
      <c r="T258" s="1" t="s">
        <v>82</v>
      </c>
      <c r="U258" s="1" t="s">
        <v>82</v>
      </c>
      <c r="V258" s="1" t="s">
        <v>82</v>
      </c>
      <c r="W258" s="1" t="s">
        <v>82</v>
      </c>
      <c r="X258" s="1" t="s">
        <v>5139</v>
      </c>
      <c r="Y258" s="1" t="s">
        <v>5140</v>
      </c>
      <c r="Z258" s="1" t="s">
        <v>5141</v>
      </c>
      <c r="AB258" s="1" t="s">
        <v>5142</v>
      </c>
      <c r="AC258" s="1" t="s">
        <v>5143</v>
      </c>
      <c r="AD258" s="1" t="s">
        <v>120</v>
      </c>
      <c r="AE258" s="1" t="s">
        <v>5144</v>
      </c>
      <c r="AF258" s="1" t="s">
        <v>5145</v>
      </c>
      <c r="AG258" s="1" t="s">
        <v>5146</v>
      </c>
      <c r="AH258" s="1" t="s">
        <v>3374</v>
      </c>
      <c r="AI258" s="1" t="s">
        <v>5147</v>
      </c>
      <c r="AJ258" s="1" t="s">
        <v>5148</v>
      </c>
      <c r="AK258" s="1" t="s">
        <v>5149</v>
      </c>
      <c r="AL258" s="1" t="s">
        <v>5150</v>
      </c>
      <c r="AM258" s="1" t="s">
        <v>82</v>
      </c>
      <c r="AN258" s="1">
        <v>44</v>
      </c>
      <c r="AO258" s="1">
        <v>6</v>
      </c>
      <c r="AP258" s="1">
        <v>6</v>
      </c>
      <c r="AQ258" s="1">
        <v>10</v>
      </c>
      <c r="AR258" s="1">
        <v>21</v>
      </c>
      <c r="AS258" s="1" t="s">
        <v>2117</v>
      </c>
      <c r="AT258" s="1" t="s">
        <v>2118</v>
      </c>
      <c r="AU258" s="1" t="s">
        <v>2119</v>
      </c>
      <c r="AV258" s="1" t="s">
        <v>82</v>
      </c>
      <c r="AW258" s="1" t="s">
        <v>4737</v>
      </c>
      <c r="AX258" s="1" t="s">
        <v>82</v>
      </c>
      <c r="AY258" s="1" t="s">
        <v>4738</v>
      </c>
      <c r="AZ258" s="1" t="s">
        <v>4739</v>
      </c>
      <c r="BA258" s="1" t="s">
        <v>1826</v>
      </c>
      <c r="BB258" s="1">
        <v>2022</v>
      </c>
      <c r="BC258" s="1">
        <v>8</v>
      </c>
      <c r="BD258" s="1">
        <v>1</v>
      </c>
      <c r="BE258" s="1" t="s">
        <v>82</v>
      </c>
      <c r="BF258" s="1" t="s">
        <v>82</v>
      </c>
      <c r="BG258" s="1" t="s">
        <v>82</v>
      </c>
      <c r="BH258" s="1" t="s">
        <v>82</v>
      </c>
      <c r="BI258" s="1" t="s">
        <v>82</v>
      </c>
      <c r="BJ258" s="1" t="s">
        <v>82</v>
      </c>
      <c r="BK258" s="1">
        <v>80</v>
      </c>
      <c r="BL258" s="1" t="s">
        <v>5151</v>
      </c>
      <c r="BM258" s="1" t="str">
        <f>HYPERLINK("http://dx.doi.org/10.3390/jof8010080","http://dx.doi.org/10.3390/jof8010080")</f>
        <v>http://dx.doi.org/10.3390/jof8010080</v>
      </c>
      <c r="BN258" s="1" t="s">
        <v>82</v>
      </c>
      <c r="BO258" s="1" t="s">
        <v>82</v>
      </c>
      <c r="BP258" s="1">
        <v>17</v>
      </c>
      <c r="BQ258" s="1" t="s">
        <v>4741</v>
      </c>
      <c r="BR258" s="1" t="s">
        <v>104</v>
      </c>
      <c r="BS258" s="1" t="s">
        <v>4741</v>
      </c>
      <c r="BT258" s="1" t="s">
        <v>5152</v>
      </c>
      <c r="BU258" s="1">
        <v>35050020</v>
      </c>
      <c r="BV258" s="1" t="s">
        <v>635</v>
      </c>
      <c r="BW258" s="1" t="s">
        <v>82</v>
      </c>
      <c r="BX258" s="1" t="s">
        <v>82</v>
      </c>
      <c r="BY258" s="1" t="s">
        <v>108</v>
      </c>
      <c r="BZ258" s="1" t="s">
        <v>5153</v>
      </c>
      <c r="CA258" s="1" t="str">
        <f>HYPERLINK("https%3A%2F%2Fwww.webofscience.com%2Fwos%2Fwoscc%2Ffull-record%2FWOS:000758781500001","View Full Record in Web of Science")</f>
        <v>View Full Record in Web of Science</v>
      </c>
    </row>
    <row r="259" s="1" customFormat="1" ht="14.4" spans="1:79">
      <c r="A259">
        <v>258</v>
      </c>
      <c r="B259" s="2" t="s">
        <v>79</v>
      </c>
      <c r="C259" s="1" t="s">
        <v>80</v>
      </c>
      <c r="D259" s="1" t="s">
        <v>5154</v>
      </c>
      <c r="E259" s="1" t="s">
        <v>82</v>
      </c>
      <c r="F259" s="1" t="s">
        <v>82</v>
      </c>
      <c r="G259" s="1" t="s">
        <v>82</v>
      </c>
      <c r="H259" s="1" t="s">
        <v>5155</v>
      </c>
      <c r="I259" s="1" t="s">
        <v>82</v>
      </c>
      <c r="J259" s="1" t="s">
        <v>82</v>
      </c>
      <c r="K259" s="1" t="s">
        <v>5156</v>
      </c>
      <c r="L259" s="1" t="s">
        <v>4724</v>
      </c>
      <c r="M259" s="1">
        <v>5.724</v>
      </c>
      <c r="O259" s="1" t="s">
        <v>82</v>
      </c>
      <c r="P259" s="1" t="s">
        <v>82</v>
      </c>
      <c r="Q259" s="1" t="s">
        <v>87</v>
      </c>
      <c r="R259" s="1" t="s">
        <v>115</v>
      </c>
      <c r="S259" s="1" t="s">
        <v>82</v>
      </c>
      <c r="T259" s="1" t="s">
        <v>82</v>
      </c>
      <c r="U259" s="1" t="s">
        <v>82</v>
      </c>
      <c r="V259" s="1" t="s">
        <v>82</v>
      </c>
      <c r="W259" s="1" t="s">
        <v>82</v>
      </c>
      <c r="X259" s="1" t="s">
        <v>5157</v>
      </c>
      <c r="Y259" s="1" t="s">
        <v>5158</v>
      </c>
      <c r="Z259" s="1" t="s">
        <v>5159</v>
      </c>
      <c r="AA259" s="1">
        <v>1</v>
      </c>
      <c r="AB259" s="1" t="s">
        <v>5160</v>
      </c>
      <c r="AC259" s="1" t="s">
        <v>5161</v>
      </c>
      <c r="AD259" s="1" t="s">
        <v>93</v>
      </c>
      <c r="AE259" s="1" t="s">
        <v>5162</v>
      </c>
      <c r="AF259" s="1" t="s">
        <v>5163</v>
      </c>
      <c r="AG259" s="1" t="s">
        <v>5164</v>
      </c>
      <c r="AH259" s="1" t="s">
        <v>82</v>
      </c>
      <c r="AI259" s="1" t="s">
        <v>5165</v>
      </c>
      <c r="AJ259" s="1" t="s">
        <v>82</v>
      </c>
      <c r="AK259" s="1" t="s">
        <v>82</v>
      </c>
      <c r="AL259" s="1" t="s">
        <v>82</v>
      </c>
      <c r="AM259" s="1" t="s">
        <v>82</v>
      </c>
      <c r="AN259" s="1">
        <v>49</v>
      </c>
      <c r="AO259" s="1">
        <v>2</v>
      </c>
      <c r="AP259" s="1">
        <v>2</v>
      </c>
      <c r="AQ259" s="1">
        <v>8</v>
      </c>
      <c r="AR259" s="1">
        <v>16</v>
      </c>
      <c r="AS259" s="1" t="s">
        <v>2117</v>
      </c>
      <c r="AT259" s="1" t="s">
        <v>2118</v>
      </c>
      <c r="AU259" s="1" t="s">
        <v>2119</v>
      </c>
      <c r="AV259" s="1" t="s">
        <v>82</v>
      </c>
      <c r="AW259" s="1" t="s">
        <v>4737</v>
      </c>
      <c r="AX259" s="1" t="s">
        <v>82</v>
      </c>
      <c r="AY259" s="1" t="s">
        <v>4738</v>
      </c>
      <c r="AZ259" s="1" t="s">
        <v>4739</v>
      </c>
      <c r="BA259" s="1" t="s">
        <v>1826</v>
      </c>
      <c r="BB259" s="1">
        <v>2022</v>
      </c>
      <c r="BC259" s="1">
        <v>8</v>
      </c>
      <c r="BD259" s="1">
        <v>1</v>
      </c>
      <c r="BE259" s="1" t="s">
        <v>82</v>
      </c>
      <c r="BF259" s="1" t="s">
        <v>82</v>
      </c>
      <c r="BG259" s="1" t="s">
        <v>82</v>
      </c>
      <c r="BH259" s="1" t="s">
        <v>82</v>
      </c>
      <c r="BI259" s="1" t="s">
        <v>82</v>
      </c>
      <c r="BJ259" s="1" t="s">
        <v>82</v>
      </c>
      <c r="BK259" s="1">
        <v>89</v>
      </c>
      <c r="BL259" s="1" t="s">
        <v>5166</v>
      </c>
      <c r="BM259" s="1" t="str">
        <f>HYPERLINK("http://dx.doi.org/10.3390/jof8010089","http://dx.doi.org/10.3390/jof8010089")</f>
        <v>http://dx.doi.org/10.3390/jof8010089</v>
      </c>
      <c r="BN259" s="1" t="s">
        <v>82</v>
      </c>
      <c r="BO259" s="1" t="s">
        <v>82</v>
      </c>
      <c r="BP259" s="1">
        <v>16</v>
      </c>
      <c r="BQ259" s="1" t="s">
        <v>4741</v>
      </c>
      <c r="BR259" s="1" t="s">
        <v>104</v>
      </c>
      <c r="BS259" s="1" t="s">
        <v>4741</v>
      </c>
      <c r="BT259" s="1" t="s">
        <v>5167</v>
      </c>
      <c r="BU259" s="1">
        <v>35050030</v>
      </c>
      <c r="BV259" s="1" t="s">
        <v>592</v>
      </c>
      <c r="BW259" s="1" t="s">
        <v>82</v>
      </c>
      <c r="BX259" s="1" t="s">
        <v>82</v>
      </c>
      <c r="BY259" s="1" t="s">
        <v>108</v>
      </c>
      <c r="BZ259" s="1" t="s">
        <v>5168</v>
      </c>
      <c r="CA259" s="1" t="str">
        <f>HYPERLINK("https%3A%2F%2Fwww.webofscience.com%2Fwos%2Fwoscc%2Ffull-record%2FWOS:000746021600001","View Full Record in Web of Science")</f>
        <v>View Full Record in Web of Science</v>
      </c>
    </row>
    <row r="260" s="1" customFormat="1" ht="14.4" spans="1:79">
      <c r="A260">
        <v>259</v>
      </c>
      <c r="B260" s="2" t="s">
        <v>79</v>
      </c>
      <c r="C260" s="1" t="s">
        <v>80</v>
      </c>
      <c r="D260" s="1" t="s">
        <v>5169</v>
      </c>
      <c r="E260" s="1" t="s">
        <v>82</v>
      </c>
      <c r="F260" s="1" t="s">
        <v>82</v>
      </c>
      <c r="G260" s="1" t="s">
        <v>82</v>
      </c>
      <c r="H260" s="1" t="s">
        <v>5170</v>
      </c>
      <c r="I260" s="1" t="s">
        <v>82</v>
      </c>
      <c r="J260" s="1" t="s">
        <v>82</v>
      </c>
      <c r="K260" s="1" t="s">
        <v>5171</v>
      </c>
      <c r="L260" s="1" t="s">
        <v>5172</v>
      </c>
      <c r="M260" s="1">
        <v>5.714</v>
      </c>
      <c r="O260" s="1" t="s">
        <v>82</v>
      </c>
      <c r="P260" s="1" t="s">
        <v>82</v>
      </c>
      <c r="Q260" s="1" t="s">
        <v>87</v>
      </c>
      <c r="R260" s="1" t="s">
        <v>88</v>
      </c>
      <c r="S260" s="1" t="s">
        <v>82</v>
      </c>
      <c r="T260" s="1" t="s">
        <v>82</v>
      </c>
      <c r="U260" s="1" t="s">
        <v>82</v>
      </c>
      <c r="V260" s="1" t="s">
        <v>82</v>
      </c>
      <c r="W260" s="1" t="s">
        <v>82</v>
      </c>
      <c r="X260" s="1" t="s">
        <v>82</v>
      </c>
      <c r="Y260" s="1" t="s">
        <v>82</v>
      </c>
      <c r="Z260" s="1" t="s">
        <v>82</v>
      </c>
      <c r="AB260" s="1" t="s">
        <v>5173</v>
      </c>
      <c r="AC260" s="1" t="s">
        <v>5174</v>
      </c>
      <c r="AD260" s="1" t="s">
        <v>120</v>
      </c>
      <c r="AE260" s="1" t="s">
        <v>5175</v>
      </c>
      <c r="AF260" s="1" t="s">
        <v>5176</v>
      </c>
      <c r="AG260" s="1" t="s">
        <v>5177</v>
      </c>
      <c r="AH260" s="1" t="s">
        <v>5178</v>
      </c>
      <c r="AI260" s="1" t="s">
        <v>5179</v>
      </c>
      <c r="AJ260" s="1" t="s">
        <v>5180</v>
      </c>
      <c r="AK260" s="1" t="s">
        <v>5181</v>
      </c>
      <c r="AL260" s="1" t="s">
        <v>5182</v>
      </c>
      <c r="AM260" s="1" t="s">
        <v>82</v>
      </c>
      <c r="AN260" s="1">
        <v>52</v>
      </c>
      <c r="AO260" s="1">
        <v>0</v>
      </c>
      <c r="AP260" s="1">
        <v>0</v>
      </c>
      <c r="AQ260" s="1">
        <v>4</v>
      </c>
      <c r="AR260" s="1">
        <v>4</v>
      </c>
      <c r="AS260" s="1" t="s">
        <v>1002</v>
      </c>
      <c r="AT260" s="1" t="s">
        <v>1003</v>
      </c>
      <c r="AU260" s="1" t="s">
        <v>1004</v>
      </c>
      <c r="AV260" s="1" t="s">
        <v>5183</v>
      </c>
      <c r="AW260" s="1" t="s">
        <v>5184</v>
      </c>
      <c r="AX260" s="1" t="s">
        <v>82</v>
      </c>
      <c r="AY260" s="1" t="s">
        <v>5185</v>
      </c>
      <c r="AZ260" s="1" t="s">
        <v>5186</v>
      </c>
      <c r="BA260" s="1" t="s">
        <v>2123</v>
      </c>
      <c r="BB260" s="1">
        <v>2022</v>
      </c>
      <c r="BC260" s="1">
        <v>28</v>
      </c>
      <c r="BD260" s="1">
        <v>12</v>
      </c>
      <c r="BE260" s="1" t="s">
        <v>82</v>
      </c>
      <c r="BF260" s="1" t="s">
        <v>82</v>
      </c>
      <c r="BG260" s="1" t="s">
        <v>170</v>
      </c>
      <c r="BH260" s="1" t="s">
        <v>82</v>
      </c>
      <c r="BI260" s="1">
        <v>2448</v>
      </c>
      <c r="BJ260" s="1">
        <v>2458</v>
      </c>
      <c r="BK260" s="1" t="s">
        <v>82</v>
      </c>
      <c r="BL260" s="1" t="s">
        <v>5187</v>
      </c>
      <c r="BM260" s="1" t="str">
        <f>HYPERLINK("http://dx.doi.org/10.1111/ddi.13657","http://dx.doi.org/10.1111/ddi.13657")</f>
        <v>http://dx.doi.org/10.1111/ddi.13657</v>
      </c>
      <c r="BN260" s="1" t="s">
        <v>82</v>
      </c>
      <c r="BO260" s="1" t="s">
        <v>82</v>
      </c>
      <c r="BP260" s="1">
        <v>11</v>
      </c>
      <c r="BQ260" s="1" t="s">
        <v>2773</v>
      </c>
      <c r="BR260" s="1" t="s">
        <v>104</v>
      </c>
      <c r="BS260" s="1" t="s">
        <v>1011</v>
      </c>
      <c r="BT260" s="1" t="s">
        <v>5188</v>
      </c>
      <c r="BU260" s="1" t="s">
        <v>82</v>
      </c>
      <c r="BV260" s="1" t="s">
        <v>316</v>
      </c>
      <c r="BW260" s="1" t="s">
        <v>82</v>
      </c>
      <c r="BX260" s="1" t="s">
        <v>82</v>
      </c>
      <c r="BY260" s="1" t="s">
        <v>108</v>
      </c>
      <c r="BZ260" s="1" t="s">
        <v>5189</v>
      </c>
      <c r="CA260" s="1" t="str">
        <f>HYPERLINK("https%3A%2F%2Fwww.webofscience.com%2Fwos%2Fwoscc%2Ffull-record%2FWOS:000892354300002","View Full Record in Web of Science")</f>
        <v>View Full Record in Web of Science</v>
      </c>
    </row>
    <row r="261" s="1" customFormat="1" ht="14.4" spans="1:79">
      <c r="A261">
        <v>260</v>
      </c>
      <c r="B261" s="2" t="s">
        <v>79</v>
      </c>
      <c r="C261" s="1" t="s">
        <v>80</v>
      </c>
      <c r="D261" s="1" t="s">
        <v>5190</v>
      </c>
      <c r="E261" s="1" t="s">
        <v>82</v>
      </c>
      <c r="F261" s="1" t="s">
        <v>82</v>
      </c>
      <c r="G261" s="1" t="s">
        <v>82</v>
      </c>
      <c r="H261" s="1" t="s">
        <v>5191</v>
      </c>
      <c r="I261" s="1" t="s">
        <v>82</v>
      </c>
      <c r="J261" s="1" t="s">
        <v>82</v>
      </c>
      <c r="K261" s="1" t="s">
        <v>5192</v>
      </c>
      <c r="L261" s="1" t="s">
        <v>5172</v>
      </c>
      <c r="M261" s="1">
        <v>5.714</v>
      </c>
      <c r="O261" s="1" t="s">
        <v>82</v>
      </c>
      <c r="P261" s="1" t="s">
        <v>82</v>
      </c>
      <c r="Q261" s="1" t="s">
        <v>87</v>
      </c>
      <c r="R261" s="1" t="s">
        <v>115</v>
      </c>
      <c r="S261" s="1" t="s">
        <v>82</v>
      </c>
      <c r="T261" s="1" t="s">
        <v>82</v>
      </c>
      <c r="U261" s="1" t="s">
        <v>82</v>
      </c>
      <c r="V261" s="1" t="s">
        <v>82</v>
      </c>
      <c r="W261" s="1" t="s">
        <v>82</v>
      </c>
      <c r="X261" s="1" t="s">
        <v>5193</v>
      </c>
      <c r="Y261" s="1" t="s">
        <v>5194</v>
      </c>
      <c r="Z261" s="1" t="s">
        <v>5195</v>
      </c>
      <c r="AA261" s="1">
        <v>1</v>
      </c>
      <c r="AB261" s="1" t="s">
        <v>2712</v>
      </c>
      <c r="AC261" s="1" t="s">
        <v>5196</v>
      </c>
      <c r="AD261" s="1" t="s">
        <v>93</v>
      </c>
      <c r="AE261" s="1" t="s">
        <v>5197</v>
      </c>
      <c r="AF261" s="1" t="s">
        <v>5198</v>
      </c>
      <c r="AG261" s="1" t="s">
        <v>5199</v>
      </c>
      <c r="AH261" s="1" t="s">
        <v>82</v>
      </c>
      <c r="AI261" s="1" t="s">
        <v>2717</v>
      </c>
      <c r="AJ261" s="1" t="s">
        <v>82</v>
      </c>
      <c r="AK261" s="1" t="s">
        <v>82</v>
      </c>
      <c r="AL261" s="1" t="s">
        <v>82</v>
      </c>
      <c r="AM261" s="1" t="s">
        <v>82</v>
      </c>
      <c r="AN261" s="1">
        <v>86</v>
      </c>
      <c r="AO261" s="1">
        <v>0</v>
      </c>
      <c r="AP261" s="1">
        <v>0</v>
      </c>
      <c r="AQ261" s="1">
        <v>10</v>
      </c>
      <c r="AR261" s="1">
        <v>10</v>
      </c>
      <c r="AS261" s="1" t="s">
        <v>1002</v>
      </c>
      <c r="AT261" s="1" t="s">
        <v>1003</v>
      </c>
      <c r="AU261" s="1" t="s">
        <v>1004</v>
      </c>
      <c r="AV261" s="1" t="s">
        <v>5183</v>
      </c>
      <c r="AW261" s="1" t="s">
        <v>5184</v>
      </c>
      <c r="AX261" s="1" t="s">
        <v>82</v>
      </c>
      <c r="AY261" s="1" t="s">
        <v>5185</v>
      </c>
      <c r="AZ261" s="1" t="s">
        <v>5186</v>
      </c>
      <c r="BA261" s="1" t="s">
        <v>1340</v>
      </c>
      <c r="BB261" s="1">
        <v>2022</v>
      </c>
      <c r="BC261" s="1">
        <v>28</v>
      </c>
      <c r="BD261" s="1">
        <v>10</v>
      </c>
      <c r="BE261" s="1" t="s">
        <v>82</v>
      </c>
      <c r="BF261" s="1" t="s">
        <v>82</v>
      </c>
      <c r="BG261" s="1" t="s">
        <v>82</v>
      </c>
      <c r="BH261" s="1" t="s">
        <v>82</v>
      </c>
      <c r="BI261" s="1">
        <v>2139</v>
      </c>
      <c r="BJ261" s="1">
        <v>2151</v>
      </c>
      <c r="BK261" s="1" t="s">
        <v>82</v>
      </c>
      <c r="BL261" s="1" t="s">
        <v>5200</v>
      </c>
      <c r="BM261" s="1" t="str">
        <f>HYPERLINK("http://dx.doi.org/10.1111/ddi.13612","http://dx.doi.org/10.1111/ddi.13612")</f>
        <v>http://dx.doi.org/10.1111/ddi.13612</v>
      </c>
      <c r="BN261" s="1" t="s">
        <v>82</v>
      </c>
      <c r="BO261" s="1" t="s">
        <v>1257</v>
      </c>
      <c r="BP261" s="1">
        <v>13</v>
      </c>
      <c r="BQ261" s="1" t="s">
        <v>2773</v>
      </c>
      <c r="BR261" s="1" t="s">
        <v>104</v>
      </c>
      <c r="BS261" s="1" t="s">
        <v>1011</v>
      </c>
      <c r="BT261" s="1" t="s">
        <v>5201</v>
      </c>
      <c r="BU261" s="1" t="s">
        <v>82</v>
      </c>
      <c r="BV261" s="1" t="s">
        <v>808</v>
      </c>
      <c r="BW261" s="1" t="s">
        <v>82</v>
      </c>
      <c r="BX261" s="1" t="s">
        <v>82</v>
      </c>
      <c r="BY261" s="1" t="s">
        <v>108</v>
      </c>
      <c r="BZ261" s="1" t="s">
        <v>5202</v>
      </c>
      <c r="CA261" s="1" t="str">
        <f>HYPERLINK("https%3A%2F%2Fwww.webofscience.com%2Fwos%2Fwoscc%2Ffull-record%2FWOS:000830215700001","View Full Record in Web of Science")</f>
        <v>View Full Record in Web of Science</v>
      </c>
    </row>
    <row r="262" s="1" customFormat="1" ht="14.4" spans="1:79">
      <c r="A262">
        <v>261</v>
      </c>
      <c r="B262" s="2" t="s">
        <v>79</v>
      </c>
      <c r="C262" s="1" t="s">
        <v>80</v>
      </c>
      <c r="D262" s="1" t="s">
        <v>5203</v>
      </c>
      <c r="E262" s="1" t="s">
        <v>82</v>
      </c>
      <c r="F262" s="1" t="s">
        <v>82</v>
      </c>
      <c r="G262" s="1" t="s">
        <v>82</v>
      </c>
      <c r="H262" s="1" t="s">
        <v>5204</v>
      </c>
      <c r="I262" s="1" t="s">
        <v>82</v>
      </c>
      <c r="J262" s="1" t="s">
        <v>82</v>
      </c>
      <c r="K262" s="1" t="s">
        <v>5205</v>
      </c>
      <c r="L262" s="1" t="s">
        <v>5172</v>
      </c>
      <c r="M262" s="1">
        <v>5.714</v>
      </c>
      <c r="O262" s="1" t="s">
        <v>82</v>
      </c>
      <c r="P262" s="1" t="s">
        <v>82</v>
      </c>
      <c r="Q262" s="1" t="s">
        <v>87</v>
      </c>
      <c r="R262" s="1" t="s">
        <v>115</v>
      </c>
      <c r="S262" s="1" t="s">
        <v>82</v>
      </c>
      <c r="T262" s="1" t="s">
        <v>82</v>
      </c>
      <c r="U262" s="1" t="s">
        <v>82</v>
      </c>
      <c r="V262" s="1" t="s">
        <v>82</v>
      </c>
      <c r="W262" s="1" t="s">
        <v>82</v>
      </c>
      <c r="X262" s="1" t="s">
        <v>5206</v>
      </c>
      <c r="Y262" s="1" t="s">
        <v>5207</v>
      </c>
      <c r="Z262" s="1" t="s">
        <v>5208</v>
      </c>
      <c r="AA262" s="1">
        <v>1</v>
      </c>
      <c r="AB262" s="1" t="s">
        <v>2712</v>
      </c>
      <c r="AC262" s="1" t="s">
        <v>5209</v>
      </c>
      <c r="AD262" s="1" t="s">
        <v>93</v>
      </c>
      <c r="AE262" s="1" t="s">
        <v>5210</v>
      </c>
      <c r="AF262" s="1" t="s">
        <v>5211</v>
      </c>
      <c r="AG262" s="1" t="s">
        <v>2716</v>
      </c>
      <c r="AH262" s="1" t="s">
        <v>82</v>
      </c>
      <c r="AI262" s="1" t="s">
        <v>2717</v>
      </c>
      <c r="AJ262" s="1" t="s">
        <v>82</v>
      </c>
      <c r="AK262" s="1" t="s">
        <v>82</v>
      </c>
      <c r="AL262" s="1" t="s">
        <v>82</v>
      </c>
      <c r="AM262" s="1" t="s">
        <v>82</v>
      </c>
      <c r="AN262" s="1">
        <v>51</v>
      </c>
      <c r="AO262" s="1">
        <v>1</v>
      </c>
      <c r="AP262" s="1">
        <v>1</v>
      </c>
      <c r="AQ262" s="1">
        <v>11</v>
      </c>
      <c r="AR262" s="1">
        <v>12</v>
      </c>
      <c r="AS262" s="1" t="s">
        <v>1002</v>
      </c>
      <c r="AT262" s="1" t="s">
        <v>1003</v>
      </c>
      <c r="AU262" s="1" t="s">
        <v>1004</v>
      </c>
      <c r="AV262" s="1" t="s">
        <v>5183</v>
      </c>
      <c r="AW262" s="1" t="s">
        <v>5184</v>
      </c>
      <c r="AX262" s="1" t="s">
        <v>82</v>
      </c>
      <c r="AY262" s="1" t="s">
        <v>5185</v>
      </c>
      <c r="AZ262" s="1" t="s">
        <v>5186</v>
      </c>
      <c r="BA262" s="1" t="s">
        <v>1340</v>
      </c>
      <c r="BB262" s="1">
        <v>2022</v>
      </c>
      <c r="BC262" s="1">
        <v>28</v>
      </c>
      <c r="BD262" s="1">
        <v>10</v>
      </c>
      <c r="BE262" s="1" t="s">
        <v>82</v>
      </c>
      <c r="BF262" s="1" t="s">
        <v>82</v>
      </c>
      <c r="BG262" s="1" t="s">
        <v>82</v>
      </c>
      <c r="BH262" s="1" t="s">
        <v>82</v>
      </c>
      <c r="BI262" s="1">
        <v>2084</v>
      </c>
      <c r="BJ262" s="1">
        <v>2093</v>
      </c>
      <c r="BK262" s="1" t="s">
        <v>82</v>
      </c>
      <c r="BL262" s="1" t="s">
        <v>5212</v>
      </c>
      <c r="BM262" s="1" t="str">
        <f>HYPERLINK("http://dx.doi.org/10.1111/ddi.13608","http://dx.doi.org/10.1111/ddi.13608")</f>
        <v>http://dx.doi.org/10.1111/ddi.13608</v>
      </c>
      <c r="BN262" s="1" t="s">
        <v>82</v>
      </c>
      <c r="BO262" s="1" t="s">
        <v>1257</v>
      </c>
      <c r="BP262" s="1">
        <v>10</v>
      </c>
      <c r="BQ262" s="1" t="s">
        <v>2773</v>
      </c>
      <c r="BR262" s="1" t="s">
        <v>104</v>
      </c>
      <c r="BS262" s="1" t="s">
        <v>1011</v>
      </c>
      <c r="BT262" s="1" t="s">
        <v>5201</v>
      </c>
      <c r="BU262" s="1" t="s">
        <v>82</v>
      </c>
      <c r="BV262" s="1" t="s">
        <v>808</v>
      </c>
      <c r="BW262" s="1" t="s">
        <v>82</v>
      </c>
      <c r="BX262" s="1" t="s">
        <v>82</v>
      </c>
      <c r="BY262" s="1" t="s">
        <v>108</v>
      </c>
      <c r="BZ262" s="1" t="s">
        <v>5213</v>
      </c>
      <c r="CA262" s="1" t="str">
        <f>HYPERLINK("https%3A%2F%2Fwww.webofscience.com%2Fwos%2Fwoscc%2Ffull-record%2FWOS:000826111800001","View Full Record in Web of Science")</f>
        <v>View Full Record in Web of Science</v>
      </c>
    </row>
    <row r="263" s="1" customFormat="1" ht="14.4" spans="1:79">
      <c r="A263">
        <v>262</v>
      </c>
      <c r="B263" s="2" t="s">
        <v>79</v>
      </c>
      <c r="C263" s="1" t="s">
        <v>80</v>
      </c>
      <c r="D263" s="1" t="s">
        <v>5214</v>
      </c>
      <c r="E263" s="1" t="s">
        <v>82</v>
      </c>
      <c r="F263" s="1" t="s">
        <v>82</v>
      </c>
      <c r="G263" s="1" t="s">
        <v>82</v>
      </c>
      <c r="H263" s="1" t="s">
        <v>5215</v>
      </c>
      <c r="I263" s="1" t="s">
        <v>82</v>
      </c>
      <c r="J263" s="1" t="s">
        <v>82</v>
      </c>
      <c r="K263" s="1" t="s">
        <v>5216</v>
      </c>
      <c r="L263" s="1" t="s">
        <v>5172</v>
      </c>
      <c r="M263" s="1">
        <v>5.714</v>
      </c>
      <c r="O263" s="1" t="s">
        <v>82</v>
      </c>
      <c r="P263" s="1" t="s">
        <v>82</v>
      </c>
      <c r="Q263" s="1" t="s">
        <v>87</v>
      </c>
      <c r="R263" s="1" t="s">
        <v>115</v>
      </c>
      <c r="S263" s="1" t="s">
        <v>82</v>
      </c>
      <c r="T263" s="1" t="s">
        <v>82</v>
      </c>
      <c r="U263" s="1" t="s">
        <v>82</v>
      </c>
      <c r="V263" s="1" t="s">
        <v>82</v>
      </c>
      <c r="W263" s="1" t="s">
        <v>82</v>
      </c>
      <c r="X263" s="1" t="s">
        <v>5217</v>
      </c>
      <c r="Y263" s="1" t="s">
        <v>5218</v>
      </c>
      <c r="Z263" s="1" t="s">
        <v>5219</v>
      </c>
      <c r="AA263" s="1">
        <v>1</v>
      </c>
      <c r="AB263" s="1" t="s">
        <v>5220</v>
      </c>
      <c r="AC263" s="1" t="s">
        <v>5221</v>
      </c>
      <c r="AD263" s="1" t="s">
        <v>93</v>
      </c>
      <c r="AE263" s="1" t="s">
        <v>5222</v>
      </c>
      <c r="AF263" s="1" t="s">
        <v>5223</v>
      </c>
      <c r="AG263" s="1" t="s">
        <v>5224</v>
      </c>
      <c r="AH263" s="1" t="s">
        <v>5225</v>
      </c>
      <c r="AI263" s="1" t="s">
        <v>82</v>
      </c>
      <c r="AJ263" s="1" t="s">
        <v>5226</v>
      </c>
      <c r="AK263" s="1" t="s">
        <v>5227</v>
      </c>
      <c r="AL263" s="1" t="s">
        <v>5228</v>
      </c>
      <c r="AM263" s="1" t="s">
        <v>82</v>
      </c>
      <c r="AN263" s="1">
        <v>78</v>
      </c>
      <c r="AO263" s="1">
        <v>2</v>
      </c>
      <c r="AP263" s="1">
        <v>2</v>
      </c>
      <c r="AQ263" s="1">
        <v>16</v>
      </c>
      <c r="AR263" s="1">
        <v>18</v>
      </c>
      <c r="AS263" s="1" t="s">
        <v>1002</v>
      </c>
      <c r="AT263" s="1" t="s">
        <v>1003</v>
      </c>
      <c r="AU263" s="1" t="s">
        <v>1004</v>
      </c>
      <c r="AV263" s="1" t="s">
        <v>5183</v>
      </c>
      <c r="AW263" s="1" t="s">
        <v>5184</v>
      </c>
      <c r="AX263" s="1" t="s">
        <v>82</v>
      </c>
      <c r="AY263" s="1" t="s">
        <v>5185</v>
      </c>
      <c r="AZ263" s="1" t="s">
        <v>5186</v>
      </c>
      <c r="BA263" s="1" t="s">
        <v>2123</v>
      </c>
      <c r="BB263" s="1">
        <v>2022</v>
      </c>
      <c r="BC263" s="1">
        <v>28</v>
      </c>
      <c r="BD263" s="1">
        <v>12</v>
      </c>
      <c r="BE263" s="1" t="s">
        <v>82</v>
      </c>
      <c r="BF263" s="1" t="s">
        <v>82</v>
      </c>
      <c r="BG263" s="1" t="s">
        <v>170</v>
      </c>
      <c r="BH263" s="1" t="s">
        <v>82</v>
      </c>
      <c r="BI263" s="1">
        <v>2871</v>
      </c>
      <c r="BJ263" s="1">
        <v>2885</v>
      </c>
      <c r="BK263" s="1" t="s">
        <v>82</v>
      </c>
      <c r="BL263" s="1" t="s">
        <v>5229</v>
      </c>
      <c r="BM263" s="1" t="str">
        <f>HYPERLINK("http://dx.doi.org/10.1111/ddi.13603","http://dx.doi.org/10.1111/ddi.13603")</f>
        <v>http://dx.doi.org/10.1111/ddi.13603</v>
      </c>
      <c r="BN263" s="1" t="s">
        <v>82</v>
      </c>
      <c r="BO263" s="1" t="s">
        <v>1257</v>
      </c>
      <c r="BP263" s="1">
        <v>15</v>
      </c>
      <c r="BQ263" s="1" t="s">
        <v>2773</v>
      </c>
      <c r="BR263" s="1" t="s">
        <v>104</v>
      </c>
      <c r="BS263" s="1" t="s">
        <v>1011</v>
      </c>
      <c r="BT263" s="1" t="s">
        <v>5188</v>
      </c>
      <c r="BU263" s="1" t="s">
        <v>82</v>
      </c>
      <c r="BV263" s="1" t="s">
        <v>82</v>
      </c>
      <c r="BW263" s="1" t="s">
        <v>82</v>
      </c>
      <c r="BX263" s="1" t="s">
        <v>82</v>
      </c>
      <c r="BY263" s="1" t="s">
        <v>108</v>
      </c>
      <c r="BZ263" s="1" t="s">
        <v>5230</v>
      </c>
      <c r="CA263" s="1" t="str">
        <f>HYPERLINK("https%3A%2F%2Fwww.webofscience.com%2Fwos%2Fwoscc%2Ffull-record%2FWOS:000824810900001","View Full Record in Web of Science")</f>
        <v>View Full Record in Web of Science</v>
      </c>
    </row>
    <row r="264" s="1" customFormat="1" ht="14.4" spans="1:79">
      <c r="A264">
        <v>263</v>
      </c>
      <c r="B264" s="2" t="s">
        <v>79</v>
      </c>
      <c r="C264" s="1" t="s">
        <v>80</v>
      </c>
      <c r="D264" s="1" t="s">
        <v>5231</v>
      </c>
      <c r="E264" s="1" t="s">
        <v>82</v>
      </c>
      <c r="F264" s="1" t="s">
        <v>82</v>
      </c>
      <c r="G264" s="1" t="s">
        <v>82</v>
      </c>
      <c r="H264" s="1" t="s">
        <v>5232</v>
      </c>
      <c r="I264" s="1" t="s">
        <v>82</v>
      </c>
      <c r="J264" s="1" t="s">
        <v>82</v>
      </c>
      <c r="K264" s="1" t="s">
        <v>5233</v>
      </c>
      <c r="L264" s="1" t="s">
        <v>5172</v>
      </c>
      <c r="M264" s="1">
        <v>5.714</v>
      </c>
      <c r="O264" s="1" t="s">
        <v>82</v>
      </c>
      <c r="P264" s="1" t="s">
        <v>82</v>
      </c>
      <c r="Q264" s="1" t="s">
        <v>87</v>
      </c>
      <c r="R264" s="1" t="s">
        <v>115</v>
      </c>
      <c r="S264" s="1" t="s">
        <v>82</v>
      </c>
      <c r="T264" s="1" t="s">
        <v>82</v>
      </c>
      <c r="U264" s="1" t="s">
        <v>82</v>
      </c>
      <c r="V264" s="1" t="s">
        <v>82</v>
      </c>
      <c r="W264" s="1" t="s">
        <v>82</v>
      </c>
      <c r="X264" s="1" t="s">
        <v>5234</v>
      </c>
      <c r="Y264" s="1" t="s">
        <v>5235</v>
      </c>
      <c r="Z264" s="1" t="s">
        <v>5236</v>
      </c>
      <c r="AB264" s="1" t="s">
        <v>5237</v>
      </c>
      <c r="AC264" s="1" t="s">
        <v>5238</v>
      </c>
      <c r="AD264" s="1" t="s">
        <v>206</v>
      </c>
      <c r="AE264" s="1" t="s">
        <v>5239</v>
      </c>
      <c r="AF264" s="1" t="s">
        <v>5240</v>
      </c>
      <c r="AG264" s="1" t="s">
        <v>5241</v>
      </c>
      <c r="AH264" s="1" t="s">
        <v>5225</v>
      </c>
      <c r="AI264" s="1" t="s">
        <v>5242</v>
      </c>
      <c r="AJ264" s="1" t="s">
        <v>5243</v>
      </c>
      <c r="AK264" s="1" t="s">
        <v>5244</v>
      </c>
      <c r="AL264" s="1" t="s">
        <v>5245</v>
      </c>
      <c r="AM264" s="1" t="s">
        <v>82</v>
      </c>
      <c r="AN264" s="1">
        <v>85</v>
      </c>
      <c r="AO264" s="1">
        <v>1</v>
      </c>
      <c r="AP264" s="1">
        <v>1</v>
      </c>
      <c r="AQ264" s="1">
        <v>19</v>
      </c>
      <c r="AR264" s="1">
        <v>44</v>
      </c>
      <c r="AS264" s="1" t="s">
        <v>1002</v>
      </c>
      <c r="AT264" s="1" t="s">
        <v>1003</v>
      </c>
      <c r="AU264" s="1" t="s">
        <v>1004</v>
      </c>
      <c r="AV264" s="1" t="s">
        <v>5183</v>
      </c>
      <c r="AW264" s="1" t="s">
        <v>5184</v>
      </c>
      <c r="AX264" s="1" t="s">
        <v>82</v>
      </c>
      <c r="AY264" s="1" t="s">
        <v>5185</v>
      </c>
      <c r="AZ264" s="1" t="s">
        <v>5186</v>
      </c>
      <c r="BA264" s="1" t="s">
        <v>2123</v>
      </c>
      <c r="BB264" s="1">
        <v>2022</v>
      </c>
      <c r="BC264" s="1">
        <v>28</v>
      </c>
      <c r="BD264" s="1">
        <v>12</v>
      </c>
      <c r="BE264" s="1" t="s">
        <v>82</v>
      </c>
      <c r="BF264" s="1" t="s">
        <v>82</v>
      </c>
      <c r="BG264" s="1" t="s">
        <v>170</v>
      </c>
      <c r="BH264" s="1" t="s">
        <v>82</v>
      </c>
      <c r="BI264" s="1">
        <v>2534</v>
      </c>
      <c r="BJ264" s="1">
        <v>2548</v>
      </c>
      <c r="BK264" s="1" t="s">
        <v>82</v>
      </c>
      <c r="BL264" s="1" t="s">
        <v>5246</v>
      </c>
      <c r="BM264" s="1" t="str">
        <f>HYPERLINK("http://dx.doi.org/10.1111/ddi.13513","http://dx.doi.org/10.1111/ddi.13513")</f>
        <v>http://dx.doi.org/10.1111/ddi.13513</v>
      </c>
      <c r="BN264" s="1" t="s">
        <v>82</v>
      </c>
      <c r="BO264" s="1" t="s">
        <v>282</v>
      </c>
      <c r="BP264" s="1">
        <v>15</v>
      </c>
      <c r="BQ264" s="1" t="s">
        <v>2773</v>
      </c>
      <c r="BR264" s="1" t="s">
        <v>104</v>
      </c>
      <c r="BS264" s="1" t="s">
        <v>1011</v>
      </c>
      <c r="BT264" s="1" t="s">
        <v>5188</v>
      </c>
      <c r="BU264" s="1" t="s">
        <v>82</v>
      </c>
      <c r="BV264" s="1" t="s">
        <v>82</v>
      </c>
      <c r="BW264" s="1" t="s">
        <v>82</v>
      </c>
      <c r="BX264" s="1" t="s">
        <v>82</v>
      </c>
      <c r="BY264" s="1" t="s">
        <v>108</v>
      </c>
      <c r="BZ264" s="1" t="s">
        <v>5247</v>
      </c>
      <c r="CA264" s="1" t="str">
        <f>HYPERLINK("https%3A%2F%2Fwww.webofscience.com%2Fwos%2Fwoscc%2Ffull-record%2FWOS:000767892500001","View Full Record in Web of Science")</f>
        <v>View Full Record in Web of Science</v>
      </c>
    </row>
    <row r="265" s="1" customFormat="1" ht="14.4" spans="1:79">
      <c r="A265">
        <v>264</v>
      </c>
      <c r="B265" s="2" t="s">
        <v>79</v>
      </c>
      <c r="C265" s="1" t="s">
        <v>80</v>
      </c>
      <c r="D265" s="1" t="s">
        <v>5248</v>
      </c>
      <c r="E265" s="1" t="s">
        <v>82</v>
      </c>
      <c r="F265" s="1" t="s">
        <v>82</v>
      </c>
      <c r="G265" s="1" t="s">
        <v>82</v>
      </c>
      <c r="H265" s="1" t="s">
        <v>5249</v>
      </c>
      <c r="I265" s="1" t="s">
        <v>82</v>
      </c>
      <c r="J265" s="1" t="s">
        <v>82</v>
      </c>
      <c r="K265" s="1" t="s">
        <v>5250</v>
      </c>
      <c r="L265" s="1" t="s">
        <v>5251</v>
      </c>
      <c r="M265" s="1">
        <v>5.695</v>
      </c>
      <c r="O265" s="1" t="s">
        <v>82</v>
      </c>
      <c r="P265" s="1" t="s">
        <v>82</v>
      </c>
      <c r="Q265" s="1" t="s">
        <v>87</v>
      </c>
      <c r="R265" s="1" t="s">
        <v>1624</v>
      </c>
      <c r="S265" s="1" t="s">
        <v>82</v>
      </c>
      <c r="T265" s="1" t="s">
        <v>82</v>
      </c>
      <c r="U265" s="1" t="s">
        <v>82</v>
      </c>
      <c r="V265" s="1" t="s">
        <v>82</v>
      </c>
      <c r="W265" s="1" t="s">
        <v>82</v>
      </c>
      <c r="X265" s="1" t="s">
        <v>5252</v>
      </c>
      <c r="Y265" s="1" t="s">
        <v>5253</v>
      </c>
      <c r="Z265" s="1" t="s">
        <v>5254</v>
      </c>
      <c r="AA265" s="1">
        <v>1</v>
      </c>
      <c r="AB265" s="1" t="s">
        <v>5255</v>
      </c>
      <c r="AC265" s="1" t="s">
        <v>5256</v>
      </c>
      <c r="AD265" s="1" t="s">
        <v>93</v>
      </c>
      <c r="AE265" s="1" t="s">
        <v>1959</v>
      </c>
      <c r="AF265" s="1" t="s">
        <v>5257</v>
      </c>
      <c r="AG265" s="1" t="s">
        <v>3421</v>
      </c>
      <c r="AH265" s="1" t="s">
        <v>82</v>
      </c>
      <c r="AI265" s="1" t="s">
        <v>5258</v>
      </c>
      <c r="AJ265" s="1" t="s">
        <v>5259</v>
      </c>
      <c r="AK265" s="1" t="s">
        <v>5260</v>
      </c>
      <c r="AL265" s="1" t="s">
        <v>5261</v>
      </c>
      <c r="AM265" s="1" t="s">
        <v>82</v>
      </c>
      <c r="AN265" s="1">
        <v>22</v>
      </c>
      <c r="AO265" s="1">
        <v>1</v>
      </c>
      <c r="AP265" s="1">
        <v>1</v>
      </c>
      <c r="AQ265" s="1">
        <v>10</v>
      </c>
      <c r="AR265" s="1">
        <v>18</v>
      </c>
      <c r="AS265" s="1" t="s">
        <v>1002</v>
      </c>
      <c r="AT265" s="1" t="s">
        <v>1003</v>
      </c>
      <c r="AU265" s="1" t="s">
        <v>1004</v>
      </c>
      <c r="AV265" s="1" t="s">
        <v>82</v>
      </c>
      <c r="AW265" s="1" t="s">
        <v>5262</v>
      </c>
      <c r="AX265" s="1" t="s">
        <v>82</v>
      </c>
      <c r="AY265" s="1" t="s">
        <v>5251</v>
      </c>
      <c r="AZ265" s="1" t="s">
        <v>5263</v>
      </c>
      <c r="BA265" s="1" t="s">
        <v>82</v>
      </c>
      <c r="BB265" s="1" t="s">
        <v>82</v>
      </c>
      <c r="BC265" s="1" t="s">
        <v>82</v>
      </c>
      <c r="BD265" s="1" t="s">
        <v>82</v>
      </c>
      <c r="BE265" s="1" t="s">
        <v>82</v>
      </c>
      <c r="BF265" s="1" t="s">
        <v>82</v>
      </c>
      <c r="BG265" s="1" t="s">
        <v>82</v>
      </c>
      <c r="BH265" s="1" t="s">
        <v>82</v>
      </c>
      <c r="BI265" s="1" t="s">
        <v>82</v>
      </c>
      <c r="BJ265" s="1" t="s">
        <v>82</v>
      </c>
      <c r="BK265" s="1" t="s">
        <v>82</v>
      </c>
      <c r="BL265" s="1" t="s">
        <v>5264</v>
      </c>
      <c r="BM265" s="1" t="str">
        <f>HYPERLINK("http://dx.doi.org/10.1002/ppp3.10276","http://dx.doi.org/10.1002/ppp3.10276")</f>
        <v>http://dx.doi.org/10.1002/ppp3.10276</v>
      </c>
      <c r="BN265" s="1" t="s">
        <v>82</v>
      </c>
      <c r="BO265" s="1" t="s">
        <v>1298</v>
      </c>
      <c r="BP265" s="1">
        <v>7</v>
      </c>
      <c r="BQ265" s="1" t="s">
        <v>5265</v>
      </c>
      <c r="BR265" s="1" t="s">
        <v>104</v>
      </c>
      <c r="BS265" s="1" t="s">
        <v>5266</v>
      </c>
      <c r="BT265" s="1" t="s">
        <v>5267</v>
      </c>
      <c r="BU265" s="1" t="s">
        <v>82</v>
      </c>
      <c r="BV265" s="1" t="s">
        <v>808</v>
      </c>
      <c r="BW265" s="1" t="s">
        <v>82</v>
      </c>
      <c r="BX265" s="1" t="s">
        <v>82</v>
      </c>
      <c r="BY265" s="1" t="s">
        <v>108</v>
      </c>
      <c r="BZ265" s="1" t="s">
        <v>5268</v>
      </c>
      <c r="CA265" s="1" t="str">
        <f>HYPERLINK("https%3A%2F%2Fwww.webofscience.com%2Fwos%2Fwoscc%2Ffull-record%2FWOS:000807956200001","View Full Record in Web of Science")</f>
        <v>View Full Record in Web of Science</v>
      </c>
    </row>
    <row r="266" s="1" customFormat="1" ht="14.4" spans="1:79">
      <c r="A266">
        <v>265</v>
      </c>
      <c r="B266" s="2" t="s">
        <v>79</v>
      </c>
      <c r="C266" s="1" t="s">
        <v>80</v>
      </c>
      <c r="D266" s="1" t="s">
        <v>5269</v>
      </c>
      <c r="E266" s="1" t="s">
        <v>82</v>
      </c>
      <c r="F266" s="1" t="s">
        <v>82</v>
      </c>
      <c r="G266" s="1" t="s">
        <v>82</v>
      </c>
      <c r="H266" s="1" t="s">
        <v>5270</v>
      </c>
      <c r="I266" s="1" t="s">
        <v>82</v>
      </c>
      <c r="J266" s="1" t="s">
        <v>82</v>
      </c>
      <c r="K266" s="1" t="s">
        <v>5271</v>
      </c>
      <c r="L266" s="1" t="s">
        <v>5272</v>
      </c>
      <c r="M266" s="1">
        <v>5.606</v>
      </c>
      <c r="O266" s="1" t="s">
        <v>82</v>
      </c>
      <c r="P266" s="1" t="s">
        <v>82</v>
      </c>
      <c r="Q266" s="1" t="s">
        <v>87</v>
      </c>
      <c r="R266" s="1" t="s">
        <v>115</v>
      </c>
      <c r="S266" s="1" t="s">
        <v>82</v>
      </c>
      <c r="T266" s="1" t="s">
        <v>82</v>
      </c>
      <c r="U266" s="1" t="s">
        <v>82</v>
      </c>
      <c r="V266" s="1" t="s">
        <v>82</v>
      </c>
      <c r="W266" s="1" t="s">
        <v>82</v>
      </c>
      <c r="X266" s="1" t="s">
        <v>5273</v>
      </c>
      <c r="Y266" s="1" t="s">
        <v>5274</v>
      </c>
      <c r="Z266" s="1" t="s">
        <v>5275</v>
      </c>
      <c r="AA266" s="1">
        <v>1</v>
      </c>
      <c r="AB266" s="1" t="s">
        <v>5276</v>
      </c>
      <c r="AC266" s="1" t="s">
        <v>5277</v>
      </c>
      <c r="AD266" s="1" t="s">
        <v>93</v>
      </c>
      <c r="AE266" s="1" t="s">
        <v>5278</v>
      </c>
      <c r="AF266" s="1" t="s">
        <v>5279</v>
      </c>
      <c r="AG266" s="1" t="s">
        <v>5280</v>
      </c>
      <c r="AH266" s="1" t="s">
        <v>5281</v>
      </c>
      <c r="AI266" s="1" t="s">
        <v>5282</v>
      </c>
      <c r="AJ266" s="1" t="s">
        <v>5283</v>
      </c>
      <c r="AK266" s="1" t="s">
        <v>5284</v>
      </c>
      <c r="AL266" s="1" t="s">
        <v>5285</v>
      </c>
      <c r="AM266" s="1" t="s">
        <v>82</v>
      </c>
      <c r="AN266" s="1">
        <v>65</v>
      </c>
      <c r="AO266" s="1">
        <v>2</v>
      </c>
      <c r="AP266" s="1">
        <v>2</v>
      </c>
      <c r="AQ266" s="1">
        <v>19</v>
      </c>
      <c r="AR266" s="1">
        <v>50</v>
      </c>
      <c r="AS266" s="1" t="s">
        <v>1002</v>
      </c>
      <c r="AT266" s="1" t="s">
        <v>1003</v>
      </c>
      <c r="AU266" s="1" t="s">
        <v>1004</v>
      </c>
      <c r="AV266" s="1" t="s">
        <v>5286</v>
      </c>
      <c r="AW266" s="1" t="s">
        <v>5287</v>
      </c>
      <c r="AX266" s="1" t="s">
        <v>82</v>
      </c>
      <c r="AY266" s="1" t="s">
        <v>5288</v>
      </c>
      <c r="AZ266" s="1" t="s">
        <v>5289</v>
      </c>
      <c r="BA266" s="1" t="s">
        <v>1826</v>
      </c>
      <c r="BB266" s="1">
        <v>2022</v>
      </c>
      <c r="BC266" s="1">
        <v>91</v>
      </c>
      <c r="BD266" s="1">
        <v>1</v>
      </c>
      <c r="BE266" s="1" t="s">
        <v>82</v>
      </c>
      <c r="BF266" s="1" t="s">
        <v>82</v>
      </c>
      <c r="BG266" s="1" t="s">
        <v>82</v>
      </c>
      <c r="BH266" s="1" t="s">
        <v>82</v>
      </c>
      <c r="BI266" s="1">
        <v>196</v>
      </c>
      <c r="BJ266" s="1">
        <v>209</v>
      </c>
      <c r="BK266" s="1" t="s">
        <v>82</v>
      </c>
      <c r="BL266" s="1" t="s">
        <v>5290</v>
      </c>
      <c r="BM266" s="1" t="str">
        <f>HYPERLINK("http://dx.doi.org/10.1111/1365-2656.13614","http://dx.doi.org/10.1111/1365-2656.13614")</f>
        <v>http://dx.doi.org/10.1111/1365-2656.13614</v>
      </c>
      <c r="BN266" s="1" t="s">
        <v>82</v>
      </c>
      <c r="BO266" s="1" t="s">
        <v>1233</v>
      </c>
      <c r="BP266" s="1">
        <v>14</v>
      </c>
      <c r="BQ266" s="1" t="s">
        <v>5291</v>
      </c>
      <c r="BR266" s="1" t="s">
        <v>104</v>
      </c>
      <c r="BS266" s="1" t="s">
        <v>5292</v>
      </c>
      <c r="BT266" s="1" t="s">
        <v>5293</v>
      </c>
      <c r="BU266" s="1">
        <v>34668568</v>
      </c>
      <c r="BV266" s="1" t="s">
        <v>82</v>
      </c>
      <c r="BW266" s="1" t="s">
        <v>82</v>
      </c>
      <c r="BX266" s="1" t="s">
        <v>82</v>
      </c>
      <c r="BY266" s="1" t="s">
        <v>108</v>
      </c>
      <c r="BZ266" s="1" t="s">
        <v>5294</v>
      </c>
      <c r="CA266" s="1" t="str">
        <f>HYPERLINK("https%3A%2F%2Fwww.webofscience.com%2Fwos%2Fwoscc%2Ffull-record%2FWOS:000712657200001","View Full Record in Web of Science")</f>
        <v>View Full Record in Web of Science</v>
      </c>
    </row>
    <row r="267" s="1" customFormat="1" ht="14.4" spans="1:79">
      <c r="A267">
        <v>266</v>
      </c>
      <c r="B267" s="2" t="s">
        <v>110</v>
      </c>
      <c r="C267" s="1" t="s">
        <v>80</v>
      </c>
      <c r="D267" s="1" t="s">
        <v>5295</v>
      </c>
      <c r="E267" s="1" t="s">
        <v>82</v>
      </c>
      <c r="F267" s="1" t="s">
        <v>82</v>
      </c>
      <c r="G267" s="1" t="s">
        <v>82</v>
      </c>
      <c r="H267" s="1" t="s">
        <v>5296</v>
      </c>
      <c r="I267" s="1" t="s">
        <v>82</v>
      </c>
      <c r="J267" s="1" t="s">
        <v>82</v>
      </c>
      <c r="K267" s="1" t="s">
        <v>5297</v>
      </c>
      <c r="L267" s="1" t="s">
        <v>5298</v>
      </c>
      <c r="M267" s="1">
        <v>5.56</v>
      </c>
      <c r="O267" s="1" t="s">
        <v>82</v>
      </c>
      <c r="P267" s="1" t="s">
        <v>82</v>
      </c>
      <c r="Q267" s="1" t="s">
        <v>87</v>
      </c>
      <c r="R267" s="1" t="s">
        <v>115</v>
      </c>
      <c r="S267" s="1" t="s">
        <v>82</v>
      </c>
      <c r="T267" s="1" t="s">
        <v>82</v>
      </c>
      <c r="U267" s="1" t="s">
        <v>82</v>
      </c>
      <c r="V267" s="1" t="s">
        <v>82</v>
      </c>
      <c r="W267" s="1" t="s">
        <v>82</v>
      </c>
      <c r="X267" s="1" t="s">
        <v>5299</v>
      </c>
      <c r="Y267" s="1" t="s">
        <v>5300</v>
      </c>
      <c r="Z267" s="1" t="s">
        <v>5301</v>
      </c>
      <c r="AB267" s="1" t="s">
        <v>5302</v>
      </c>
      <c r="AC267" s="1" t="s">
        <v>5303</v>
      </c>
      <c r="AD267" s="1" t="s">
        <v>206</v>
      </c>
      <c r="AE267" s="1" t="s">
        <v>5304</v>
      </c>
      <c r="AF267" s="1" t="s">
        <v>5305</v>
      </c>
      <c r="AG267" s="1" t="s">
        <v>5306</v>
      </c>
      <c r="AH267" s="1" t="s">
        <v>82</v>
      </c>
      <c r="AI267" s="1" t="s">
        <v>82</v>
      </c>
      <c r="AJ267" s="1" t="s">
        <v>5307</v>
      </c>
      <c r="AK267" s="1" t="s">
        <v>5308</v>
      </c>
      <c r="AL267" s="1" t="s">
        <v>5309</v>
      </c>
      <c r="AM267" s="1" t="s">
        <v>82</v>
      </c>
      <c r="AN267" s="1">
        <v>23</v>
      </c>
      <c r="AO267" s="1">
        <v>0</v>
      </c>
      <c r="AP267" s="1">
        <v>0</v>
      </c>
      <c r="AQ267" s="1">
        <v>10</v>
      </c>
      <c r="AR267" s="1">
        <v>10</v>
      </c>
      <c r="AS267" s="1" t="s">
        <v>695</v>
      </c>
      <c r="AT267" s="1" t="s">
        <v>696</v>
      </c>
      <c r="AU267" s="1" t="s">
        <v>697</v>
      </c>
      <c r="AV267" s="1" t="s">
        <v>5310</v>
      </c>
      <c r="AW267" s="1" t="s">
        <v>5311</v>
      </c>
      <c r="AX267" s="1" t="s">
        <v>82</v>
      </c>
      <c r="AY267" s="1" t="s">
        <v>5312</v>
      </c>
      <c r="AZ267" s="1" t="s">
        <v>5313</v>
      </c>
      <c r="BA267" s="1" t="s">
        <v>5314</v>
      </c>
      <c r="BB267" s="1">
        <v>2022</v>
      </c>
      <c r="BC267" s="1">
        <v>40</v>
      </c>
      <c r="BD267" s="1">
        <v>22</v>
      </c>
      <c r="BE267" s="1" t="s">
        <v>82</v>
      </c>
      <c r="BF267" s="1" t="s">
        <v>82</v>
      </c>
      <c r="BG267" s="1" t="s">
        <v>82</v>
      </c>
      <c r="BH267" s="1" t="s">
        <v>82</v>
      </c>
      <c r="BI267" s="1">
        <v>2633</v>
      </c>
      <c r="BJ267" s="1">
        <v>2641</v>
      </c>
      <c r="BK267" s="1" t="s">
        <v>82</v>
      </c>
      <c r="BL267" s="1" t="s">
        <v>5315</v>
      </c>
      <c r="BM267" s="1" t="str">
        <f>HYPERLINK("http://dx.doi.org/10.1002/cjoc.202200318","http://dx.doi.org/10.1002/cjoc.202200318")</f>
        <v>http://dx.doi.org/10.1002/cjoc.202200318</v>
      </c>
      <c r="BN267" s="1" t="s">
        <v>82</v>
      </c>
      <c r="BO267" s="1" t="s">
        <v>424</v>
      </c>
      <c r="BP267" s="1">
        <v>9</v>
      </c>
      <c r="BQ267" s="1" t="s">
        <v>705</v>
      </c>
      <c r="BR267" s="1" t="s">
        <v>745</v>
      </c>
      <c r="BS267" s="1" t="s">
        <v>706</v>
      </c>
      <c r="BT267" s="1" t="s">
        <v>5316</v>
      </c>
      <c r="BU267" s="1" t="s">
        <v>82</v>
      </c>
      <c r="BV267" s="1" t="s">
        <v>82</v>
      </c>
      <c r="BW267" s="1" t="s">
        <v>82</v>
      </c>
      <c r="BX267" s="1" t="s">
        <v>82</v>
      </c>
      <c r="BY267" s="1" t="s">
        <v>108</v>
      </c>
      <c r="BZ267" s="1" t="s">
        <v>5317</v>
      </c>
      <c r="CA267" s="1" t="str">
        <f>HYPERLINK("https%3A%2F%2Fwww.webofscience.com%2Fwos%2Fwoscc%2Ffull-record%2FWOS:000842964700001","View Full Record in Web of Science")</f>
        <v>View Full Record in Web of Science</v>
      </c>
    </row>
    <row r="268" s="1" customFormat="1" ht="14.4" spans="1:79">
      <c r="A268">
        <v>267</v>
      </c>
      <c r="B268" s="2" t="s">
        <v>110</v>
      </c>
      <c r="C268" s="1" t="s">
        <v>80</v>
      </c>
      <c r="D268" s="1" t="s">
        <v>5318</v>
      </c>
      <c r="E268" s="1" t="s">
        <v>82</v>
      </c>
      <c r="F268" s="1" t="s">
        <v>82</v>
      </c>
      <c r="G268" s="1" t="s">
        <v>82</v>
      </c>
      <c r="H268" s="1" t="s">
        <v>5319</v>
      </c>
      <c r="I268" s="1" t="s">
        <v>82</v>
      </c>
      <c r="J268" s="1" t="s">
        <v>82</v>
      </c>
      <c r="K268" s="1" t="s">
        <v>5320</v>
      </c>
      <c r="L268" s="1" t="s">
        <v>5298</v>
      </c>
      <c r="M268" s="1">
        <v>5.56</v>
      </c>
      <c r="O268" s="1" t="s">
        <v>82</v>
      </c>
      <c r="P268" s="1" t="s">
        <v>82</v>
      </c>
      <c r="Q268" s="1" t="s">
        <v>87</v>
      </c>
      <c r="R268" s="1" t="s">
        <v>115</v>
      </c>
      <c r="S268" s="1" t="s">
        <v>82</v>
      </c>
      <c r="T268" s="1" t="s">
        <v>82</v>
      </c>
      <c r="U268" s="1" t="s">
        <v>82</v>
      </c>
      <c r="V268" s="1" t="s">
        <v>82</v>
      </c>
      <c r="W268" s="1" t="s">
        <v>82</v>
      </c>
      <c r="X268" s="1" t="s">
        <v>5321</v>
      </c>
      <c r="Y268" s="1" t="s">
        <v>5322</v>
      </c>
      <c r="Z268" s="1" t="s">
        <v>5323</v>
      </c>
      <c r="AB268" s="1" t="s">
        <v>5324</v>
      </c>
      <c r="AC268" s="1" t="s">
        <v>5325</v>
      </c>
      <c r="AD268" s="1" t="s">
        <v>206</v>
      </c>
      <c r="AE268" s="1" t="s">
        <v>4215</v>
      </c>
      <c r="AF268" s="1" t="s">
        <v>5326</v>
      </c>
      <c r="AG268" s="1" t="s">
        <v>5327</v>
      </c>
      <c r="AH268" s="1" t="s">
        <v>82</v>
      </c>
      <c r="AI268" s="1" t="s">
        <v>82</v>
      </c>
      <c r="AJ268" s="1" t="s">
        <v>5328</v>
      </c>
      <c r="AK268" s="1" t="s">
        <v>5329</v>
      </c>
      <c r="AL268" s="1" t="s">
        <v>5330</v>
      </c>
      <c r="AM268" s="1" t="s">
        <v>82</v>
      </c>
      <c r="AN268" s="1">
        <v>42</v>
      </c>
      <c r="AO268" s="1">
        <v>0</v>
      </c>
      <c r="AP268" s="1">
        <v>0</v>
      </c>
      <c r="AQ268" s="1">
        <v>12</v>
      </c>
      <c r="AR268" s="1">
        <v>12</v>
      </c>
      <c r="AS268" s="1" t="s">
        <v>695</v>
      </c>
      <c r="AT268" s="1" t="s">
        <v>696</v>
      </c>
      <c r="AU268" s="1" t="s">
        <v>697</v>
      </c>
      <c r="AV268" s="1" t="s">
        <v>5310</v>
      </c>
      <c r="AW268" s="1" t="s">
        <v>5311</v>
      </c>
      <c r="AX268" s="1" t="s">
        <v>82</v>
      </c>
      <c r="AY268" s="1" t="s">
        <v>5312</v>
      </c>
      <c r="AZ268" s="1" t="s">
        <v>5313</v>
      </c>
      <c r="BA268" s="1" t="s">
        <v>4513</v>
      </c>
      <c r="BB268" s="1">
        <v>2022</v>
      </c>
      <c r="BC268" s="1">
        <v>40</v>
      </c>
      <c r="BD268" s="1">
        <v>19</v>
      </c>
      <c r="BE268" s="1" t="s">
        <v>82</v>
      </c>
      <c r="BF268" s="1" t="s">
        <v>82</v>
      </c>
      <c r="BG268" s="1" t="s">
        <v>82</v>
      </c>
      <c r="BH268" s="1" t="s">
        <v>82</v>
      </c>
      <c r="BI268" s="1">
        <v>2285</v>
      </c>
      <c r="BJ268" s="1">
        <v>2295</v>
      </c>
      <c r="BK268" s="1" t="s">
        <v>82</v>
      </c>
      <c r="BL268" s="1" t="s">
        <v>5331</v>
      </c>
      <c r="BM268" s="1" t="str">
        <f>HYPERLINK("http://dx.doi.org/10.1002/cjoc.202200348","http://dx.doi.org/10.1002/cjoc.202200348")</f>
        <v>http://dx.doi.org/10.1002/cjoc.202200348</v>
      </c>
      <c r="BN268" s="1" t="s">
        <v>82</v>
      </c>
      <c r="BO268" s="1" t="s">
        <v>1257</v>
      </c>
      <c r="BP268" s="1">
        <v>11</v>
      </c>
      <c r="BQ268" s="1" t="s">
        <v>705</v>
      </c>
      <c r="BR268" s="1" t="s">
        <v>745</v>
      </c>
      <c r="BS268" s="1" t="s">
        <v>706</v>
      </c>
      <c r="BT268" s="1" t="s">
        <v>5332</v>
      </c>
      <c r="BU268" s="1" t="s">
        <v>82</v>
      </c>
      <c r="BV268" s="1" t="s">
        <v>82</v>
      </c>
      <c r="BW268" s="1" t="s">
        <v>82</v>
      </c>
      <c r="BX268" s="1" t="s">
        <v>82</v>
      </c>
      <c r="BY268" s="1" t="s">
        <v>108</v>
      </c>
      <c r="BZ268" s="1" t="s">
        <v>5333</v>
      </c>
      <c r="CA268" s="1" t="str">
        <f>HYPERLINK("https%3A%2F%2Fwww.webofscience.com%2Fwos%2Fwoscc%2Ffull-record%2FWOS:000830869200001","View Full Record in Web of Science")</f>
        <v>View Full Record in Web of Science</v>
      </c>
    </row>
    <row r="269" s="1" customFormat="1" ht="14.4" spans="1:79">
      <c r="A269">
        <v>268</v>
      </c>
      <c r="B269" s="2" t="s">
        <v>79</v>
      </c>
      <c r="C269" s="1" t="s">
        <v>80</v>
      </c>
      <c r="D269" s="1" t="s">
        <v>5334</v>
      </c>
      <c r="E269" s="1" t="s">
        <v>82</v>
      </c>
      <c r="F269" s="1" t="s">
        <v>82</v>
      </c>
      <c r="G269" s="1" t="s">
        <v>82</v>
      </c>
      <c r="H269" s="1" t="s">
        <v>5335</v>
      </c>
      <c r="I269" s="1" t="s">
        <v>82</v>
      </c>
      <c r="J269" s="1" t="s">
        <v>82</v>
      </c>
      <c r="K269" s="1" t="s">
        <v>5336</v>
      </c>
      <c r="L269" s="1" t="s">
        <v>5298</v>
      </c>
      <c r="M269" s="1">
        <v>5.56</v>
      </c>
      <c r="O269" s="1" t="s">
        <v>82</v>
      </c>
      <c r="P269" s="1" t="s">
        <v>82</v>
      </c>
      <c r="Q269" s="1" t="s">
        <v>87</v>
      </c>
      <c r="R269" s="1" t="s">
        <v>115</v>
      </c>
      <c r="S269" s="1" t="s">
        <v>82</v>
      </c>
      <c r="T269" s="1" t="s">
        <v>82</v>
      </c>
      <c r="U269" s="1" t="s">
        <v>82</v>
      </c>
      <c r="V269" s="1" t="s">
        <v>82</v>
      </c>
      <c r="W269" s="1" t="s">
        <v>82</v>
      </c>
      <c r="X269" s="1" t="s">
        <v>5337</v>
      </c>
      <c r="Y269" s="1" t="s">
        <v>5338</v>
      </c>
      <c r="Z269" s="1" t="s">
        <v>5339</v>
      </c>
      <c r="AB269" s="1" t="s">
        <v>5340</v>
      </c>
      <c r="AC269" s="1" t="s">
        <v>5341</v>
      </c>
      <c r="AD269" s="1" t="s">
        <v>120</v>
      </c>
      <c r="AE269" s="1" t="s">
        <v>5342</v>
      </c>
      <c r="AF269" s="1" t="s">
        <v>5343</v>
      </c>
      <c r="AG269" s="1" t="s">
        <v>5344</v>
      </c>
      <c r="AH269" s="1" t="s">
        <v>5345</v>
      </c>
      <c r="AI269" s="1" t="s">
        <v>5346</v>
      </c>
      <c r="AJ269" s="1" t="s">
        <v>5347</v>
      </c>
      <c r="AK269" s="1" t="s">
        <v>5348</v>
      </c>
      <c r="AL269" s="1" t="s">
        <v>5349</v>
      </c>
      <c r="AM269" s="1" t="s">
        <v>82</v>
      </c>
      <c r="AN269" s="1">
        <v>40</v>
      </c>
      <c r="AO269" s="1">
        <v>0</v>
      </c>
      <c r="AP269" s="1">
        <v>0</v>
      </c>
      <c r="AQ269" s="1">
        <v>11</v>
      </c>
      <c r="AR269" s="1">
        <v>32</v>
      </c>
      <c r="AS269" s="1" t="s">
        <v>695</v>
      </c>
      <c r="AT269" s="1" t="s">
        <v>696</v>
      </c>
      <c r="AU269" s="1" t="s">
        <v>697</v>
      </c>
      <c r="AV269" s="1" t="s">
        <v>5310</v>
      </c>
      <c r="AW269" s="1" t="s">
        <v>5311</v>
      </c>
      <c r="AX269" s="1" t="s">
        <v>82</v>
      </c>
      <c r="AY269" s="1" t="s">
        <v>5312</v>
      </c>
      <c r="AZ269" s="1" t="s">
        <v>5313</v>
      </c>
      <c r="BA269" s="1" t="s">
        <v>5350</v>
      </c>
      <c r="BB269" s="1">
        <v>2022</v>
      </c>
      <c r="BC269" s="1">
        <v>40</v>
      </c>
      <c r="BD269" s="1">
        <v>11</v>
      </c>
      <c r="BE269" s="1" t="s">
        <v>82</v>
      </c>
      <c r="BF269" s="1" t="s">
        <v>82</v>
      </c>
      <c r="BG269" s="1" t="s">
        <v>82</v>
      </c>
      <c r="BH269" s="1" t="s">
        <v>82</v>
      </c>
      <c r="BI269" s="1">
        <v>1321</v>
      </c>
      <c r="BJ269" s="1">
        <v>1330</v>
      </c>
      <c r="BK269" s="1" t="s">
        <v>82</v>
      </c>
      <c r="BL269" s="1" t="s">
        <v>5351</v>
      </c>
      <c r="BM269" s="1" t="str">
        <f>HYPERLINK("http://dx.doi.org/10.1002/cjoc.202200008","http://dx.doi.org/10.1002/cjoc.202200008")</f>
        <v>http://dx.doi.org/10.1002/cjoc.202200008</v>
      </c>
      <c r="BN269" s="1" t="s">
        <v>82</v>
      </c>
      <c r="BO269" s="1" t="s">
        <v>282</v>
      </c>
      <c r="BP269" s="1">
        <v>10</v>
      </c>
      <c r="BQ269" s="1" t="s">
        <v>705</v>
      </c>
      <c r="BR269" s="1" t="s">
        <v>745</v>
      </c>
      <c r="BS269" s="1" t="s">
        <v>706</v>
      </c>
      <c r="BT269" s="1" t="s">
        <v>5352</v>
      </c>
      <c r="BU269" s="1" t="s">
        <v>82</v>
      </c>
      <c r="BV269" s="1" t="s">
        <v>82</v>
      </c>
      <c r="BW269" s="1" t="s">
        <v>82</v>
      </c>
      <c r="BX269" s="1" t="s">
        <v>82</v>
      </c>
      <c r="BY269" s="1" t="s">
        <v>108</v>
      </c>
      <c r="BZ269" s="1" t="s">
        <v>5353</v>
      </c>
      <c r="CA269" s="1" t="str">
        <f>HYPERLINK("https%3A%2F%2Fwww.webofscience.com%2Fwos%2Fwoscc%2Ffull-record%2FWOS:000768769600001","View Full Record in Web of Science")</f>
        <v>View Full Record in Web of Science</v>
      </c>
    </row>
    <row r="270" s="1" customFormat="1" ht="14.4" spans="1:79">
      <c r="A270">
        <v>269</v>
      </c>
      <c r="B270" s="2" t="s">
        <v>110</v>
      </c>
      <c r="C270" s="1" t="s">
        <v>80</v>
      </c>
      <c r="D270" s="1" t="s">
        <v>5354</v>
      </c>
      <c r="E270" s="1" t="s">
        <v>82</v>
      </c>
      <c r="F270" s="1" t="s">
        <v>82</v>
      </c>
      <c r="G270" s="1" t="s">
        <v>82</v>
      </c>
      <c r="H270" s="1" t="s">
        <v>5355</v>
      </c>
      <c r="I270" s="1" t="s">
        <v>82</v>
      </c>
      <c r="J270" s="1" t="s">
        <v>82</v>
      </c>
      <c r="K270" s="1" t="s">
        <v>5356</v>
      </c>
      <c r="L270" s="1" t="s">
        <v>5298</v>
      </c>
      <c r="M270" s="1">
        <v>5.56</v>
      </c>
      <c r="O270" s="1" t="s">
        <v>82</v>
      </c>
      <c r="P270" s="1" t="s">
        <v>82</v>
      </c>
      <c r="Q270" s="1" t="s">
        <v>87</v>
      </c>
      <c r="R270" s="1" t="s">
        <v>115</v>
      </c>
      <c r="S270" s="1" t="s">
        <v>82</v>
      </c>
      <c r="T270" s="1" t="s">
        <v>82</v>
      </c>
      <c r="U270" s="1" t="s">
        <v>82</v>
      </c>
      <c r="V270" s="1" t="s">
        <v>82</v>
      </c>
      <c r="W270" s="1" t="s">
        <v>82</v>
      </c>
      <c r="X270" s="1" t="s">
        <v>5357</v>
      </c>
      <c r="Y270" s="1" t="s">
        <v>5358</v>
      </c>
      <c r="Z270" s="1" t="s">
        <v>5359</v>
      </c>
      <c r="AA270" s="1">
        <v>1</v>
      </c>
      <c r="AB270" s="1" t="s">
        <v>5360</v>
      </c>
      <c r="AC270" s="1" t="s">
        <v>5361</v>
      </c>
      <c r="AD270" s="1" t="s">
        <v>93</v>
      </c>
      <c r="AE270" s="1" t="s">
        <v>94</v>
      </c>
      <c r="AF270" s="1" t="s">
        <v>5362</v>
      </c>
      <c r="AG270" s="1" t="s">
        <v>5363</v>
      </c>
      <c r="AH270" s="1" t="s">
        <v>82</v>
      </c>
      <c r="AI270" s="1" t="s">
        <v>82</v>
      </c>
      <c r="AJ270" s="1" t="s">
        <v>5364</v>
      </c>
      <c r="AK270" s="1" t="s">
        <v>5365</v>
      </c>
      <c r="AL270" s="1" t="s">
        <v>5366</v>
      </c>
      <c r="AM270" s="1" t="s">
        <v>82</v>
      </c>
      <c r="AN270" s="1">
        <v>19</v>
      </c>
      <c r="AO270" s="1">
        <v>1</v>
      </c>
      <c r="AP270" s="1">
        <v>1</v>
      </c>
      <c r="AQ270" s="1">
        <v>3</v>
      </c>
      <c r="AR270" s="1">
        <v>7</v>
      </c>
      <c r="AS270" s="1" t="s">
        <v>695</v>
      </c>
      <c r="AT270" s="1" t="s">
        <v>696</v>
      </c>
      <c r="AU270" s="1" t="s">
        <v>697</v>
      </c>
      <c r="AV270" s="1" t="s">
        <v>5310</v>
      </c>
      <c r="AW270" s="1" t="s">
        <v>5311</v>
      </c>
      <c r="AX270" s="1" t="s">
        <v>82</v>
      </c>
      <c r="AY270" s="1" t="s">
        <v>5312</v>
      </c>
      <c r="AZ270" s="1" t="s">
        <v>5313</v>
      </c>
      <c r="BA270" s="1" t="s">
        <v>1593</v>
      </c>
      <c r="BB270" s="1">
        <v>2022</v>
      </c>
      <c r="BC270" s="1">
        <v>40</v>
      </c>
      <c r="BD270" s="1">
        <v>4</v>
      </c>
      <c r="BE270" s="1" t="s">
        <v>82</v>
      </c>
      <c r="BF270" s="1" t="s">
        <v>82</v>
      </c>
      <c r="BG270" s="1" t="s">
        <v>82</v>
      </c>
      <c r="BH270" s="1" t="s">
        <v>82</v>
      </c>
      <c r="BI270" s="1">
        <v>475</v>
      </c>
      <c r="BJ270" s="1">
        <v>479</v>
      </c>
      <c r="BK270" s="1" t="s">
        <v>82</v>
      </c>
      <c r="BL270" s="1" t="s">
        <v>5367</v>
      </c>
      <c r="BM270" s="1" t="str">
        <f>HYPERLINK("http://dx.doi.org/10.1002/cjoc.202100634","http://dx.doi.org/10.1002/cjoc.202100634")</f>
        <v>http://dx.doi.org/10.1002/cjoc.202100634</v>
      </c>
      <c r="BN270" s="1" t="s">
        <v>82</v>
      </c>
      <c r="BO270" s="1" t="s">
        <v>1462</v>
      </c>
      <c r="BP270" s="1">
        <v>5</v>
      </c>
      <c r="BQ270" s="1" t="s">
        <v>705</v>
      </c>
      <c r="BR270" s="1" t="s">
        <v>745</v>
      </c>
      <c r="BS270" s="1" t="s">
        <v>706</v>
      </c>
      <c r="BT270" s="1" t="s">
        <v>5368</v>
      </c>
      <c r="BU270" s="1" t="s">
        <v>82</v>
      </c>
      <c r="BV270" s="1" t="s">
        <v>82</v>
      </c>
      <c r="BW270" s="1" t="s">
        <v>82</v>
      </c>
      <c r="BX270" s="1" t="s">
        <v>82</v>
      </c>
      <c r="BY270" s="1" t="s">
        <v>108</v>
      </c>
      <c r="BZ270" s="1" t="s">
        <v>5369</v>
      </c>
      <c r="CA270" s="1" t="str">
        <f>HYPERLINK("https%3A%2F%2Fwww.webofscience.com%2Fwos%2Fwoscc%2Ffull-record%2FWOS:000733237000001","View Full Record in Web of Science")</f>
        <v>View Full Record in Web of Science</v>
      </c>
    </row>
    <row r="271" s="1" customFormat="1" ht="14.4" spans="1:79">
      <c r="A271">
        <v>270</v>
      </c>
      <c r="B271" s="2" t="s">
        <v>110</v>
      </c>
      <c r="C271" s="1" t="s">
        <v>80</v>
      </c>
      <c r="D271" s="1" t="s">
        <v>5370</v>
      </c>
      <c r="E271" s="1" t="s">
        <v>82</v>
      </c>
      <c r="F271" s="1" t="s">
        <v>82</v>
      </c>
      <c r="G271" s="1" t="s">
        <v>82</v>
      </c>
      <c r="H271" s="1" t="s">
        <v>5371</v>
      </c>
      <c r="I271" s="1" t="s">
        <v>82</v>
      </c>
      <c r="J271" s="1" t="s">
        <v>82</v>
      </c>
      <c r="K271" s="1" t="s">
        <v>5372</v>
      </c>
      <c r="L271" s="1" t="s">
        <v>5298</v>
      </c>
      <c r="M271" s="1">
        <v>5.56</v>
      </c>
      <c r="O271" s="1" t="s">
        <v>82</v>
      </c>
      <c r="P271" s="1" t="s">
        <v>82</v>
      </c>
      <c r="Q271" s="1" t="s">
        <v>87</v>
      </c>
      <c r="R271" s="1" t="s">
        <v>115</v>
      </c>
      <c r="S271" s="1" t="s">
        <v>82</v>
      </c>
      <c r="T271" s="1" t="s">
        <v>82</v>
      </c>
      <c r="U271" s="1" t="s">
        <v>82</v>
      </c>
      <c r="V271" s="1" t="s">
        <v>82</v>
      </c>
      <c r="W271" s="1" t="s">
        <v>82</v>
      </c>
      <c r="X271" s="1" t="s">
        <v>5373</v>
      </c>
      <c r="Y271" s="1" t="s">
        <v>5374</v>
      </c>
      <c r="Z271" s="1" t="s">
        <v>5375</v>
      </c>
      <c r="AA271" s="1">
        <v>1</v>
      </c>
      <c r="AB271" s="1" t="s">
        <v>5376</v>
      </c>
      <c r="AC271" s="1" t="s">
        <v>5377</v>
      </c>
      <c r="AD271" s="1" t="s">
        <v>93</v>
      </c>
      <c r="AE271" s="1" t="s">
        <v>1630</v>
      </c>
      <c r="AF271" s="1" t="s">
        <v>5378</v>
      </c>
      <c r="AG271" s="1" t="s">
        <v>5379</v>
      </c>
      <c r="AH271" s="1" t="s">
        <v>3746</v>
      </c>
      <c r="AI271" s="1" t="s">
        <v>82</v>
      </c>
      <c r="AJ271" s="1" t="s">
        <v>5380</v>
      </c>
      <c r="AK271" s="1" t="s">
        <v>5381</v>
      </c>
      <c r="AL271" s="1" t="s">
        <v>5382</v>
      </c>
      <c r="AM271" s="1" t="s">
        <v>82</v>
      </c>
      <c r="AN271" s="1">
        <v>28</v>
      </c>
      <c r="AO271" s="1">
        <v>8</v>
      </c>
      <c r="AP271" s="1">
        <v>8</v>
      </c>
      <c r="AQ271" s="1">
        <v>5</v>
      </c>
      <c r="AR271" s="1">
        <v>28</v>
      </c>
      <c r="AS271" s="1" t="s">
        <v>695</v>
      </c>
      <c r="AT271" s="1" t="s">
        <v>696</v>
      </c>
      <c r="AU271" s="1" t="s">
        <v>697</v>
      </c>
      <c r="AV271" s="1" t="s">
        <v>5310</v>
      </c>
      <c r="AW271" s="1" t="s">
        <v>5311</v>
      </c>
      <c r="AX271" s="1" t="s">
        <v>82</v>
      </c>
      <c r="AY271" s="1" t="s">
        <v>5312</v>
      </c>
      <c r="AZ271" s="1" t="s">
        <v>5313</v>
      </c>
      <c r="BA271" s="1" t="s">
        <v>1826</v>
      </c>
      <c r="BB271" s="1">
        <v>2022</v>
      </c>
      <c r="BC271" s="1">
        <v>40</v>
      </c>
      <c r="BD271" s="1">
        <v>1</v>
      </c>
      <c r="BE271" s="1" t="s">
        <v>82</v>
      </c>
      <c r="BF271" s="1" t="s">
        <v>82</v>
      </c>
      <c r="BG271" s="1" t="s">
        <v>82</v>
      </c>
      <c r="BH271" s="1" t="s">
        <v>82</v>
      </c>
      <c r="BI271" s="1">
        <v>104</v>
      </c>
      <c r="BJ271" s="1">
        <v>114</v>
      </c>
      <c r="BK271" s="1" t="s">
        <v>82</v>
      </c>
      <c r="BL271" s="1" t="s">
        <v>5383</v>
      </c>
      <c r="BM271" s="1" t="str">
        <f>HYPERLINK("http://dx.doi.org/10.1002/cjoc.202100528","http://dx.doi.org/10.1002/cjoc.202100528")</f>
        <v>http://dx.doi.org/10.1002/cjoc.202100528</v>
      </c>
      <c r="BN271" s="1" t="s">
        <v>82</v>
      </c>
      <c r="BO271" s="1" t="s">
        <v>904</v>
      </c>
      <c r="BP271" s="1">
        <v>11</v>
      </c>
      <c r="BQ271" s="1" t="s">
        <v>705</v>
      </c>
      <c r="BR271" s="1" t="s">
        <v>745</v>
      </c>
      <c r="BS271" s="1" t="s">
        <v>706</v>
      </c>
      <c r="BT271" s="1" t="s">
        <v>5384</v>
      </c>
      <c r="BU271" s="1" t="s">
        <v>82</v>
      </c>
      <c r="BV271" s="1" t="s">
        <v>82</v>
      </c>
      <c r="BW271" s="1" t="s">
        <v>82</v>
      </c>
      <c r="BX271" s="1" t="s">
        <v>82</v>
      </c>
      <c r="BY271" s="1" t="s">
        <v>108</v>
      </c>
      <c r="BZ271" s="1" t="s">
        <v>5385</v>
      </c>
      <c r="CA271" s="1" t="str">
        <f>HYPERLINK("https%3A%2F%2Fwww.webofscience.com%2Fwos%2Fwoscc%2Ffull-record%2FWOS:000722182400001","View Full Record in Web of Science")</f>
        <v>View Full Record in Web of Science</v>
      </c>
    </row>
    <row r="272" s="1" customFormat="1" ht="14.4" spans="1:79">
      <c r="A272">
        <v>271</v>
      </c>
      <c r="B272" s="2" t="s">
        <v>79</v>
      </c>
      <c r="C272" s="1" t="s">
        <v>80</v>
      </c>
      <c r="D272" s="1" t="s">
        <v>5386</v>
      </c>
      <c r="E272" s="1" t="s">
        <v>82</v>
      </c>
      <c r="F272" s="1" t="s">
        <v>82</v>
      </c>
      <c r="G272" s="1" t="s">
        <v>82</v>
      </c>
      <c r="H272" s="1" t="s">
        <v>5387</v>
      </c>
      <c r="I272" s="1" t="s">
        <v>82</v>
      </c>
      <c r="J272" s="1" t="s">
        <v>82</v>
      </c>
      <c r="K272" s="1" t="s">
        <v>5388</v>
      </c>
      <c r="L272" s="1" t="s">
        <v>5389</v>
      </c>
      <c r="M272" s="1">
        <v>5.545</v>
      </c>
      <c r="O272" s="1" t="s">
        <v>82</v>
      </c>
      <c r="P272" s="1" t="s">
        <v>82</v>
      </c>
      <c r="Q272" s="1" t="s">
        <v>87</v>
      </c>
      <c r="R272" s="1" t="s">
        <v>200</v>
      </c>
      <c r="S272" s="1" t="s">
        <v>82</v>
      </c>
      <c r="T272" s="1" t="s">
        <v>82</v>
      </c>
      <c r="U272" s="1" t="s">
        <v>82</v>
      </c>
      <c r="V272" s="1" t="s">
        <v>82</v>
      </c>
      <c r="W272" s="1" t="s">
        <v>82</v>
      </c>
      <c r="X272" s="1" t="s">
        <v>5390</v>
      </c>
      <c r="Y272" s="1" t="s">
        <v>5391</v>
      </c>
      <c r="Z272" s="1" t="s">
        <v>5392</v>
      </c>
      <c r="AB272" s="1" t="s">
        <v>5393</v>
      </c>
      <c r="AC272" s="1" t="s">
        <v>5394</v>
      </c>
      <c r="AD272" s="1" t="s">
        <v>120</v>
      </c>
      <c r="AE272" s="1" t="s">
        <v>5395</v>
      </c>
      <c r="AF272" s="1" t="s">
        <v>5396</v>
      </c>
      <c r="AG272" s="1" t="s">
        <v>5397</v>
      </c>
      <c r="AH272" s="1" t="s">
        <v>82</v>
      </c>
      <c r="AI272" s="1" t="s">
        <v>82</v>
      </c>
      <c r="AJ272" s="1" t="s">
        <v>5398</v>
      </c>
      <c r="AK272" s="1" t="s">
        <v>5399</v>
      </c>
      <c r="AL272" s="1" t="s">
        <v>5400</v>
      </c>
      <c r="AM272" s="1" t="s">
        <v>82</v>
      </c>
      <c r="AN272" s="1">
        <v>33</v>
      </c>
      <c r="AO272" s="1">
        <v>0</v>
      </c>
      <c r="AP272" s="1">
        <v>0</v>
      </c>
      <c r="AQ272" s="1">
        <v>25</v>
      </c>
      <c r="AR272" s="1">
        <v>25</v>
      </c>
      <c r="AS272" s="1" t="s">
        <v>2958</v>
      </c>
      <c r="AT272" s="1" t="s">
        <v>2959</v>
      </c>
      <c r="AU272" s="1" t="s">
        <v>2960</v>
      </c>
      <c r="AV272" s="1" t="s">
        <v>5401</v>
      </c>
      <c r="AW272" s="1" t="s">
        <v>82</v>
      </c>
      <c r="AX272" s="1" t="s">
        <v>82</v>
      </c>
      <c r="AY272" s="1" t="s">
        <v>5402</v>
      </c>
      <c r="AZ272" s="1" t="s">
        <v>5403</v>
      </c>
      <c r="BA272" s="1" t="s">
        <v>4237</v>
      </c>
      <c r="BB272" s="1">
        <v>2022</v>
      </c>
      <c r="BC272" s="1">
        <v>10</v>
      </c>
      <c r="BD272" s="1" t="s">
        <v>82</v>
      </c>
      <c r="BE272" s="1" t="s">
        <v>82</v>
      </c>
      <c r="BF272" s="1" t="s">
        <v>82</v>
      </c>
      <c r="BG272" s="1" t="s">
        <v>82</v>
      </c>
      <c r="BH272" s="1" t="s">
        <v>82</v>
      </c>
      <c r="BI272" s="1" t="s">
        <v>82</v>
      </c>
      <c r="BJ272" s="1" t="s">
        <v>82</v>
      </c>
      <c r="BK272" s="1">
        <v>1055649</v>
      </c>
      <c r="BL272" s="1" t="s">
        <v>5404</v>
      </c>
      <c r="BM272" s="1" t="str">
        <f>HYPERLINK("http://dx.doi.org/10.3389/fchem.2022.1055649","http://dx.doi.org/10.3389/fchem.2022.1055649")</f>
        <v>http://dx.doi.org/10.3389/fchem.2022.1055649</v>
      </c>
      <c r="BN272" s="1" t="s">
        <v>82</v>
      </c>
      <c r="BO272" s="1" t="s">
        <v>82</v>
      </c>
      <c r="BP272" s="1">
        <v>7</v>
      </c>
      <c r="BQ272" s="1" t="s">
        <v>705</v>
      </c>
      <c r="BR272" s="1" t="s">
        <v>104</v>
      </c>
      <c r="BS272" s="1" t="s">
        <v>706</v>
      </c>
      <c r="BT272" s="1" t="s">
        <v>5405</v>
      </c>
      <c r="BU272" s="1">
        <v>36339042</v>
      </c>
      <c r="BV272" s="1" t="s">
        <v>635</v>
      </c>
      <c r="BW272" s="1" t="s">
        <v>82</v>
      </c>
      <c r="BX272" s="1" t="s">
        <v>82</v>
      </c>
      <c r="BY272" s="1" t="s">
        <v>108</v>
      </c>
      <c r="BZ272" s="1" t="s">
        <v>5406</v>
      </c>
      <c r="CA272" s="1" t="str">
        <f>HYPERLINK("https%3A%2F%2Fwww.webofscience.com%2Fwos%2Fwoscc%2Ffull-record%2FWOS:000883900200001","View Full Record in Web of Science")</f>
        <v>View Full Record in Web of Science</v>
      </c>
    </row>
    <row r="273" s="1" customFormat="1" ht="14.4" spans="1:79">
      <c r="A273">
        <v>272</v>
      </c>
      <c r="B273" s="2" t="s">
        <v>110</v>
      </c>
      <c r="C273" s="1" t="s">
        <v>80</v>
      </c>
      <c r="D273" s="1" t="s">
        <v>5407</v>
      </c>
      <c r="E273" s="1" t="s">
        <v>82</v>
      </c>
      <c r="F273" s="1" t="s">
        <v>82</v>
      </c>
      <c r="G273" s="1" t="s">
        <v>82</v>
      </c>
      <c r="H273" s="1" t="s">
        <v>5408</v>
      </c>
      <c r="I273" s="1" t="s">
        <v>82</v>
      </c>
      <c r="J273" s="1" t="s">
        <v>82</v>
      </c>
      <c r="K273" s="1" t="s">
        <v>5409</v>
      </c>
      <c r="L273" s="1" t="s">
        <v>5389</v>
      </c>
      <c r="M273" s="1">
        <v>5.545</v>
      </c>
      <c r="O273" s="1" t="s">
        <v>82</v>
      </c>
      <c r="P273" s="1" t="s">
        <v>82</v>
      </c>
      <c r="Q273" s="1" t="s">
        <v>87</v>
      </c>
      <c r="R273" s="1" t="s">
        <v>115</v>
      </c>
      <c r="S273" s="1" t="s">
        <v>82</v>
      </c>
      <c r="T273" s="1" t="s">
        <v>82</v>
      </c>
      <c r="U273" s="1" t="s">
        <v>82</v>
      </c>
      <c r="V273" s="1" t="s">
        <v>82</v>
      </c>
      <c r="W273" s="1" t="s">
        <v>82</v>
      </c>
      <c r="X273" s="1" t="s">
        <v>5410</v>
      </c>
      <c r="Y273" s="1" t="s">
        <v>5411</v>
      </c>
      <c r="Z273" s="1" t="s">
        <v>5412</v>
      </c>
      <c r="AB273" s="1" t="s">
        <v>1914</v>
      </c>
      <c r="AC273" s="1" t="s">
        <v>5413</v>
      </c>
      <c r="AD273" s="1" t="s">
        <v>120</v>
      </c>
      <c r="AE273" s="1" t="s">
        <v>3010</v>
      </c>
      <c r="AF273" s="1" t="s">
        <v>5414</v>
      </c>
      <c r="AG273" s="1" t="s">
        <v>1918</v>
      </c>
      <c r="AH273" s="1" t="s">
        <v>82</v>
      </c>
      <c r="AI273" s="1" t="s">
        <v>82</v>
      </c>
      <c r="AJ273" s="1" t="s">
        <v>5415</v>
      </c>
      <c r="AK273" s="1" t="s">
        <v>5416</v>
      </c>
      <c r="AL273" s="1" t="s">
        <v>5417</v>
      </c>
      <c r="AM273" s="1" t="s">
        <v>82</v>
      </c>
      <c r="AN273" s="1">
        <v>49</v>
      </c>
      <c r="AO273" s="1">
        <v>0</v>
      </c>
      <c r="AP273" s="1">
        <v>0</v>
      </c>
      <c r="AQ273" s="1">
        <v>6</v>
      </c>
      <c r="AR273" s="1">
        <v>6</v>
      </c>
      <c r="AS273" s="1" t="s">
        <v>2958</v>
      </c>
      <c r="AT273" s="1" t="s">
        <v>2959</v>
      </c>
      <c r="AU273" s="1" t="s">
        <v>2960</v>
      </c>
      <c r="AV273" s="1" t="s">
        <v>5401</v>
      </c>
      <c r="AW273" s="1" t="s">
        <v>82</v>
      </c>
      <c r="AX273" s="1" t="s">
        <v>82</v>
      </c>
      <c r="AY273" s="1" t="s">
        <v>5402</v>
      </c>
      <c r="AZ273" s="1" t="s">
        <v>5403</v>
      </c>
      <c r="BA273" s="1" t="s">
        <v>5418</v>
      </c>
      <c r="BB273" s="1">
        <v>2022</v>
      </c>
      <c r="BC273" s="1">
        <v>10</v>
      </c>
      <c r="BD273" s="1" t="s">
        <v>82</v>
      </c>
      <c r="BE273" s="1" t="s">
        <v>82</v>
      </c>
      <c r="BF273" s="1" t="s">
        <v>82</v>
      </c>
      <c r="BG273" s="1" t="s">
        <v>82</v>
      </c>
      <c r="BH273" s="1" t="s">
        <v>82</v>
      </c>
      <c r="BI273" s="1" t="s">
        <v>82</v>
      </c>
      <c r="BJ273" s="1" t="s">
        <v>82</v>
      </c>
      <c r="BK273" s="1">
        <v>1034785</v>
      </c>
      <c r="BL273" s="1" t="s">
        <v>5419</v>
      </c>
      <c r="BM273" s="1" t="str">
        <f>HYPERLINK("http://dx.doi.org/10.3389/fchem.2022.1035949","http://dx.doi.org/10.3389/fchem.2022.1035949")</f>
        <v>http://dx.doi.org/10.3389/fchem.2022.1035949</v>
      </c>
      <c r="BN273" s="1" t="s">
        <v>82</v>
      </c>
      <c r="BO273" s="1" t="s">
        <v>82</v>
      </c>
      <c r="BP273" s="1">
        <v>12</v>
      </c>
      <c r="BQ273" s="1" t="s">
        <v>705</v>
      </c>
      <c r="BR273" s="1" t="s">
        <v>104</v>
      </c>
      <c r="BS273" s="1" t="s">
        <v>706</v>
      </c>
      <c r="BT273" s="1" t="s">
        <v>5420</v>
      </c>
      <c r="BU273" s="1">
        <v>36385999</v>
      </c>
      <c r="BV273" s="1" t="s">
        <v>592</v>
      </c>
      <c r="BW273" s="1" t="s">
        <v>82</v>
      </c>
      <c r="BX273" s="1" t="s">
        <v>82</v>
      </c>
      <c r="BY273" s="1" t="s">
        <v>108</v>
      </c>
      <c r="BZ273" s="1" t="s">
        <v>5421</v>
      </c>
      <c r="CA273" s="1" t="str">
        <f>HYPERLINK("https%3A%2F%2Fwww.webofscience.com%2Fwos%2Fwoscc%2Ffull-record%2FWOS:000884911400001","View Full Record in Web of Science")</f>
        <v>View Full Record in Web of Science</v>
      </c>
    </row>
    <row r="274" s="1" customFormat="1" ht="14.4" spans="1:79">
      <c r="A274">
        <v>273</v>
      </c>
      <c r="B274" s="2" t="s">
        <v>110</v>
      </c>
      <c r="C274" s="1" t="s">
        <v>80</v>
      </c>
      <c r="D274" s="1" t="s">
        <v>5422</v>
      </c>
      <c r="E274" s="1" t="s">
        <v>82</v>
      </c>
      <c r="F274" s="1" t="s">
        <v>82</v>
      </c>
      <c r="G274" s="1" t="s">
        <v>82</v>
      </c>
      <c r="H274" s="1" t="s">
        <v>5423</v>
      </c>
      <c r="I274" s="1" t="s">
        <v>82</v>
      </c>
      <c r="J274" s="1" t="s">
        <v>82</v>
      </c>
      <c r="K274" s="1" t="s">
        <v>5424</v>
      </c>
      <c r="L274" s="1" t="s">
        <v>5389</v>
      </c>
      <c r="M274" s="1">
        <v>5.545</v>
      </c>
      <c r="O274" s="1" t="s">
        <v>82</v>
      </c>
      <c r="P274" s="1" t="s">
        <v>82</v>
      </c>
      <c r="Q274" s="1" t="s">
        <v>87</v>
      </c>
      <c r="R274" s="1" t="s">
        <v>115</v>
      </c>
      <c r="S274" s="1" t="s">
        <v>82</v>
      </c>
      <c r="T274" s="1" t="s">
        <v>82</v>
      </c>
      <c r="U274" s="1" t="s">
        <v>82</v>
      </c>
      <c r="V274" s="1" t="s">
        <v>82</v>
      </c>
      <c r="W274" s="1" t="s">
        <v>82</v>
      </c>
      <c r="X274" s="1" t="s">
        <v>5425</v>
      </c>
      <c r="Y274" s="1" t="s">
        <v>5426</v>
      </c>
      <c r="Z274" s="1" t="s">
        <v>5427</v>
      </c>
      <c r="AB274" s="1" t="s">
        <v>5428</v>
      </c>
      <c r="AC274" s="1" t="s">
        <v>5429</v>
      </c>
      <c r="AD274" s="1" t="s">
        <v>120</v>
      </c>
      <c r="AE274" s="1" t="s">
        <v>1270</v>
      </c>
      <c r="AF274" s="1" t="s">
        <v>5430</v>
      </c>
      <c r="AG274" s="1" t="s">
        <v>5431</v>
      </c>
      <c r="AH274" s="1" t="s">
        <v>82</v>
      </c>
      <c r="AI274" s="1" t="s">
        <v>82</v>
      </c>
      <c r="AJ274" s="1" t="s">
        <v>5432</v>
      </c>
      <c r="AK274" s="1" t="s">
        <v>5433</v>
      </c>
      <c r="AL274" s="1" t="s">
        <v>5434</v>
      </c>
      <c r="AM274" s="1" t="s">
        <v>82</v>
      </c>
      <c r="AN274" s="1">
        <v>30</v>
      </c>
      <c r="AO274" s="1">
        <v>0</v>
      </c>
      <c r="AP274" s="1">
        <v>0</v>
      </c>
      <c r="AQ274" s="1">
        <v>5</v>
      </c>
      <c r="AR274" s="1">
        <v>5</v>
      </c>
      <c r="AS274" s="1" t="s">
        <v>2958</v>
      </c>
      <c r="AT274" s="1" t="s">
        <v>2959</v>
      </c>
      <c r="AU274" s="1" t="s">
        <v>2960</v>
      </c>
      <c r="AV274" s="1" t="s">
        <v>5401</v>
      </c>
      <c r="AW274" s="1" t="s">
        <v>82</v>
      </c>
      <c r="AX274" s="1" t="s">
        <v>82</v>
      </c>
      <c r="AY274" s="1" t="s">
        <v>5402</v>
      </c>
      <c r="AZ274" s="1" t="s">
        <v>5403</v>
      </c>
      <c r="BA274" s="1" t="s">
        <v>1211</v>
      </c>
      <c r="BB274" s="1">
        <v>2022</v>
      </c>
      <c r="BC274" s="1">
        <v>10</v>
      </c>
      <c r="BD274" s="1" t="s">
        <v>82</v>
      </c>
      <c r="BE274" s="1" t="s">
        <v>82</v>
      </c>
      <c r="BF274" s="1" t="s">
        <v>82</v>
      </c>
      <c r="BG274" s="1" t="s">
        <v>82</v>
      </c>
      <c r="BH274" s="1" t="s">
        <v>82</v>
      </c>
      <c r="BI274" s="1" t="s">
        <v>82</v>
      </c>
      <c r="BJ274" s="1" t="s">
        <v>82</v>
      </c>
      <c r="BK274" s="1">
        <v>990734</v>
      </c>
      <c r="BL274" s="1" t="s">
        <v>5435</v>
      </c>
      <c r="BM274" s="1" t="str">
        <f>HYPERLINK("http://dx.doi.org/10.3389/fchem.2022.990734","http://dx.doi.org/10.3389/fchem.2022.990734")</f>
        <v>http://dx.doi.org/10.3389/fchem.2022.990734</v>
      </c>
      <c r="BN274" s="1" t="s">
        <v>82</v>
      </c>
      <c r="BO274" s="1" t="s">
        <v>82</v>
      </c>
      <c r="BP274" s="1">
        <v>12</v>
      </c>
      <c r="BQ274" s="1" t="s">
        <v>705</v>
      </c>
      <c r="BR274" s="1" t="s">
        <v>104</v>
      </c>
      <c r="BS274" s="1" t="s">
        <v>706</v>
      </c>
      <c r="BT274" s="1" t="s">
        <v>5436</v>
      </c>
      <c r="BU274" s="1">
        <v>36118317</v>
      </c>
      <c r="BV274" s="1" t="s">
        <v>635</v>
      </c>
      <c r="BW274" s="1" t="s">
        <v>82</v>
      </c>
      <c r="BX274" s="1" t="s">
        <v>82</v>
      </c>
      <c r="BY274" s="1" t="s">
        <v>108</v>
      </c>
      <c r="BZ274" s="1" t="s">
        <v>5437</v>
      </c>
      <c r="CA274" s="1" t="str">
        <f>HYPERLINK("https%3A%2F%2Fwww.webofscience.com%2Fwos%2Fwoscc%2Ffull-record%2FWOS:000874811800001","View Full Record in Web of Science")</f>
        <v>View Full Record in Web of Science</v>
      </c>
    </row>
    <row r="275" s="1" customFormat="1" ht="14.4" spans="1:79">
      <c r="A275">
        <v>274</v>
      </c>
      <c r="B275" s="2" t="s">
        <v>79</v>
      </c>
      <c r="C275" s="1" t="s">
        <v>80</v>
      </c>
      <c r="D275" s="1" t="s">
        <v>5438</v>
      </c>
      <c r="E275" s="1" t="s">
        <v>82</v>
      </c>
      <c r="F275" s="1" t="s">
        <v>82</v>
      </c>
      <c r="G275" s="1" t="s">
        <v>82</v>
      </c>
      <c r="H275" s="1" t="s">
        <v>5439</v>
      </c>
      <c r="I275" s="1" t="s">
        <v>82</v>
      </c>
      <c r="J275" s="1" t="s">
        <v>82</v>
      </c>
      <c r="K275" s="1" t="s">
        <v>5440</v>
      </c>
      <c r="L275" s="1" t="s">
        <v>5389</v>
      </c>
      <c r="M275" s="1">
        <v>5.545</v>
      </c>
      <c r="O275" s="1" t="s">
        <v>82</v>
      </c>
      <c r="P275" s="1" t="s">
        <v>82</v>
      </c>
      <c r="Q275" s="1" t="s">
        <v>87</v>
      </c>
      <c r="R275" s="1" t="s">
        <v>115</v>
      </c>
      <c r="S275" s="1" t="s">
        <v>82</v>
      </c>
      <c r="T275" s="1" t="s">
        <v>82</v>
      </c>
      <c r="U275" s="1" t="s">
        <v>82</v>
      </c>
      <c r="V275" s="1" t="s">
        <v>82</v>
      </c>
      <c r="W275" s="1" t="s">
        <v>82</v>
      </c>
      <c r="X275" s="1" t="s">
        <v>5441</v>
      </c>
      <c r="Y275" s="1" t="s">
        <v>5442</v>
      </c>
      <c r="Z275" s="1" t="s">
        <v>5443</v>
      </c>
      <c r="AB275" s="1" t="s">
        <v>5444</v>
      </c>
      <c r="AC275" s="1" t="s">
        <v>5445</v>
      </c>
      <c r="AD275" s="1" t="s">
        <v>120</v>
      </c>
      <c r="AE275" s="1" t="s">
        <v>5446</v>
      </c>
      <c r="AF275" s="1" t="s">
        <v>5447</v>
      </c>
      <c r="AG275" s="1" t="s">
        <v>5448</v>
      </c>
      <c r="AH275" s="1" t="s">
        <v>5449</v>
      </c>
      <c r="AI275" s="1" t="s">
        <v>5450</v>
      </c>
      <c r="AJ275" s="1" t="s">
        <v>5451</v>
      </c>
      <c r="AK275" s="1" t="s">
        <v>5452</v>
      </c>
      <c r="AL275" s="1" t="s">
        <v>5453</v>
      </c>
      <c r="AM275" s="1" t="s">
        <v>82</v>
      </c>
      <c r="AN275" s="1">
        <v>45</v>
      </c>
      <c r="AO275" s="1">
        <v>0</v>
      </c>
      <c r="AP275" s="1">
        <v>0</v>
      </c>
      <c r="AQ275" s="1">
        <v>15</v>
      </c>
      <c r="AR275" s="1">
        <v>15</v>
      </c>
      <c r="AS275" s="1" t="s">
        <v>2958</v>
      </c>
      <c r="AT275" s="1" t="s">
        <v>2959</v>
      </c>
      <c r="AU275" s="1" t="s">
        <v>2960</v>
      </c>
      <c r="AV275" s="1" t="s">
        <v>5401</v>
      </c>
      <c r="AW275" s="1" t="s">
        <v>82</v>
      </c>
      <c r="AX275" s="1" t="s">
        <v>82</v>
      </c>
      <c r="AY275" s="1" t="s">
        <v>5402</v>
      </c>
      <c r="AZ275" s="1" t="s">
        <v>5403</v>
      </c>
      <c r="BA275" s="1" t="s">
        <v>5454</v>
      </c>
      <c r="BB275" s="1">
        <v>2022</v>
      </c>
      <c r="BC275" s="1">
        <v>10</v>
      </c>
      <c r="BD275" s="1" t="s">
        <v>82</v>
      </c>
      <c r="BE275" s="1" t="s">
        <v>82</v>
      </c>
      <c r="BF275" s="1" t="s">
        <v>82</v>
      </c>
      <c r="BG275" s="1" t="s">
        <v>82</v>
      </c>
      <c r="BH275" s="1" t="s">
        <v>82</v>
      </c>
      <c r="BI275" s="1" t="s">
        <v>82</v>
      </c>
      <c r="BJ275" s="1" t="s">
        <v>82</v>
      </c>
      <c r="BK275" s="1">
        <v>964615</v>
      </c>
      <c r="BL275" s="1" t="s">
        <v>5455</v>
      </c>
      <c r="BM275" s="1" t="str">
        <f>HYPERLINK("http://dx.doi.org/10.3389/fchem.2022.964615","http://dx.doi.org/10.3389/fchem.2022.964615")</f>
        <v>http://dx.doi.org/10.3389/fchem.2022.964615</v>
      </c>
      <c r="BN275" s="1" t="s">
        <v>82</v>
      </c>
      <c r="BO275" s="1" t="s">
        <v>82</v>
      </c>
      <c r="BP275" s="1">
        <v>19</v>
      </c>
      <c r="BQ275" s="1" t="s">
        <v>705</v>
      </c>
      <c r="BR275" s="1" t="s">
        <v>104</v>
      </c>
      <c r="BS275" s="1" t="s">
        <v>706</v>
      </c>
      <c r="BT275" s="1" t="s">
        <v>5456</v>
      </c>
      <c r="BU275" s="1">
        <v>36105310</v>
      </c>
      <c r="BV275" s="1" t="s">
        <v>592</v>
      </c>
      <c r="BW275" s="1" t="s">
        <v>82</v>
      </c>
      <c r="BX275" s="1" t="s">
        <v>82</v>
      </c>
      <c r="BY275" s="1" t="s">
        <v>108</v>
      </c>
      <c r="BZ275" s="1" t="s">
        <v>5457</v>
      </c>
      <c r="CA275" s="1" t="str">
        <f>HYPERLINK("https%3A%2F%2Fwww.webofscience.com%2Fwos%2Fwoscc%2Ffull-record%2FWOS:000853582400001","View Full Record in Web of Science")</f>
        <v>View Full Record in Web of Science</v>
      </c>
    </row>
    <row r="276" s="1" customFormat="1" ht="14.4" spans="1:79">
      <c r="A276">
        <v>275</v>
      </c>
      <c r="B276" s="2" t="s">
        <v>110</v>
      </c>
      <c r="C276" s="1" t="s">
        <v>80</v>
      </c>
      <c r="D276" s="1" t="s">
        <v>5458</v>
      </c>
      <c r="E276" s="1" t="s">
        <v>82</v>
      </c>
      <c r="F276" s="1" t="s">
        <v>82</v>
      </c>
      <c r="G276" s="1" t="s">
        <v>82</v>
      </c>
      <c r="H276" s="1" t="s">
        <v>5459</v>
      </c>
      <c r="I276" s="1" t="s">
        <v>82</v>
      </c>
      <c r="J276" s="1" t="s">
        <v>82</v>
      </c>
      <c r="K276" s="1" t="s">
        <v>5460</v>
      </c>
      <c r="L276" s="1" t="s">
        <v>5389</v>
      </c>
      <c r="M276" s="1">
        <v>5.545</v>
      </c>
      <c r="O276" s="1" t="s">
        <v>82</v>
      </c>
      <c r="P276" s="1" t="s">
        <v>82</v>
      </c>
      <c r="Q276" s="1" t="s">
        <v>87</v>
      </c>
      <c r="R276" s="1" t="s">
        <v>115</v>
      </c>
      <c r="S276" s="1" t="s">
        <v>82</v>
      </c>
      <c r="T276" s="1" t="s">
        <v>82</v>
      </c>
      <c r="U276" s="1" t="s">
        <v>82</v>
      </c>
      <c r="V276" s="1" t="s">
        <v>82</v>
      </c>
      <c r="W276" s="1" t="s">
        <v>82</v>
      </c>
      <c r="X276" s="1" t="s">
        <v>5461</v>
      </c>
      <c r="Y276" s="1" t="s">
        <v>82</v>
      </c>
      <c r="Z276" s="1" t="s">
        <v>5462</v>
      </c>
      <c r="AB276" s="1" t="s">
        <v>5463</v>
      </c>
      <c r="AC276" s="1" t="s">
        <v>5464</v>
      </c>
      <c r="AD276" s="1" t="s">
        <v>206</v>
      </c>
      <c r="AE276" s="1" t="s">
        <v>5465</v>
      </c>
      <c r="AF276" s="1" t="s">
        <v>5466</v>
      </c>
      <c r="AG276" s="1" t="s">
        <v>5467</v>
      </c>
      <c r="AH276" s="1" t="s">
        <v>82</v>
      </c>
      <c r="AI276" s="1" t="s">
        <v>82</v>
      </c>
      <c r="AJ276" s="1" t="s">
        <v>5468</v>
      </c>
      <c r="AK276" s="1" t="s">
        <v>5469</v>
      </c>
      <c r="AL276" s="1" t="s">
        <v>5470</v>
      </c>
      <c r="AM276" s="1" t="s">
        <v>82</v>
      </c>
      <c r="AN276" s="1">
        <v>30</v>
      </c>
      <c r="AO276" s="1">
        <v>0</v>
      </c>
      <c r="AP276" s="1">
        <v>0</v>
      </c>
      <c r="AQ276" s="1">
        <v>4</v>
      </c>
      <c r="AR276" s="1">
        <v>4</v>
      </c>
      <c r="AS276" s="1" t="s">
        <v>2958</v>
      </c>
      <c r="AT276" s="1" t="s">
        <v>2959</v>
      </c>
      <c r="AU276" s="1" t="s">
        <v>2960</v>
      </c>
      <c r="AV276" s="1" t="s">
        <v>5401</v>
      </c>
      <c r="AW276" s="1" t="s">
        <v>82</v>
      </c>
      <c r="AX276" s="1" t="s">
        <v>82</v>
      </c>
      <c r="AY276" s="1" t="s">
        <v>5402</v>
      </c>
      <c r="AZ276" s="1" t="s">
        <v>5403</v>
      </c>
      <c r="BA276" s="1" t="s">
        <v>3297</v>
      </c>
      <c r="BB276" s="1">
        <v>2022</v>
      </c>
      <c r="BC276" s="1">
        <v>10</v>
      </c>
      <c r="BD276" s="1" t="s">
        <v>82</v>
      </c>
      <c r="BE276" s="1" t="s">
        <v>82</v>
      </c>
      <c r="BF276" s="1" t="s">
        <v>82</v>
      </c>
      <c r="BG276" s="1" t="s">
        <v>82</v>
      </c>
      <c r="BH276" s="1" t="s">
        <v>82</v>
      </c>
      <c r="BI276" s="1" t="s">
        <v>82</v>
      </c>
      <c r="BJ276" s="1" t="s">
        <v>82</v>
      </c>
      <c r="BK276" s="1">
        <v>950726</v>
      </c>
      <c r="BL276" s="1" t="s">
        <v>5471</v>
      </c>
      <c r="BM276" s="1" t="str">
        <f>HYPERLINK("http://dx.doi.org/10.3389/fchem.2022.950726","http://dx.doi.org/10.3389/fchem.2022.950726")</f>
        <v>http://dx.doi.org/10.3389/fchem.2022.950726</v>
      </c>
      <c r="BN276" s="1" t="s">
        <v>82</v>
      </c>
      <c r="BO276" s="1" t="s">
        <v>82</v>
      </c>
      <c r="BP276" s="1">
        <v>7</v>
      </c>
      <c r="BQ276" s="1" t="s">
        <v>705</v>
      </c>
      <c r="BR276" s="1" t="s">
        <v>104</v>
      </c>
      <c r="BS276" s="1" t="s">
        <v>706</v>
      </c>
      <c r="BT276" s="1" t="s">
        <v>5472</v>
      </c>
      <c r="BU276" s="1">
        <v>35873041</v>
      </c>
      <c r="BV276" s="1" t="s">
        <v>635</v>
      </c>
      <c r="BW276" s="1" t="s">
        <v>82</v>
      </c>
      <c r="BX276" s="1" t="s">
        <v>82</v>
      </c>
      <c r="BY276" s="1" t="s">
        <v>108</v>
      </c>
      <c r="BZ276" s="1" t="s">
        <v>5473</v>
      </c>
      <c r="CA276" s="1" t="str">
        <f>HYPERLINK("https%3A%2F%2Fwww.webofscience.com%2Fwos%2Fwoscc%2Ffull-record%2FWOS:000829663900001","View Full Record in Web of Science")</f>
        <v>View Full Record in Web of Science</v>
      </c>
    </row>
    <row r="277" s="1" customFormat="1" ht="14.4" spans="1:79">
      <c r="A277">
        <v>276</v>
      </c>
      <c r="B277" s="2" t="s">
        <v>110</v>
      </c>
      <c r="C277" s="1" t="s">
        <v>80</v>
      </c>
      <c r="D277" s="1" t="s">
        <v>5474</v>
      </c>
      <c r="E277" s="1" t="s">
        <v>82</v>
      </c>
      <c r="F277" s="1" t="s">
        <v>82</v>
      </c>
      <c r="G277" s="1" t="s">
        <v>82</v>
      </c>
      <c r="H277" s="1" t="s">
        <v>5475</v>
      </c>
      <c r="I277" s="1" t="s">
        <v>82</v>
      </c>
      <c r="J277" s="1" t="s">
        <v>82</v>
      </c>
      <c r="K277" s="1" t="s">
        <v>5476</v>
      </c>
      <c r="L277" s="1" t="s">
        <v>5389</v>
      </c>
      <c r="M277" s="1">
        <v>5.545</v>
      </c>
      <c r="O277" s="1" t="s">
        <v>82</v>
      </c>
      <c r="P277" s="1" t="s">
        <v>82</v>
      </c>
      <c r="Q277" s="1" t="s">
        <v>87</v>
      </c>
      <c r="R277" s="1" t="s">
        <v>115</v>
      </c>
      <c r="S277" s="1" t="s">
        <v>82</v>
      </c>
      <c r="T277" s="1" t="s">
        <v>82</v>
      </c>
      <c r="U277" s="1" t="s">
        <v>82</v>
      </c>
      <c r="V277" s="1" t="s">
        <v>82</v>
      </c>
      <c r="W277" s="1" t="s">
        <v>82</v>
      </c>
      <c r="X277" s="1" t="s">
        <v>5477</v>
      </c>
      <c r="Y277" s="1" t="s">
        <v>5478</v>
      </c>
      <c r="Z277" s="1" t="s">
        <v>5479</v>
      </c>
      <c r="AB277" s="1" t="s">
        <v>5480</v>
      </c>
      <c r="AC277" s="1" t="s">
        <v>5481</v>
      </c>
      <c r="AD277" s="1" t="s">
        <v>120</v>
      </c>
      <c r="AE277" s="1" t="s">
        <v>5482</v>
      </c>
      <c r="AF277" s="1" t="s">
        <v>5483</v>
      </c>
      <c r="AG277" s="1" t="s">
        <v>5484</v>
      </c>
      <c r="AH277" s="1" t="s">
        <v>5485</v>
      </c>
      <c r="AI277" s="1" t="s">
        <v>82</v>
      </c>
      <c r="AJ277" s="1" t="s">
        <v>5486</v>
      </c>
      <c r="AK277" s="1" t="s">
        <v>5487</v>
      </c>
      <c r="AL277" s="1" t="s">
        <v>5488</v>
      </c>
      <c r="AM277" s="1" t="s">
        <v>82</v>
      </c>
      <c r="AN277" s="1">
        <v>30</v>
      </c>
      <c r="AO277" s="1">
        <v>0</v>
      </c>
      <c r="AP277" s="1">
        <v>0</v>
      </c>
      <c r="AQ277" s="1">
        <v>6</v>
      </c>
      <c r="AR277" s="1">
        <v>8</v>
      </c>
      <c r="AS277" s="1" t="s">
        <v>2958</v>
      </c>
      <c r="AT277" s="1" t="s">
        <v>2959</v>
      </c>
      <c r="AU277" s="1" t="s">
        <v>2960</v>
      </c>
      <c r="AV277" s="1" t="s">
        <v>5401</v>
      </c>
      <c r="AW277" s="1" t="s">
        <v>82</v>
      </c>
      <c r="AX277" s="1" t="s">
        <v>82</v>
      </c>
      <c r="AY277" s="1" t="s">
        <v>5402</v>
      </c>
      <c r="AZ277" s="1" t="s">
        <v>5403</v>
      </c>
      <c r="BA277" s="1" t="s">
        <v>5489</v>
      </c>
      <c r="BB277" s="1">
        <v>2022</v>
      </c>
      <c r="BC277" s="1">
        <v>10</v>
      </c>
      <c r="BD277" s="1" t="s">
        <v>82</v>
      </c>
      <c r="BE277" s="1" t="s">
        <v>82</v>
      </c>
      <c r="BF277" s="1" t="s">
        <v>82</v>
      </c>
      <c r="BG277" s="1" t="s">
        <v>82</v>
      </c>
      <c r="BH277" s="1" t="s">
        <v>82</v>
      </c>
      <c r="BI277" s="1" t="s">
        <v>82</v>
      </c>
      <c r="BJ277" s="1" t="s">
        <v>82</v>
      </c>
      <c r="BK277" s="1">
        <v>877469</v>
      </c>
      <c r="BL277" s="1" t="s">
        <v>5490</v>
      </c>
      <c r="BM277" s="1" t="str">
        <f>HYPERLINK("http://dx.doi.org/10.3389/fchem.2022.877469","http://dx.doi.org/10.3389/fchem.2022.877469")</f>
        <v>http://dx.doi.org/10.3389/fchem.2022.877469</v>
      </c>
      <c r="BN277" s="1" t="s">
        <v>82</v>
      </c>
      <c r="BO277" s="1" t="s">
        <v>82</v>
      </c>
      <c r="BP277" s="1">
        <v>10</v>
      </c>
      <c r="BQ277" s="1" t="s">
        <v>705</v>
      </c>
      <c r="BR277" s="1" t="s">
        <v>104</v>
      </c>
      <c r="BS277" s="1" t="s">
        <v>706</v>
      </c>
      <c r="BT277" s="1" t="s">
        <v>5491</v>
      </c>
      <c r="BU277" s="1">
        <v>35433627</v>
      </c>
      <c r="BV277" s="1" t="s">
        <v>592</v>
      </c>
      <c r="BW277" s="1" t="s">
        <v>82</v>
      </c>
      <c r="BX277" s="1" t="s">
        <v>82</v>
      </c>
      <c r="BY277" s="1" t="s">
        <v>108</v>
      </c>
      <c r="BZ277" s="1" t="s">
        <v>5492</v>
      </c>
      <c r="CA277" s="1" t="str">
        <f>HYPERLINK("https%3A%2F%2Fwww.webofscience.com%2Fwos%2Fwoscc%2Ffull-record%2FWOS:000821331400001","View Full Record in Web of Science")</f>
        <v>View Full Record in Web of Science</v>
      </c>
    </row>
    <row r="278" s="1" customFormat="1" ht="14.4" spans="1:79">
      <c r="A278">
        <v>277</v>
      </c>
      <c r="B278" s="2" t="s">
        <v>79</v>
      </c>
      <c r="C278" s="1" t="s">
        <v>80</v>
      </c>
      <c r="D278" s="1" t="s">
        <v>5493</v>
      </c>
      <c r="E278" s="1" t="s">
        <v>82</v>
      </c>
      <c r="F278" s="1" t="s">
        <v>82</v>
      </c>
      <c r="G278" s="1" t="s">
        <v>82</v>
      </c>
      <c r="H278" s="1" t="s">
        <v>5494</v>
      </c>
      <c r="I278" s="1" t="s">
        <v>82</v>
      </c>
      <c r="J278" s="1" t="s">
        <v>82</v>
      </c>
      <c r="K278" s="1" t="s">
        <v>5495</v>
      </c>
      <c r="L278" s="1" t="s">
        <v>5389</v>
      </c>
      <c r="M278" s="1">
        <v>5.545</v>
      </c>
      <c r="O278" s="1" t="s">
        <v>82</v>
      </c>
      <c r="P278" s="1" t="s">
        <v>82</v>
      </c>
      <c r="Q278" s="1" t="s">
        <v>87</v>
      </c>
      <c r="R278" s="1" t="s">
        <v>115</v>
      </c>
      <c r="S278" s="1" t="s">
        <v>82</v>
      </c>
      <c r="T278" s="1" t="s">
        <v>82</v>
      </c>
      <c r="U278" s="1" t="s">
        <v>82</v>
      </c>
      <c r="V278" s="1" t="s">
        <v>82</v>
      </c>
      <c r="W278" s="1" t="s">
        <v>82</v>
      </c>
      <c r="X278" s="1" t="s">
        <v>5496</v>
      </c>
      <c r="Y278" s="1" t="s">
        <v>5497</v>
      </c>
      <c r="Z278" s="1" t="s">
        <v>5498</v>
      </c>
      <c r="AB278" s="1" t="s">
        <v>5499</v>
      </c>
      <c r="AC278" s="1" t="s">
        <v>5500</v>
      </c>
      <c r="AD278" s="1" t="s">
        <v>206</v>
      </c>
      <c r="AE278" s="1" t="s">
        <v>5501</v>
      </c>
      <c r="AF278" s="1" t="s">
        <v>5502</v>
      </c>
      <c r="AG278" s="1" t="s">
        <v>5503</v>
      </c>
      <c r="AH278" s="1" t="s">
        <v>82</v>
      </c>
      <c r="AI278" s="1" t="s">
        <v>1503</v>
      </c>
      <c r="AJ278" s="1" t="s">
        <v>5504</v>
      </c>
      <c r="AK278" s="1" t="s">
        <v>5505</v>
      </c>
      <c r="AL278" s="1" t="s">
        <v>5506</v>
      </c>
      <c r="AM278" s="1" t="s">
        <v>82</v>
      </c>
      <c r="AN278" s="1">
        <v>73</v>
      </c>
      <c r="AO278" s="1">
        <v>1</v>
      </c>
      <c r="AP278" s="1">
        <v>1</v>
      </c>
      <c r="AQ278" s="1">
        <v>4</v>
      </c>
      <c r="AR278" s="1">
        <v>5</v>
      </c>
      <c r="AS278" s="1" t="s">
        <v>2958</v>
      </c>
      <c r="AT278" s="1" t="s">
        <v>2959</v>
      </c>
      <c r="AU278" s="1" t="s">
        <v>2960</v>
      </c>
      <c r="AV278" s="1" t="s">
        <v>5401</v>
      </c>
      <c r="AW278" s="1" t="s">
        <v>82</v>
      </c>
      <c r="AX278" s="1" t="s">
        <v>82</v>
      </c>
      <c r="AY278" s="1" t="s">
        <v>5402</v>
      </c>
      <c r="AZ278" s="1" t="s">
        <v>5403</v>
      </c>
      <c r="BA278" s="1" t="s">
        <v>5507</v>
      </c>
      <c r="BB278" s="1">
        <v>2022</v>
      </c>
      <c r="BC278" s="1">
        <v>10</v>
      </c>
      <c r="BD278" s="1" t="s">
        <v>82</v>
      </c>
      <c r="BE278" s="1" t="s">
        <v>82</v>
      </c>
      <c r="BF278" s="1" t="s">
        <v>82</v>
      </c>
      <c r="BG278" s="1" t="s">
        <v>82</v>
      </c>
      <c r="BH278" s="1" t="s">
        <v>82</v>
      </c>
      <c r="BI278" s="1" t="s">
        <v>82</v>
      </c>
      <c r="BJ278" s="1" t="s">
        <v>82</v>
      </c>
      <c r="BK278" s="1">
        <v>842208</v>
      </c>
      <c r="BL278" s="1" t="s">
        <v>5508</v>
      </c>
      <c r="BM278" s="1" t="str">
        <f>HYPERLINK("http://dx.doi.org/10.3389/fchem.2022.842208","http://dx.doi.org/10.3389/fchem.2022.842208")</f>
        <v>http://dx.doi.org/10.3389/fchem.2022.842208</v>
      </c>
      <c r="BN278" s="1" t="s">
        <v>82</v>
      </c>
      <c r="BO278" s="1" t="s">
        <v>82</v>
      </c>
      <c r="BP278" s="1">
        <v>13</v>
      </c>
      <c r="BQ278" s="1" t="s">
        <v>705</v>
      </c>
      <c r="BR278" s="1" t="s">
        <v>104</v>
      </c>
      <c r="BS278" s="1" t="s">
        <v>706</v>
      </c>
      <c r="BT278" s="1" t="s">
        <v>5509</v>
      </c>
      <c r="BU278" s="1">
        <v>35646819</v>
      </c>
      <c r="BV278" s="1" t="s">
        <v>635</v>
      </c>
      <c r="BW278" s="1" t="s">
        <v>82</v>
      </c>
      <c r="BX278" s="1" t="s">
        <v>82</v>
      </c>
      <c r="BY278" s="1" t="s">
        <v>108</v>
      </c>
      <c r="BZ278" s="1" t="s">
        <v>5510</v>
      </c>
      <c r="CA278" s="1" t="str">
        <f>HYPERLINK("https%3A%2F%2Fwww.webofscience.com%2Fwos%2Fwoscc%2Ffull-record%2FWOS:000804980400001","View Full Record in Web of Science")</f>
        <v>View Full Record in Web of Science</v>
      </c>
    </row>
    <row r="279" s="1" customFormat="1" ht="14.4" spans="1:79">
      <c r="A279">
        <v>278</v>
      </c>
      <c r="B279" s="2" t="s">
        <v>110</v>
      </c>
      <c r="C279" s="1" t="s">
        <v>80</v>
      </c>
      <c r="D279" s="1" t="s">
        <v>5511</v>
      </c>
      <c r="E279" s="1" t="s">
        <v>82</v>
      </c>
      <c r="F279" s="1" t="s">
        <v>82</v>
      </c>
      <c r="G279" s="1" t="s">
        <v>82</v>
      </c>
      <c r="H279" s="1" t="s">
        <v>5512</v>
      </c>
      <c r="I279" s="1" t="s">
        <v>82</v>
      </c>
      <c r="J279" s="1" t="s">
        <v>82</v>
      </c>
      <c r="K279" s="1" t="s">
        <v>5513</v>
      </c>
      <c r="L279" s="1" t="s">
        <v>5389</v>
      </c>
      <c r="M279" s="1">
        <v>5.545</v>
      </c>
      <c r="O279" s="1" t="s">
        <v>82</v>
      </c>
      <c r="P279" s="1" t="s">
        <v>82</v>
      </c>
      <c r="Q279" s="1" t="s">
        <v>87</v>
      </c>
      <c r="R279" s="1" t="s">
        <v>115</v>
      </c>
      <c r="S279" s="1" t="s">
        <v>82</v>
      </c>
      <c r="T279" s="1" t="s">
        <v>82</v>
      </c>
      <c r="U279" s="1" t="s">
        <v>82</v>
      </c>
      <c r="V279" s="1" t="s">
        <v>82</v>
      </c>
      <c r="W279" s="1" t="s">
        <v>82</v>
      </c>
      <c r="X279" s="1" t="s">
        <v>5514</v>
      </c>
      <c r="Y279" s="1" t="s">
        <v>5515</v>
      </c>
      <c r="Z279" s="1" t="s">
        <v>5516</v>
      </c>
      <c r="AA279" s="1">
        <v>1</v>
      </c>
      <c r="AB279" s="1" t="s">
        <v>5517</v>
      </c>
      <c r="AC279" s="1" t="s">
        <v>5518</v>
      </c>
      <c r="AD279" s="1" t="s">
        <v>93</v>
      </c>
      <c r="AE279" s="1" t="s">
        <v>5519</v>
      </c>
      <c r="AF279" s="1" t="s">
        <v>5520</v>
      </c>
      <c r="AG279" s="1" t="s">
        <v>5521</v>
      </c>
      <c r="AH279" s="1" t="s">
        <v>605</v>
      </c>
      <c r="AI279" s="1" t="s">
        <v>606</v>
      </c>
      <c r="AJ279" s="1" t="s">
        <v>5522</v>
      </c>
      <c r="AK279" s="1" t="s">
        <v>5523</v>
      </c>
      <c r="AL279" s="1" t="s">
        <v>5524</v>
      </c>
      <c r="AM279" s="1" t="s">
        <v>82</v>
      </c>
      <c r="AN279" s="1">
        <v>45</v>
      </c>
      <c r="AO279" s="1">
        <v>0</v>
      </c>
      <c r="AP279" s="1">
        <v>0</v>
      </c>
      <c r="AQ279" s="1">
        <v>5</v>
      </c>
      <c r="AR279" s="1">
        <v>24</v>
      </c>
      <c r="AS279" s="1" t="s">
        <v>2958</v>
      </c>
      <c r="AT279" s="1" t="s">
        <v>2959</v>
      </c>
      <c r="AU279" s="1" t="s">
        <v>2960</v>
      </c>
      <c r="AV279" s="1" t="s">
        <v>5401</v>
      </c>
      <c r="AW279" s="1" t="s">
        <v>82</v>
      </c>
      <c r="AX279" s="1" t="s">
        <v>82</v>
      </c>
      <c r="AY279" s="1" t="s">
        <v>5402</v>
      </c>
      <c r="AZ279" s="1" t="s">
        <v>5403</v>
      </c>
      <c r="BA279" s="1" t="s">
        <v>3517</v>
      </c>
      <c r="BB279" s="1">
        <v>2022</v>
      </c>
      <c r="BC279" s="1">
        <v>9</v>
      </c>
      <c r="BD279" s="1" t="s">
        <v>82</v>
      </c>
      <c r="BE279" s="1" t="s">
        <v>82</v>
      </c>
      <c r="BF279" s="1" t="s">
        <v>82</v>
      </c>
      <c r="BG279" s="1" t="s">
        <v>82</v>
      </c>
      <c r="BH279" s="1" t="s">
        <v>82</v>
      </c>
      <c r="BI279" s="1" t="s">
        <v>82</v>
      </c>
      <c r="BJ279" s="1" t="s">
        <v>82</v>
      </c>
      <c r="BK279" s="1">
        <v>812564</v>
      </c>
      <c r="BL279" s="1" t="s">
        <v>5525</v>
      </c>
      <c r="BM279" s="1" t="str">
        <f>HYPERLINK("http://dx.doi.org/10.3389/fchem.2021.812564","http://dx.doi.org/10.3389/fchem.2021.812564")</f>
        <v>http://dx.doi.org/10.3389/fchem.2021.812564</v>
      </c>
      <c r="BN279" s="1" t="s">
        <v>82</v>
      </c>
      <c r="BO279" s="1" t="s">
        <v>82</v>
      </c>
      <c r="BP279" s="1">
        <v>9</v>
      </c>
      <c r="BQ279" s="1" t="s">
        <v>705</v>
      </c>
      <c r="BR279" s="1" t="s">
        <v>104</v>
      </c>
      <c r="BS279" s="1" t="s">
        <v>706</v>
      </c>
      <c r="BT279" s="1" t="s">
        <v>5526</v>
      </c>
      <c r="BU279" s="1">
        <v>35087795</v>
      </c>
      <c r="BV279" s="1" t="s">
        <v>635</v>
      </c>
      <c r="BW279" s="1" t="s">
        <v>82</v>
      </c>
      <c r="BX279" s="1" t="s">
        <v>82</v>
      </c>
      <c r="BY279" s="1" t="s">
        <v>108</v>
      </c>
      <c r="BZ279" s="1" t="s">
        <v>5527</v>
      </c>
      <c r="CA279" s="1" t="str">
        <f>HYPERLINK("https%3A%2F%2Fwww.webofscience.com%2Fwos%2Fwoscc%2Ffull-record%2FWOS:000748037600001","View Full Record in Web of Science")</f>
        <v>View Full Record in Web of Science</v>
      </c>
    </row>
    <row r="280" s="1" customFormat="1" ht="14.4" spans="1:79">
      <c r="A280">
        <v>279</v>
      </c>
      <c r="B280" s="2" t="s">
        <v>79</v>
      </c>
      <c r="C280" s="1" t="s">
        <v>80</v>
      </c>
      <c r="D280" s="1" t="s">
        <v>5528</v>
      </c>
      <c r="E280" s="1" t="s">
        <v>82</v>
      </c>
      <c r="F280" s="1" t="s">
        <v>82</v>
      </c>
      <c r="G280" s="1" t="s">
        <v>82</v>
      </c>
      <c r="H280" s="1" t="s">
        <v>5529</v>
      </c>
      <c r="I280" s="1" t="s">
        <v>82</v>
      </c>
      <c r="J280" s="1" t="s">
        <v>82</v>
      </c>
      <c r="K280" s="1" t="s">
        <v>5530</v>
      </c>
      <c r="L280" s="1" t="s">
        <v>5531</v>
      </c>
      <c r="M280" s="1">
        <v>5.509</v>
      </c>
      <c r="O280" s="1" t="s">
        <v>82</v>
      </c>
      <c r="P280" s="1" t="s">
        <v>82</v>
      </c>
      <c r="Q280" s="1" t="s">
        <v>87</v>
      </c>
      <c r="R280" s="1" t="s">
        <v>115</v>
      </c>
      <c r="S280" s="1" t="s">
        <v>82</v>
      </c>
      <c r="T280" s="1" t="s">
        <v>82</v>
      </c>
      <c r="U280" s="1" t="s">
        <v>82</v>
      </c>
      <c r="V280" s="1" t="s">
        <v>82</v>
      </c>
      <c r="W280" s="1" t="s">
        <v>82</v>
      </c>
      <c r="X280" s="1" t="s">
        <v>5532</v>
      </c>
      <c r="Y280" s="1" t="s">
        <v>5533</v>
      </c>
      <c r="Z280" s="1" t="s">
        <v>5534</v>
      </c>
      <c r="AB280" s="1" t="s">
        <v>4417</v>
      </c>
      <c r="AC280" s="1" t="s">
        <v>5535</v>
      </c>
      <c r="AD280" s="1" t="s">
        <v>120</v>
      </c>
      <c r="AE280" s="1" t="s">
        <v>5536</v>
      </c>
      <c r="AF280" s="1" t="s">
        <v>5537</v>
      </c>
      <c r="AG280" s="1" t="s">
        <v>5538</v>
      </c>
      <c r="AH280" s="1" t="s">
        <v>4422</v>
      </c>
      <c r="AI280" s="1" t="s">
        <v>5539</v>
      </c>
      <c r="AJ280" s="1" t="s">
        <v>5540</v>
      </c>
      <c r="AK280" s="1" t="s">
        <v>5541</v>
      </c>
      <c r="AL280" s="1" t="s">
        <v>5542</v>
      </c>
      <c r="AM280" s="1" t="s">
        <v>82</v>
      </c>
      <c r="AN280" s="1">
        <v>97</v>
      </c>
      <c r="AO280" s="1">
        <v>1</v>
      </c>
      <c r="AP280" s="1">
        <v>1</v>
      </c>
      <c r="AQ280" s="1">
        <v>48</v>
      </c>
      <c r="AR280" s="1">
        <v>48</v>
      </c>
      <c r="AS280" s="1" t="s">
        <v>479</v>
      </c>
      <c r="AT280" s="1" t="s">
        <v>480</v>
      </c>
      <c r="AU280" s="1" t="s">
        <v>481</v>
      </c>
      <c r="AV280" s="1" t="s">
        <v>5543</v>
      </c>
      <c r="AW280" s="1" t="s">
        <v>5544</v>
      </c>
      <c r="AX280" s="1" t="s">
        <v>82</v>
      </c>
      <c r="AY280" s="1" t="s">
        <v>5545</v>
      </c>
      <c r="AZ280" s="1" t="s">
        <v>5546</v>
      </c>
      <c r="BA280" s="1" t="s">
        <v>1340</v>
      </c>
      <c r="BB280" s="1">
        <v>2022</v>
      </c>
      <c r="BC280" s="1">
        <v>178</v>
      </c>
      <c r="BD280" s="1" t="s">
        <v>82</v>
      </c>
      <c r="BE280" s="1" t="s">
        <v>82</v>
      </c>
      <c r="BF280" s="1" t="s">
        <v>82</v>
      </c>
      <c r="BG280" s="1" t="s">
        <v>82</v>
      </c>
      <c r="BH280" s="1" t="s">
        <v>82</v>
      </c>
      <c r="BI280" s="1" t="s">
        <v>82</v>
      </c>
      <c r="BJ280" s="1" t="s">
        <v>82</v>
      </c>
      <c r="BK280" s="1">
        <v>104563</v>
      </c>
      <c r="BL280" s="1" t="s">
        <v>5547</v>
      </c>
      <c r="BM280" s="1" t="str">
        <f>HYPERLINK("http://dx.doi.org/10.1016/j.apsoil.2022.104563","http://dx.doi.org/10.1016/j.apsoil.2022.104563")</f>
        <v>http://dx.doi.org/10.1016/j.apsoil.2022.104563</v>
      </c>
      <c r="BN280" s="1" t="s">
        <v>82</v>
      </c>
      <c r="BO280" s="1" t="s">
        <v>1298</v>
      </c>
      <c r="BP280" s="1">
        <v>12</v>
      </c>
      <c r="BQ280" s="1" t="s">
        <v>1880</v>
      </c>
      <c r="BR280" s="1" t="s">
        <v>104</v>
      </c>
      <c r="BS280" s="1" t="s">
        <v>1881</v>
      </c>
      <c r="BT280" s="1" t="s">
        <v>5548</v>
      </c>
      <c r="BU280" s="1" t="s">
        <v>82</v>
      </c>
      <c r="BV280" s="1" t="s">
        <v>82</v>
      </c>
      <c r="BW280" s="1" t="s">
        <v>82</v>
      </c>
      <c r="BX280" s="1" t="s">
        <v>82</v>
      </c>
      <c r="BY280" s="1" t="s">
        <v>108</v>
      </c>
      <c r="BZ280" s="1" t="s">
        <v>5549</v>
      </c>
      <c r="CA280" s="1" t="str">
        <f>HYPERLINK("https%3A%2F%2Fwww.webofscience.com%2Fwos%2Fwoscc%2Ffull-record%2FWOS:000835659700002","View Full Record in Web of Science")</f>
        <v>View Full Record in Web of Science</v>
      </c>
    </row>
    <row r="281" s="1" customFormat="1" ht="14.4" spans="1:79">
      <c r="A281">
        <v>280</v>
      </c>
      <c r="B281" s="2" t="s">
        <v>79</v>
      </c>
      <c r="C281" s="1" t="s">
        <v>80</v>
      </c>
      <c r="D281" s="1" t="s">
        <v>5550</v>
      </c>
      <c r="E281" s="1" t="s">
        <v>82</v>
      </c>
      <c r="F281" s="1" t="s">
        <v>82</v>
      </c>
      <c r="G281" s="1" t="s">
        <v>82</v>
      </c>
      <c r="H281" s="1" t="s">
        <v>5551</v>
      </c>
      <c r="I281" s="1" t="s">
        <v>82</v>
      </c>
      <c r="J281" s="1" t="s">
        <v>82</v>
      </c>
      <c r="K281" s="1" t="s">
        <v>5552</v>
      </c>
      <c r="L281" s="1" t="s">
        <v>5553</v>
      </c>
      <c r="M281" s="1">
        <v>5.492</v>
      </c>
      <c r="O281" s="1" t="s">
        <v>82</v>
      </c>
      <c r="P281" s="1" t="s">
        <v>82</v>
      </c>
      <c r="Q281" s="1" t="s">
        <v>87</v>
      </c>
      <c r="R281" s="1" t="s">
        <v>1624</v>
      </c>
      <c r="S281" s="1" t="s">
        <v>82</v>
      </c>
      <c r="T281" s="1" t="s">
        <v>82</v>
      </c>
      <c r="U281" s="1" t="s">
        <v>82</v>
      </c>
      <c r="V281" s="1" t="s">
        <v>82</v>
      </c>
      <c r="W281" s="1" t="s">
        <v>82</v>
      </c>
      <c r="X281" s="1" t="s">
        <v>5554</v>
      </c>
      <c r="Y281" s="1" t="s">
        <v>5555</v>
      </c>
      <c r="Z281" s="1" t="s">
        <v>5556</v>
      </c>
      <c r="AB281" s="1" t="s">
        <v>5557</v>
      </c>
      <c r="AC281" s="1" t="s">
        <v>5558</v>
      </c>
      <c r="AD281" s="1" t="s">
        <v>206</v>
      </c>
      <c r="AE281" s="1" t="s">
        <v>5559</v>
      </c>
      <c r="AF281" s="1" t="s">
        <v>5560</v>
      </c>
      <c r="AG281" s="1" t="s">
        <v>5561</v>
      </c>
      <c r="AH281" s="1" t="s">
        <v>5562</v>
      </c>
      <c r="AI281" s="1" t="s">
        <v>5563</v>
      </c>
      <c r="AJ281" s="1" t="s">
        <v>5564</v>
      </c>
      <c r="AK281" s="1" t="s">
        <v>5565</v>
      </c>
      <c r="AL281" s="1" t="s">
        <v>5566</v>
      </c>
      <c r="AM281" s="1" t="s">
        <v>82</v>
      </c>
      <c r="AN281" s="1">
        <v>131</v>
      </c>
      <c r="AO281" s="1">
        <v>0</v>
      </c>
      <c r="AP281" s="1">
        <v>0</v>
      </c>
      <c r="AQ281" s="1">
        <v>5</v>
      </c>
      <c r="AR281" s="1">
        <v>5</v>
      </c>
      <c r="AS281" s="1" t="s">
        <v>2695</v>
      </c>
      <c r="AT281" s="1" t="s">
        <v>975</v>
      </c>
      <c r="AU281" s="1" t="s">
        <v>2696</v>
      </c>
      <c r="AV281" s="1" t="s">
        <v>5567</v>
      </c>
      <c r="AW281" s="1" t="s">
        <v>5568</v>
      </c>
      <c r="AX281" s="1" t="s">
        <v>82</v>
      </c>
      <c r="AY281" s="1" t="s">
        <v>5569</v>
      </c>
      <c r="AZ281" s="1" t="s">
        <v>5570</v>
      </c>
      <c r="BA281" s="1" t="s">
        <v>82</v>
      </c>
      <c r="BB281" s="1" t="s">
        <v>82</v>
      </c>
      <c r="BC281" s="1" t="s">
        <v>82</v>
      </c>
      <c r="BD281" s="1" t="s">
        <v>82</v>
      </c>
      <c r="BE281" s="1" t="s">
        <v>82</v>
      </c>
      <c r="BF281" s="1" t="s">
        <v>82</v>
      </c>
      <c r="BG281" s="1" t="s">
        <v>82</v>
      </c>
      <c r="BH281" s="1" t="s">
        <v>82</v>
      </c>
      <c r="BI281" s="1" t="s">
        <v>82</v>
      </c>
      <c r="BJ281" s="1" t="s">
        <v>82</v>
      </c>
      <c r="BK281" s="1" t="s">
        <v>82</v>
      </c>
      <c r="BL281" s="1" t="s">
        <v>5571</v>
      </c>
      <c r="BM281" s="1" t="str">
        <f>HYPERLINK("http://dx.doi.org/10.1007/s11430-022-9980-9","http://dx.doi.org/10.1007/s11430-022-9980-9")</f>
        <v>http://dx.doi.org/10.1007/s11430-022-9980-9</v>
      </c>
      <c r="BN281" s="1" t="s">
        <v>82</v>
      </c>
      <c r="BO281" s="1" t="s">
        <v>2084</v>
      </c>
      <c r="BP281" s="1">
        <v>22</v>
      </c>
      <c r="BQ281" s="1" t="s">
        <v>1121</v>
      </c>
      <c r="BR281" s="1" t="s">
        <v>104</v>
      </c>
      <c r="BS281" s="1" t="s">
        <v>1122</v>
      </c>
      <c r="BT281" s="1" t="s">
        <v>5572</v>
      </c>
      <c r="BU281" s="1" t="s">
        <v>82</v>
      </c>
      <c r="BV281" s="1" t="s">
        <v>82</v>
      </c>
      <c r="BW281" s="1" t="s">
        <v>82</v>
      </c>
      <c r="BX281" s="1" t="s">
        <v>82</v>
      </c>
      <c r="BY281" s="1" t="s">
        <v>108</v>
      </c>
      <c r="BZ281" s="1" t="s">
        <v>5573</v>
      </c>
      <c r="CA281" s="1" t="str">
        <f>HYPERLINK("https%3A%2F%2Fwww.webofscience.com%2Fwos%2Fwoscc%2Ffull-record%2FWOS:000877413700001","View Full Record in Web of Science")</f>
        <v>View Full Record in Web of Science</v>
      </c>
    </row>
    <row r="282" s="1" customFormat="1" ht="14.4" spans="1:79">
      <c r="A282">
        <v>281</v>
      </c>
      <c r="B282" s="2" t="s">
        <v>79</v>
      </c>
      <c r="C282" s="1" t="s">
        <v>80</v>
      </c>
      <c r="D282" s="1" t="s">
        <v>5574</v>
      </c>
      <c r="E282" s="1" t="s">
        <v>82</v>
      </c>
      <c r="F282" s="1" t="s">
        <v>82</v>
      </c>
      <c r="G282" s="1" t="s">
        <v>82</v>
      </c>
      <c r="H282" s="1" t="s">
        <v>5575</v>
      </c>
      <c r="I282" s="1" t="s">
        <v>82</v>
      </c>
      <c r="J282" s="1" t="s">
        <v>82</v>
      </c>
      <c r="K282" s="1" t="s">
        <v>5576</v>
      </c>
      <c r="L282" s="1" t="s">
        <v>5553</v>
      </c>
      <c r="M282" s="1">
        <v>5.492</v>
      </c>
      <c r="O282" s="1" t="s">
        <v>82</v>
      </c>
      <c r="P282" s="1" t="s">
        <v>82</v>
      </c>
      <c r="Q282" s="1" t="s">
        <v>87</v>
      </c>
      <c r="R282" s="1" t="s">
        <v>115</v>
      </c>
      <c r="S282" s="1" t="s">
        <v>82</v>
      </c>
      <c r="T282" s="1" t="s">
        <v>82</v>
      </c>
      <c r="U282" s="1" t="s">
        <v>82</v>
      </c>
      <c r="V282" s="1" t="s">
        <v>82</v>
      </c>
      <c r="W282" s="1" t="s">
        <v>82</v>
      </c>
      <c r="X282" s="1" t="s">
        <v>5577</v>
      </c>
      <c r="Y282" s="1" t="s">
        <v>5578</v>
      </c>
      <c r="Z282" s="1" t="s">
        <v>5579</v>
      </c>
      <c r="AB282" s="1" t="s">
        <v>5580</v>
      </c>
      <c r="AC282" s="1" t="s">
        <v>5581</v>
      </c>
      <c r="AD282" s="1" t="s">
        <v>120</v>
      </c>
      <c r="AE282" s="1" t="s">
        <v>5582</v>
      </c>
      <c r="AF282" s="1" t="s">
        <v>5583</v>
      </c>
      <c r="AG282" s="1" t="s">
        <v>5584</v>
      </c>
      <c r="AH282" s="1" t="s">
        <v>5585</v>
      </c>
      <c r="AI282" s="1" t="s">
        <v>5586</v>
      </c>
      <c r="AJ282" s="1" t="s">
        <v>5587</v>
      </c>
      <c r="AK282" s="1" t="s">
        <v>5588</v>
      </c>
      <c r="AL282" s="1" t="s">
        <v>5589</v>
      </c>
      <c r="AM282" s="1" t="s">
        <v>82</v>
      </c>
      <c r="AN282" s="1">
        <v>95</v>
      </c>
      <c r="AO282" s="1">
        <v>2</v>
      </c>
      <c r="AP282" s="1">
        <v>2</v>
      </c>
      <c r="AQ282" s="1">
        <v>9</v>
      </c>
      <c r="AR282" s="1">
        <v>15</v>
      </c>
      <c r="AS282" s="1" t="s">
        <v>2695</v>
      </c>
      <c r="AT282" s="1" t="s">
        <v>975</v>
      </c>
      <c r="AU282" s="1" t="s">
        <v>2696</v>
      </c>
      <c r="AV282" s="1" t="s">
        <v>5567</v>
      </c>
      <c r="AW282" s="1" t="s">
        <v>5568</v>
      </c>
      <c r="AX282" s="1" t="s">
        <v>82</v>
      </c>
      <c r="AY282" s="1" t="s">
        <v>5569</v>
      </c>
      <c r="AZ282" s="1" t="s">
        <v>5570</v>
      </c>
      <c r="BA282" s="1" t="s">
        <v>1403</v>
      </c>
      <c r="BB282" s="1">
        <v>2022</v>
      </c>
      <c r="BC282" s="1">
        <v>65</v>
      </c>
      <c r="BD282" s="1">
        <v>7</v>
      </c>
      <c r="BE282" s="1" t="s">
        <v>82</v>
      </c>
      <c r="BF282" s="1" t="s">
        <v>82</v>
      </c>
      <c r="BG282" s="1" t="s">
        <v>82</v>
      </c>
      <c r="BH282" s="1" t="s">
        <v>82</v>
      </c>
      <c r="BI282" s="1">
        <v>1339</v>
      </c>
      <c r="BJ282" s="1">
        <v>1352</v>
      </c>
      <c r="BK282" s="1" t="s">
        <v>82</v>
      </c>
      <c r="BL282" s="1" t="s">
        <v>5590</v>
      </c>
      <c r="BM282" s="1" t="str">
        <f>HYPERLINK("http://dx.doi.org/10.1007/s11430-021-9932-2","http://dx.doi.org/10.1007/s11430-021-9932-2")</f>
        <v>http://dx.doi.org/10.1007/s11430-021-9932-2</v>
      </c>
      <c r="BN282" s="1" t="s">
        <v>82</v>
      </c>
      <c r="BO282" s="1" t="s">
        <v>1298</v>
      </c>
      <c r="BP282" s="1">
        <v>14</v>
      </c>
      <c r="BQ282" s="1" t="s">
        <v>1121</v>
      </c>
      <c r="BR282" s="1" t="s">
        <v>104</v>
      </c>
      <c r="BS282" s="1" t="s">
        <v>1122</v>
      </c>
      <c r="BT282" s="1" t="s">
        <v>5591</v>
      </c>
      <c r="BU282" s="1" t="s">
        <v>82</v>
      </c>
      <c r="BV282" s="1" t="s">
        <v>82</v>
      </c>
      <c r="BW282" s="1" t="s">
        <v>82</v>
      </c>
      <c r="BX282" s="1" t="s">
        <v>82</v>
      </c>
      <c r="BY282" s="1" t="s">
        <v>108</v>
      </c>
      <c r="BZ282" s="1" t="s">
        <v>5592</v>
      </c>
      <c r="CA282" s="1" t="str">
        <f>HYPERLINK("https%3A%2F%2Fwww.webofscience.com%2Fwos%2Fwoscc%2Ffull-record%2FWOS:000807920800003","View Full Record in Web of Science")</f>
        <v>View Full Record in Web of Science</v>
      </c>
    </row>
    <row r="283" s="1" customFormat="1" ht="14.4" spans="1:79">
      <c r="A283">
        <v>282</v>
      </c>
      <c r="B283" s="2" t="s">
        <v>79</v>
      </c>
      <c r="C283" s="1" t="s">
        <v>80</v>
      </c>
      <c r="D283" s="1" t="s">
        <v>5593</v>
      </c>
      <c r="E283" s="1" t="s">
        <v>82</v>
      </c>
      <c r="F283" s="1" t="s">
        <v>82</v>
      </c>
      <c r="G283" s="1" t="s">
        <v>82</v>
      </c>
      <c r="H283" s="1" t="s">
        <v>5594</v>
      </c>
      <c r="I283" s="1" t="s">
        <v>82</v>
      </c>
      <c r="J283" s="1" t="s">
        <v>82</v>
      </c>
      <c r="K283" s="1" t="s">
        <v>5595</v>
      </c>
      <c r="L283" s="1" t="s">
        <v>5596</v>
      </c>
      <c r="M283" s="1">
        <v>5.456</v>
      </c>
      <c r="O283" s="1" t="s">
        <v>82</v>
      </c>
      <c r="P283" s="1" t="s">
        <v>82</v>
      </c>
      <c r="Q283" s="1" t="s">
        <v>87</v>
      </c>
      <c r="R283" s="1" t="s">
        <v>1624</v>
      </c>
      <c r="S283" s="1" t="s">
        <v>82</v>
      </c>
      <c r="T283" s="1" t="s">
        <v>82</v>
      </c>
      <c r="U283" s="1" t="s">
        <v>82</v>
      </c>
      <c r="V283" s="1" t="s">
        <v>82</v>
      </c>
      <c r="W283" s="1" t="s">
        <v>82</v>
      </c>
      <c r="X283" s="1" t="s">
        <v>82</v>
      </c>
      <c r="Y283" s="1" t="s">
        <v>5597</v>
      </c>
      <c r="Z283" s="1" t="s">
        <v>5598</v>
      </c>
      <c r="AB283" s="1" t="s">
        <v>5599</v>
      </c>
      <c r="AC283" s="1" t="s">
        <v>5600</v>
      </c>
      <c r="AD283" s="1" t="s">
        <v>120</v>
      </c>
      <c r="AE283" s="1" t="s">
        <v>5601</v>
      </c>
      <c r="AF283" s="1" t="s">
        <v>5602</v>
      </c>
      <c r="AG283" s="1" t="s">
        <v>5603</v>
      </c>
      <c r="AH283" s="1" t="s">
        <v>5604</v>
      </c>
      <c r="AI283" s="1" t="s">
        <v>5605</v>
      </c>
      <c r="AJ283" s="1" t="s">
        <v>5606</v>
      </c>
      <c r="AK283" s="1" t="s">
        <v>5607</v>
      </c>
      <c r="AL283" s="1" t="s">
        <v>5608</v>
      </c>
      <c r="AM283" s="1" t="s">
        <v>82</v>
      </c>
      <c r="AN283" s="1">
        <v>34</v>
      </c>
      <c r="AO283" s="1">
        <v>0</v>
      </c>
      <c r="AP283" s="1">
        <v>0</v>
      </c>
      <c r="AQ283" s="1">
        <v>1</v>
      </c>
      <c r="AR283" s="1">
        <v>1</v>
      </c>
      <c r="AS283" s="1" t="s">
        <v>1480</v>
      </c>
      <c r="AT283" s="1" t="s">
        <v>416</v>
      </c>
      <c r="AU283" s="1" t="s">
        <v>1481</v>
      </c>
      <c r="AV283" s="1" t="s">
        <v>5609</v>
      </c>
      <c r="AW283" s="1" t="s">
        <v>82</v>
      </c>
      <c r="AX283" s="1" t="s">
        <v>82</v>
      </c>
      <c r="AY283" s="1" t="s">
        <v>5610</v>
      </c>
      <c r="AZ283" s="1" t="s">
        <v>5611</v>
      </c>
      <c r="BA283" s="1" t="s">
        <v>82</v>
      </c>
      <c r="BB283" s="1" t="s">
        <v>82</v>
      </c>
      <c r="BC283" s="1" t="s">
        <v>82</v>
      </c>
      <c r="BD283" s="1" t="s">
        <v>82</v>
      </c>
      <c r="BE283" s="1" t="s">
        <v>82</v>
      </c>
      <c r="BF283" s="1" t="s">
        <v>82</v>
      </c>
      <c r="BG283" s="1" t="s">
        <v>82</v>
      </c>
      <c r="BH283" s="1" t="s">
        <v>82</v>
      </c>
      <c r="BI283" s="1" t="s">
        <v>82</v>
      </c>
      <c r="BJ283" s="1" t="s">
        <v>82</v>
      </c>
      <c r="BK283" s="1" t="s">
        <v>82</v>
      </c>
      <c r="BL283" s="1" t="s">
        <v>5612</v>
      </c>
      <c r="BM283" s="1" t="str">
        <f>HYPERLINK("http://dx.doi.org/10.1039/d2qo01767a","http://dx.doi.org/10.1039/d2qo01767a")</f>
        <v>http://dx.doi.org/10.1039/d2qo01767a</v>
      </c>
      <c r="BN283" s="1" t="s">
        <v>82</v>
      </c>
      <c r="BO283" s="1" t="s">
        <v>1618</v>
      </c>
      <c r="BP283" s="1">
        <v>10</v>
      </c>
      <c r="BQ283" s="1" t="s">
        <v>4190</v>
      </c>
      <c r="BR283" s="1" t="s">
        <v>104</v>
      </c>
      <c r="BS283" s="1" t="s">
        <v>706</v>
      </c>
      <c r="BT283" s="1" t="s">
        <v>5613</v>
      </c>
      <c r="BU283" s="1" t="s">
        <v>82</v>
      </c>
      <c r="BV283" s="1" t="s">
        <v>82</v>
      </c>
      <c r="BW283" s="1" t="s">
        <v>82</v>
      </c>
      <c r="BX283" s="1" t="s">
        <v>82</v>
      </c>
      <c r="BY283" s="1" t="s">
        <v>108</v>
      </c>
      <c r="BZ283" s="1" t="s">
        <v>5614</v>
      </c>
      <c r="CA283" s="1" t="str">
        <f>HYPERLINK("https%3A%2F%2Fwww.webofscience.com%2Fwos%2Fwoscc%2Ffull-record%2FWOS:000908473900001","View Full Record in Web of Science")</f>
        <v>View Full Record in Web of Science</v>
      </c>
    </row>
    <row r="284" s="1" customFormat="1" ht="14.4" spans="1:79">
      <c r="A284">
        <v>283</v>
      </c>
      <c r="B284" s="2" t="s">
        <v>110</v>
      </c>
      <c r="C284" s="1" t="s">
        <v>80</v>
      </c>
      <c r="D284" s="1" t="s">
        <v>5615</v>
      </c>
      <c r="E284" s="1" t="s">
        <v>82</v>
      </c>
      <c r="F284" s="1" t="s">
        <v>82</v>
      </c>
      <c r="G284" s="1" t="s">
        <v>82</v>
      </c>
      <c r="H284" s="1" t="s">
        <v>5616</v>
      </c>
      <c r="I284" s="1" t="s">
        <v>82</v>
      </c>
      <c r="J284" s="1" t="s">
        <v>82</v>
      </c>
      <c r="K284" s="1" t="s">
        <v>5617</v>
      </c>
      <c r="L284" s="1" t="s">
        <v>5596</v>
      </c>
      <c r="M284" s="1">
        <v>5.456</v>
      </c>
      <c r="O284" s="1" t="s">
        <v>82</v>
      </c>
      <c r="P284" s="1" t="s">
        <v>82</v>
      </c>
      <c r="Q284" s="1" t="s">
        <v>87</v>
      </c>
      <c r="R284" s="1" t="s">
        <v>200</v>
      </c>
      <c r="S284" s="1" t="s">
        <v>82</v>
      </c>
      <c r="T284" s="1" t="s">
        <v>82</v>
      </c>
      <c r="U284" s="1" t="s">
        <v>82</v>
      </c>
      <c r="V284" s="1" t="s">
        <v>82</v>
      </c>
      <c r="W284" s="1" t="s">
        <v>82</v>
      </c>
      <c r="X284" s="1" t="s">
        <v>82</v>
      </c>
      <c r="Y284" s="1" t="s">
        <v>5618</v>
      </c>
      <c r="Z284" s="1" t="s">
        <v>5619</v>
      </c>
      <c r="AB284" s="1" t="s">
        <v>5620</v>
      </c>
      <c r="AC284" s="1" t="s">
        <v>5621</v>
      </c>
      <c r="AD284" s="1" t="s">
        <v>120</v>
      </c>
      <c r="AE284" s="1" t="s">
        <v>5622</v>
      </c>
      <c r="AF284" s="1" t="s">
        <v>5623</v>
      </c>
      <c r="AG284" s="1" t="s">
        <v>4329</v>
      </c>
      <c r="AH284" s="1" t="s">
        <v>82</v>
      </c>
      <c r="AI284" s="1" t="s">
        <v>5624</v>
      </c>
      <c r="AJ284" s="1" t="s">
        <v>5625</v>
      </c>
      <c r="AK284" s="1" t="s">
        <v>5626</v>
      </c>
      <c r="AL284" s="1" t="s">
        <v>5627</v>
      </c>
      <c r="AM284" s="1" t="s">
        <v>82</v>
      </c>
      <c r="AN284" s="1">
        <v>83</v>
      </c>
      <c r="AO284" s="1">
        <v>0</v>
      </c>
      <c r="AP284" s="1">
        <v>0</v>
      </c>
      <c r="AQ284" s="1">
        <v>16</v>
      </c>
      <c r="AR284" s="1">
        <v>16</v>
      </c>
      <c r="AS284" s="1" t="s">
        <v>1480</v>
      </c>
      <c r="AT284" s="1" t="s">
        <v>416</v>
      </c>
      <c r="AU284" s="1" t="s">
        <v>1481</v>
      </c>
      <c r="AV284" s="1" t="s">
        <v>5609</v>
      </c>
      <c r="AW284" s="1" t="s">
        <v>82</v>
      </c>
      <c r="AX284" s="1" t="s">
        <v>82</v>
      </c>
      <c r="AY284" s="1" t="s">
        <v>5610</v>
      </c>
      <c r="AZ284" s="1" t="s">
        <v>5611</v>
      </c>
      <c r="BA284" s="1" t="s">
        <v>2998</v>
      </c>
      <c r="BB284" s="1">
        <v>2022</v>
      </c>
      <c r="BC284" s="1">
        <v>9</v>
      </c>
      <c r="BD284" s="1">
        <v>24</v>
      </c>
      <c r="BE284" s="1" t="s">
        <v>82</v>
      </c>
      <c r="BF284" s="1" t="s">
        <v>82</v>
      </c>
      <c r="BG284" s="1" t="s">
        <v>82</v>
      </c>
      <c r="BH284" s="1" t="s">
        <v>82</v>
      </c>
      <c r="BI284" s="1">
        <v>6979</v>
      </c>
      <c r="BJ284" s="1">
        <v>6998</v>
      </c>
      <c r="BK284" s="1" t="s">
        <v>82</v>
      </c>
      <c r="BL284" s="1" t="s">
        <v>5628</v>
      </c>
      <c r="BM284" s="1" t="str">
        <f>HYPERLINK("http://dx.doi.org/10.1039/d2qo01223e","http://dx.doi.org/10.1039/d2qo01223e")</f>
        <v>http://dx.doi.org/10.1039/d2qo01223e</v>
      </c>
      <c r="BN284" s="1" t="s">
        <v>82</v>
      </c>
      <c r="BO284" s="1" t="s">
        <v>224</v>
      </c>
      <c r="BP284" s="1">
        <v>21</v>
      </c>
      <c r="BQ284" s="1" t="s">
        <v>4190</v>
      </c>
      <c r="BR284" s="1" t="s">
        <v>104</v>
      </c>
      <c r="BS284" s="1" t="s">
        <v>706</v>
      </c>
      <c r="BT284" s="1" t="s">
        <v>5629</v>
      </c>
      <c r="BU284" s="1" t="s">
        <v>82</v>
      </c>
      <c r="BV284" s="1" t="s">
        <v>82</v>
      </c>
      <c r="BW284" s="1" t="s">
        <v>82</v>
      </c>
      <c r="BX284" s="1" t="s">
        <v>82</v>
      </c>
      <c r="BY284" s="1" t="s">
        <v>108</v>
      </c>
      <c r="BZ284" s="1" t="s">
        <v>5630</v>
      </c>
      <c r="CA284" s="1" t="str">
        <f>HYPERLINK("https%3A%2F%2Fwww.webofscience.com%2Fwos%2Fwoscc%2Ffull-record%2FWOS:000864810600001","View Full Record in Web of Science")</f>
        <v>View Full Record in Web of Science</v>
      </c>
    </row>
    <row r="285" s="1" customFormat="1" ht="14.4" spans="1:79">
      <c r="A285">
        <v>284</v>
      </c>
      <c r="B285" s="2" t="s">
        <v>110</v>
      </c>
      <c r="C285" s="1" t="s">
        <v>80</v>
      </c>
      <c r="D285" s="1" t="s">
        <v>5631</v>
      </c>
      <c r="E285" s="1" t="s">
        <v>82</v>
      </c>
      <c r="F285" s="1" t="s">
        <v>82</v>
      </c>
      <c r="G285" s="1" t="s">
        <v>82</v>
      </c>
      <c r="H285" s="1" t="s">
        <v>5632</v>
      </c>
      <c r="I285" s="1" t="s">
        <v>82</v>
      </c>
      <c r="J285" s="1" t="s">
        <v>82</v>
      </c>
      <c r="K285" s="1" t="s">
        <v>5633</v>
      </c>
      <c r="L285" s="1" t="s">
        <v>5596</v>
      </c>
      <c r="M285" s="1">
        <v>5.456</v>
      </c>
      <c r="O285" s="1" t="s">
        <v>82</v>
      </c>
      <c r="P285" s="1" t="s">
        <v>82</v>
      </c>
      <c r="Q285" s="1" t="s">
        <v>87</v>
      </c>
      <c r="R285" s="1" t="s">
        <v>115</v>
      </c>
      <c r="S285" s="1" t="s">
        <v>82</v>
      </c>
      <c r="T285" s="1" t="s">
        <v>82</v>
      </c>
      <c r="U285" s="1" t="s">
        <v>82</v>
      </c>
      <c r="V285" s="1" t="s">
        <v>82</v>
      </c>
      <c r="W285" s="1" t="s">
        <v>82</v>
      </c>
      <c r="X285" s="1" t="s">
        <v>82</v>
      </c>
      <c r="Y285" s="1" t="s">
        <v>5634</v>
      </c>
      <c r="Z285" s="1" t="s">
        <v>5635</v>
      </c>
      <c r="AA285" s="1">
        <v>1</v>
      </c>
      <c r="AB285" s="1" t="s">
        <v>5636</v>
      </c>
      <c r="AC285" s="1" t="s">
        <v>5637</v>
      </c>
      <c r="AD285" s="1" t="s">
        <v>93</v>
      </c>
      <c r="AE285" s="1" t="s">
        <v>5638</v>
      </c>
      <c r="AF285" s="1" t="s">
        <v>5639</v>
      </c>
      <c r="AG285" s="1" t="s">
        <v>5640</v>
      </c>
      <c r="AH285" s="1" t="s">
        <v>82</v>
      </c>
      <c r="AI285" s="1" t="s">
        <v>5641</v>
      </c>
      <c r="AJ285" s="1" t="s">
        <v>5642</v>
      </c>
      <c r="AK285" s="1" t="s">
        <v>5643</v>
      </c>
      <c r="AL285" s="1" t="s">
        <v>5644</v>
      </c>
      <c r="AM285" s="1" t="s">
        <v>82</v>
      </c>
      <c r="AN285" s="1">
        <v>32</v>
      </c>
      <c r="AO285" s="1">
        <v>1</v>
      </c>
      <c r="AP285" s="1">
        <v>1</v>
      </c>
      <c r="AQ285" s="1">
        <v>8</v>
      </c>
      <c r="AR285" s="1">
        <v>12</v>
      </c>
      <c r="AS285" s="1" t="s">
        <v>1480</v>
      </c>
      <c r="AT285" s="1" t="s">
        <v>416</v>
      </c>
      <c r="AU285" s="1" t="s">
        <v>1481</v>
      </c>
      <c r="AV285" s="1" t="s">
        <v>5609</v>
      </c>
      <c r="AW285" s="1" t="s">
        <v>82</v>
      </c>
      <c r="AX285" s="1" t="s">
        <v>82</v>
      </c>
      <c r="AY285" s="1" t="s">
        <v>5610</v>
      </c>
      <c r="AZ285" s="1" t="s">
        <v>5611</v>
      </c>
      <c r="BA285" s="1" t="s">
        <v>5645</v>
      </c>
      <c r="BB285" s="1">
        <v>2022</v>
      </c>
      <c r="BC285" s="1">
        <v>9</v>
      </c>
      <c r="BD285" s="1">
        <v>15</v>
      </c>
      <c r="BE285" s="1" t="s">
        <v>82</v>
      </c>
      <c r="BF285" s="1" t="s">
        <v>82</v>
      </c>
      <c r="BG285" s="1" t="s">
        <v>82</v>
      </c>
      <c r="BH285" s="1" t="s">
        <v>82</v>
      </c>
      <c r="BI285" s="1">
        <v>4023</v>
      </c>
      <c r="BJ285" s="1">
        <v>4033</v>
      </c>
      <c r="BK285" s="1" t="s">
        <v>82</v>
      </c>
      <c r="BL285" s="1" t="s">
        <v>5646</v>
      </c>
      <c r="BM285" s="1" t="str">
        <f>HYPERLINK("http://dx.doi.org/10.1039/d2qo00723a","http://dx.doi.org/10.1039/d2qo00723a")</f>
        <v>http://dx.doi.org/10.1039/d2qo00723a</v>
      </c>
      <c r="BN285" s="1" t="s">
        <v>82</v>
      </c>
      <c r="BO285" s="1" t="s">
        <v>1298</v>
      </c>
      <c r="BP285" s="1">
        <v>11</v>
      </c>
      <c r="BQ285" s="1" t="s">
        <v>4190</v>
      </c>
      <c r="BR285" s="1" t="s">
        <v>745</v>
      </c>
      <c r="BS285" s="1" t="s">
        <v>706</v>
      </c>
      <c r="BT285" s="1" t="s">
        <v>5647</v>
      </c>
      <c r="BU285" s="1" t="s">
        <v>82</v>
      </c>
      <c r="BV285" s="1" t="s">
        <v>82</v>
      </c>
      <c r="BW285" s="1" t="s">
        <v>82</v>
      </c>
      <c r="BX285" s="1" t="s">
        <v>82</v>
      </c>
      <c r="BY285" s="1" t="s">
        <v>108</v>
      </c>
      <c r="BZ285" s="1" t="s">
        <v>5648</v>
      </c>
      <c r="CA285" s="1" t="str">
        <f>HYPERLINK("https%3A%2F%2Fwww.webofscience.com%2Fwos%2Fwoscc%2Ffull-record%2FWOS:000814221000001","View Full Record in Web of Science")</f>
        <v>View Full Record in Web of Science</v>
      </c>
    </row>
    <row r="286" s="1" customFormat="1" ht="14.4" spans="1:79">
      <c r="A286">
        <v>285</v>
      </c>
      <c r="B286" s="2" t="s">
        <v>110</v>
      </c>
      <c r="C286" s="1" t="s">
        <v>80</v>
      </c>
      <c r="D286" s="1" t="s">
        <v>5649</v>
      </c>
      <c r="E286" s="1" t="s">
        <v>82</v>
      </c>
      <c r="F286" s="1" t="s">
        <v>82</v>
      </c>
      <c r="G286" s="1" t="s">
        <v>82</v>
      </c>
      <c r="H286" s="1" t="s">
        <v>5650</v>
      </c>
      <c r="I286" s="1" t="s">
        <v>82</v>
      </c>
      <c r="J286" s="1" t="s">
        <v>82</v>
      </c>
      <c r="K286" s="1" t="s">
        <v>5651</v>
      </c>
      <c r="L286" s="1" t="s">
        <v>5596</v>
      </c>
      <c r="M286" s="1">
        <v>5.456</v>
      </c>
      <c r="O286" s="1" t="s">
        <v>82</v>
      </c>
      <c r="P286" s="1" t="s">
        <v>82</v>
      </c>
      <c r="Q286" s="1" t="s">
        <v>87</v>
      </c>
      <c r="R286" s="1" t="s">
        <v>115</v>
      </c>
      <c r="S286" s="1" t="s">
        <v>82</v>
      </c>
      <c r="T286" s="1" t="s">
        <v>82</v>
      </c>
      <c r="U286" s="1" t="s">
        <v>82</v>
      </c>
      <c r="V286" s="1" t="s">
        <v>82</v>
      </c>
      <c r="W286" s="1" t="s">
        <v>82</v>
      </c>
      <c r="X286" s="1" t="s">
        <v>82</v>
      </c>
      <c r="Y286" s="1" t="s">
        <v>82</v>
      </c>
      <c r="Z286" s="1" t="s">
        <v>5652</v>
      </c>
      <c r="AA286" s="1">
        <v>1</v>
      </c>
      <c r="AB286" s="1" t="s">
        <v>2613</v>
      </c>
      <c r="AC286" s="1" t="s">
        <v>5653</v>
      </c>
      <c r="AD286" s="1" t="s">
        <v>93</v>
      </c>
      <c r="AE286" s="1" t="s">
        <v>5654</v>
      </c>
      <c r="AF286" s="1" t="s">
        <v>2634</v>
      </c>
      <c r="AG286" s="1" t="s">
        <v>2635</v>
      </c>
      <c r="AH286" s="1" t="s">
        <v>82</v>
      </c>
      <c r="AI286" s="1" t="s">
        <v>5655</v>
      </c>
      <c r="AJ286" s="1" t="s">
        <v>5656</v>
      </c>
      <c r="AK286" s="1" t="s">
        <v>5657</v>
      </c>
      <c r="AL286" s="1" t="s">
        <v>5658</v>
      </c>
      <c r="AM286" s="1" t="s">
        <v>82</v>
      </c>
      <c r="AN286" s="1">
        <v>35</v>
      </c>
      <c r="AO286" s="1">
        <v>1</v>
      </c>
      <c r="AP286" s="1">
        <v>1</v>
      </c>
      <c r="AQ286" s="1">
        <v>8</v>
      </c>
      <c r="AR286" s="1">
        <v>20</v>
      </c>
      <c r="AS286" s="1" t="s">
        <v>1480</v>
      </c>
      <c r="AT286" s="1" t="s">
        <v>416</v>
      </c>
      <c r="AU286" s="1" t="s">
        <v>1481</v>
      </c>
      <c r="AV286" s="1" t="s">
        <v>5609</v>
      </c>
      <c r="AW286" s="1" t="s">
        <v>82</v>
      </c>
      <c r="AX286" s="1" t="s">
        <v>82</v>
      </c>
      <c r="AY286" s="1" t="s">
        <v>5610</v>
      </c>
      <c r="AZ286" s="1" t="s">
        <v>5611</v>
      </c>
      <c r="BA286" s="1" t="s">
        <v>5659</v>
      </c>
      <c r="BB286" s="1">
        <v>2022</v>
      </c>
      <c r="BC286" s="1">
        <v>9</v>
      </c>
      <c r="BD286" s="1">
        <v>11</v>
      </c>
      <c r="BE286" s="1" t="s">
        <v>82</v>
      </c>
      <c r="BF286" s="1" t="s">
        <v>82</v>
      </c>
      <c r="BG286" s="1" t="s">
        <v>82</v>
      </c>
      <c r="BH286" s="1" t="s">
        <v>82</v>
      </c>
      <c r="BI286" s="1">
        <v>3075</v>
      </c>
      <c r="BJ286" s="1">
        <v>3083</v>
      </c>
      <c r="BK286" s="1" t="s">
        <v>82</v>
      </c>
      <c r="BL286" s="1" t="s">
        <v>5660</v>
      </c>
      <c r="BM286" s="1" t="str">
        <f>HYPERLINK("http://dx.doi.org/10.1039/d2qo00265e","http://dx.doi.org/10.1039/d2qo00265e")</f>
        <v>http://dx.doi.org/10.1039/d2qo00265e</v>
      </c>
      <c r="BN286" s="1" t="s">
        <v>82</v>
      </c>
      <c r="BO286" s="1" t="s">
        <v>82</v>
      </c>
      <c r="BP286" s="1">
        <v>9</v>
      </c>
      <c r="BQ286" s="1" t="s">
        <v>4190</v>
      </c>
      <c r="BR286" s="1" t="s">
        <v>745</v>
      </c>
      <c r="BS286" s="1" t="s">
        <v>706</v>
      </c>
      <c r="BT286" s="1" t="s">
        <v>5661</v>
      </c>
      <c r="BU286" s="1" t="s">
        <v>82</v>
      </c>
      <c r="BV286" s="1" t="s">
        <v>82</v>
      </c>
      <c r="BW286" s="1" t="s">
        <v>82</v>
      </c>
      <c r="BX286" s="1" t="s">
        <v>82</v>
      </c>
      <c r="BY286" s="1" t="s">
        <v>108</v>
      </c>
      <c r="BZ286" s="1" t="s">
        <v>5662</v>
      </c>
      <c r="CA286" s="1" t="str">
        <f>HYPERLINK("https%3A%2F%2Fwww.webofscience.com%2Fwos%2Fwoscc%2Ffull-record%2FWOS:000803088100001","View Full Record in Web of Science")</f>
        <v>View Full Record in Web of Science</v>
      </c>
    </row>
    <row r="287" s="1" customFormat="1" ht="14.4" spans="1:79">
      <c r="A287">
        <v>286</v>
      </c>
      <c r="B287" s="2" t="s">
        <v>110</v>
      </c>
      <c r="C287" s="1" t="s">
        <v>80</v>
      </c>
      <c r="D287" s="1" t="s">
        <v>5663</v>
      </c>
      <c r="E287" s="1" t="s">
        <v>82</v>
      </c>
      <c r="F287" s="1" t="s">
        <v>82</v>
      </c>
      <c r="G287" s="1" t="s">
        <v>82</v>
      </c>
      <c r="H287" s="1" t="s">
        <v>5664</v>
      </c>
      <c r="I287" s="1" t="s">
        <v>82</v>
      </c>
      <c r="J287" s="1" t="s">
        <v>82</v>
      </c>
      <c r="K287" s="1" t="s">
        <v>5665</v>
      </c>
      <c r="L287" s="1" t="s">
        <v>5596</v>
      </c>
      <c r="M287" s="1">
        <v>5.456</v>
      </c>
      <c r="O287" s="1" t="s">
        <v>82</v>
      </c>
      <c r="P287" s="1" t="s">
        <v>82</v>
      </c>
      <c r="Q287" s="1" t="s">
        <v>87</v>
      </c>
      <c r="R287" s="1" t="s">
        <v>115</v>
      </c>
      <c r="S287" s="1" t="s">
        <v>82</v>
      </c>
      <c r="T287" s="1" t="s">
        <v>82</v>
      </c>
      <c r="U287" s="1" t="s">
        <v>82</v>
      </c>
      <c r="V287" s="1" t="s">
        <v>82</v>
      </c>
      <c r="W287" s="1" t="s">
        <v>82</v>
      </c>
      <c r="X287" s="1" t="s">
        <v>82</v>
      </c>
      <c r="Y287" s="1" t="s">
        <v>5666</v>
      </c>
      <c r="Z287" s="1" t="s">
        <v>5667</v>
      </c>
      <c r="AA287" s="1">
        <v>1</v>
      </c>
      <c r="AB287" s="1" t="s">
        <v>5668</v>
      </c>
      <c r="AC287" s="1" t="s">
        <v>5669</v>
      </c>
      <c r="AD287" s="1" t="s">
        <v>93</v>
      </c>
      <c r="AE287" s="1" t="s">
        <v>1630</v>
      </c>
      <c r="AF287" s="1" t="s">
        <v>2634</v>
      </c>
      <c r="AG287" s="1" t="s">
        <v>2635</v>
      </c>
      <c r="AH287" s="1" t="s">
        <v>82</v>
      </c>
      <c r="AI287" s="1" t="s">
        <v>5670</v>
      </c>
      <c r="AJ287" s="1" t="s">
        <v>5671</v>
      </c>
      <c r="AK287" s="1" t="s">
        <v>5672</v>
      </c>
      <c r="AL287" s="1" t="s">
        <v>5673</v>
      </c>
      <c r="AM287" s="1" t="s">
        <v>82</v>
      </c>
      <c r="AN287" s="1">
        <v>42</v>
      </c>
      <c r="AO287" s="1">
        <v>0</v>
      </c>
      <c r="AP287" s="1">
        <v>0</v>
      </c>
      <c r="AQ287" s="1">
        <v>8</v>
      </c>
      <c r="AR287" s="1">
        <v>17</v>
      </c>
      <c r="AS287" s="1" t="s">
        <v>1480</v>
      </c>
      <c r="AT287" s="1" t="s">
        <v>416</v>
      </c>
      <c r="AU287" s="1" t="s">
        <v>1481</v>
      </c>
      <c r="AV287" s="1" t="s">
        <v>5609</v>
      </c>
      <c r="AW287" s="1" t="s">
        <v>82</v>
      </c>
      <c r="AX287" s="1" t="s">
        <v>82</v>
      </c>
      <c r="AY287" s="1" t="s">
        <v>5610</v>
      </c>
      <c r="AZ287" s="1" t="s">
        <v>5611</v>
      </c>
      <c r="BA287" s="1" t="s">
        <v>5674</v>
      </c>
      <c r="BB287" s="1">
        <v>2022</v>
      </c>
      <c r="BC287" s="1">
        <v>9</v>
      </c>
      <c r="BD287" s="1">
        <v>14</v>
      </c>
      <c r="BE287" s="1" t="s">
        <v>82</v>
      </c>
      <c r="BF287" s="1" t="s">
        <v>82</v>
      </c>
      <c r="BG287" s="1" t="s">
        <v>82</v>
      </c>
      <c r="BH287" s="1" t="s">
        <v>82</v>
      </c>
      <c r="BI287" s="1">
        <v>3664</v>
      </c>
      <c r="BJ287" s="1">
        <v>3668</v>
      </c>
      <c r="BK287" s="1" t="s">
        <v>82</v>
      </c>
      <c r="BL287" s="1" t="s">
        <v>5675</v>
      </c>
      <c r="BM287" s="1" t="str">
        <f>HYPERLINK("http://dx.doi.org/10.1039/d2qo00608a","http://dx.doi.org/10.1039/d2qo00608a")</f>
        <v>http://dx.doi.org/10.1039/d2qo00608a</v>
      </c>
      <c r="BN287" s="1" t="s">
        <v>82</v>
      </c>
      <c r="BO287" s="1" t="s">
        <v>247</v>
      </c>
      <c r="BP287" s="1">
        <v>5</v>
      </c>
      <c r="BQ287" s="1" t="s">
        <v>4190</v>
      </c>
      <c r="BR287" s="1" t="s">
        <v>728</v>
      </c>
      <c r="BS287" s="1" t="s">
        <v>706</v>
      </c>
      <c r="BT287" s="1" t="s">
        <v>5676</v>
      </c>
      <c r="BU287" s="1" t="s">
        <v>82</v>
      </c>
      <c r="BV287" s="1" t="s">
        <v>82</v>
      </c>
      <c r="BW287" s="1" t="s">
        <v>82</v>
      </c>
      <c r="BX287" s="1" t="s">
        <v>82</v>
      </c>
      <c r="BY287" s="1" t="s">
        <v>108</v>
      </c>
      <c r="BZ287" s="1" t="s">
        <v>5677</v>
      </c>
      <c r="CA287" s="1" t="str">
        <f>HYPERLINK("https%3A%2F%2Fwww.webofscience.com%2Fwos%2Fwoscc%2Ffull-record%2FWOS:000803088000001","View Full Record in Web of Science")</f>
        <v>View Full Record in Web of Science</v>
      </c>
    </row>
    <row r="288" s="1" customFormat="1" ht="14.4" spans="1:79">
      <c r="A288">
        <v>287</v>
      </c>
      <c r="B288" s="2" t="s">
        <v>110</v>
      </c>
      <c r="C288" s="1" t="s">
        <v>80</v>
      </c>
      <c r="D288" s="1" t="s">
        <v>5678</v>
      </c>
      <c r="E288" s="1" t="s">
        <v>82</v>
      </c>
      <c r="F288" s="1" t="s">
        <v>82</v>
      </c>
      <c r="G288" s="1" t="s">
        <v>82</v>
      </c>
      <c r="H288" s="1" t="s">
        <v>5679</v>
      </c>
      <c r="I288" s="1" t="s">
        <v>82</v>
      </c>
      <c r="J288" s="1" t="s">
        <v>82</v>
      </c>
      <c r="K288" s="1" t="s">
        <v>5680</v>
      </c>
      <c r="L288" s="1" t="s">
        <v>5596</v>
      </c>
      <c r="M288" s="1">
        <v>5.456</v>
      </c>
      <c r="O288" s="1" t="s">
        <v>82</v>
      </c>
      <c r="P288" s="1" t="s">
        <v>82</v>
      </c>
      <c r="Q288" s="1" t="s">
        <v>87</v>
      </c>
      <c r="R288" s="1" t="s">
        <v>115</v>
      </c>
      <c r="S288" s="1" t="s">
        <v>82</v>
      </c>
      <c r="T288" s="1" t="s">
        <v>82</v>
      </c>
      <c r="U288" s="1" t="s">
        <v>82</v>
      </c>
      <c r="V288" s="1" t="s">
        <v>82</v>
      </c>
      <c r="W288" s="1" t="s">
        <v>82</v>
      </c>
      <c r="X288" s="1" t="s">
        <v>82</v>
      </c>
      <c r="Y288" s="1" t="s">
        <v>5681</v>
      </c>
      <c r="Z288" s="1" t="s">
        <v>5682</v>
      </c>
      <c r="AA288" s="1">
        <v>1</v>
      </c>
      <c r="AB288" s="1" t="s">
        <v>4997</v>
      </c>
      <c r="AC288" s="1" t="s">
        <v>5683</v>
      </c>
      <c r="AD288" s="1" t="s">
        <v>93</v>
      </c>
      <c r="AE288" s="1" t="s">
        <v>5684</v>
      </c>
      <c r="AF288" s="1" t="s">
        <v>5685</v>
      </c>
      <c r="AG288" s="1" t="s">
        <v>5686</v>
      </c>
      <c r="AH288" s="1" t="s">
        <v>5687</v>
      </c>
      <c r="AI288" s="1" t="s">
        <v>5688</v>
      </c>
      <c r="AJ288" s="1" t="s">
        <v>5689</v>
      </c>
      <c r="AK288" s="1" t="s">
        <v>5690</v>
      </c>
      <c r="AL288" s="1" t="s">
        <v>5691</v>
      </c>
      <c r="AM288" s="1" t="s">
        <v>82</v>
      </c>
      <c r="AN288" s="1">
        <v>53</v>
      </c>
      <c r="AO288" s="1">
        <v>0</v>
      </c>
      <c r="AP288" s="1">
        <v>0</v>
      </c>
      <c r="AQ288" s="1">
        <v>11</v>
      </c>
      <c r="AR288" s="1">
        <v>19</v>
      </c>
      <c r="AS288" s="1" t="s">
        <v>1480</v>
      </c>
      <c r="AT288" s="1" t="s">
        <v>416</v>
      </c>
      <c r="AU288" s="1" t="s">
        <v>1481</v>
      </c>
      <c r="AV288" s="1" t="s">
        <v>5609</v>
      </c>
      <c r="AW288" s="1" t="s">
        <v>82</v>
      </c>
      <c r="AX288" s="1" t="s">
        <v>82</v>
      </c>
      <c r="AY288" s="1" t="s">
        <v>5610</v>
      </c>
      <c r="AZ288" s="1" t="s">
        <v>5611</v>
      </c>
      <c r="BA288" s="1" t="s">
        <v>5659</v>
      </c>
      <c r="BB288" s="1">
        <v>2022</v>
      </c>
      <c r="BC288" s="1">
        <v>9</v>
      </c>
      <c r="BD288" s="1">
        <v>11</v>
      </c>
      <c r="BE288" s="1" t="s">
        <v>82</v>
      </c>
      <c r="BF288" s="1" t="s">
        <v>82</v>
      </c>
      <c r="BG288" s="1" t="s">
        <v>82</v>
      </c>
      <c r="BH288" s="1" t="s">
        <v>82</v>
      </c>
      <c r="BI288" s="1">
        <v>3093</v>
      </c>
      <c r="BJ288" s="1">
        <v>3101</v>
      </c>
      <c r="BK288" s="1" t="s">
        <v>82</v>
      </c>
      <c r="BL288" s="1" t="s">
        <v>5692</v>
      </c>
      <c r="BM288" s="1" t="str">
        <f>HYPERLINK("http://dx.doi.org/10.1039/d2qo00246a","http://dx.doi.org/10.1039/d2qo00246a")</f>
        <v>http://dx.doi.org/10.1039/d2qo00246a</v>
      </c>
      <c r="BN288" s="1" t="s">
        <v>82</v>
      </c>
      <c r="BO288" s="1" t="s">
        <v>267</v>
      </c>
      <c r="BP288" s="1">
        <v>9</v>
      </c>
      <c r="BQ288" s="1" t="s">
        <v>4190</v>
      </c>
      <c r="BR288" s="1" t="s">
        <v>745</v>
      </c>
      <c r="BS288" s="1" t="s">
        <v>706</v>
      </c>
      <c r="BT288" s="1" t="s">
        <v>5693</v>
      </c>
      <c r="BU288" s="1" t="s">
        <v>82</v>
      </c>
      <c r="BV288" s="1" t="s">
        <v>82</v>
      </c>
      <c r="BW288" s="1" t="s">
        <v>82</v>
      </c>
      <c r="BX288" s="1" t="s">
        <v>82</v>
      </c>
      <c r="BY288" s="1" t="s">
        <v>108</v>
      </c>
      <c r="BZ288" s="1" t="s">
        <v>5694</v>
      </c>
      <c r="CA288" s="1" t="str">
        <f>HYPERLINK("https%3A%2F%2Fwww.webofscience.com%2Fwos%2Fwoscc%2Ffull-record%2FWOS:000790413000001","View Full Record in Web of Science")</f>
        <v>View Full Record in Web of Science</v>
      </c>
    </row>
    <row r="289" s="1" customFormat="1" ht="14.4" spans="1:79">
      <c r="A289">
        <v>288</v>
      </c>
      <c r="B289" s="2" t="s">
        <v>110</v>
      </c>
      <c r="C289" s="1" t="s">
        <v>80</v>
      </c>
      <c r="D289" s="1" t="s">
        <v>5695</v>
      </c>
      <c r="E289" s="1" t="s">
        <v>82</v>
      </c>
      <c r="F289" s="1" t="s">
        <v>82</v>
      </c>
      <c r="G289" s="1" t="s">
        <v>82</v>
      </c>
      <c r="H289" s="1" t="s">
        <v>5696</v>
      </c>
      <c r="I289" s="1" t="s">
        <v>82</v>
      </c>
      <c r="J289" s="1" t="s">
        <v>82</v>
      </c>
      <c r="K289" s="1" t="s">
        <v>5697</v>
      </c>
      <c r="L289" s="1" t="s">
        <v>5596</v>
      </c>
      <c r="M289" s="1">
        <v>5.456</v>
      </c>
      <c r="O289" s="1" t="s">
        <v>82</v>
      </c>
      <c r="P289" s="1" t="s">
        <v>82</v>
      </c>
      <c r="Q289" s="1" t="s">
        <v>87</v>
      </c>
      <c r="R289" s="1" t="s">
        <v>115</v>
      </c>
      <c r="S289" s="1" t="s">
        <v>82</v>
      </c>
      <c r="T289" s="1" t="s">
        <v>82</v>
      </c>
      <c r="U289" s="1" t="s">
        <v>82</v>
      </c>
      <c r="V289" s="1" t="s">
        <v>82</v>
      </c>
      <c r="W289" s="1" t="s">
        <v>82</v>
      </c>
      <c r="X289" s="1" t="s">
        <v>82</v>
      </c>
      <c r="Y289" s="1" t="s">
        <v>5698</v>
      </c>
      <c r="Z289" s="1" t="s">
        <v>5699</v>
      </c>
      <c r="AB289" s="1" t="s">
        <v>5700</v>
      </c>
      <c r="AC289" s="1" t="s">
        <v>5701</v>
      </c>
      <c r="AD289" s="1" t="s">
        <v>206</v>
      </c>
      <c r="AE289" s="1" t="s">
        <v>5702</v>
      </c>
      <c r="AF289" s="1" t="s">
        <v>5703</v>
      </c>
      <c r="AG289" s="1" t="s">
        <v>5704</v>
      </c>
      <c r="AH289" s="1" t="s">
        <v>82</v>
      </c>
      <c r="AI289" s="1" t="s">
        <v>5705</v>
      </c>
      <c r="AJ289" s="1" t="s">
        <v>5706</v>
      </c>
      <c r="AK289" s="1" t="s">
        <v>5707</v>
      </c>
      <c r="AL289" s="1" t="s">
        <v>5708</v>
      </c>
      <c r="AM289" s="1" t="s">
        <v>82</v>
      </c>
      <c r="AN289" s="1">
        <v>28</v>
      </c>
      <c r="AO289" s="1">
        <v>1</v>
      </c>
      <c r="AP289" s="1">
        <v>1</v>
      </c>
      <c r="AQ289" s="1">
        <v>13</v>
      </c>
      <c r="AR289" s="1">
        <v>28</v>
      </c>
      <c r="AS289" s="1" t="s">
        <v>1480</v>
      </c>
      <c r="AT289" s="1" t="s">
        <v>416</v>
      </c>
      <c r="AU289" s="1" t="s">
        <v>1481</v>
      </c>
      <c r="AV289" s="1" t="s">
        <v>5609</v>
      </c>
      <c r="AW289" s="1" t="s">
        <v>82</v>
      </c>
      <c r="AX289" s="1" t="s">
        <v>82</v>
      </c>
      <c r="AY289" s="1" t="s">
        <v>5610</v>
      </c>
      <c r="AZ289" s="1" t="s">
        <v>5611</v>
      </c>
      <c r="BA289" s="1" t="s">
        <v>5709</v>
      </c>
      <c r="BB289" s="1">
        <v>2022</v>
      </c>
      <c r="BC289" s="1">
        <v>9</v>
      </c>
      <c r="BD289" s="1">
        <v>8</v>
      </c>
      <c r="BE289" s="1" t="s">
        <v>82</v>
      </c>
      <c r="BF289" s="1" t="s">
        <v>82</v>
      </c>
      <c r="BG289" s="1" t="s">
        <v>82</v>
      </c>
      <c r="BH289" s="1" t="s">
        <v>82</v>
      </c>
      <c r="BI289" s="1">
        <v>2209</v>
      </c>
      <c r="BJ289" s="1">
        <v>2214</v>
      </c>
      <c r="BK289" s="1" t="s">
        <v>82</v>
      </c>
      <c r="BL289" s="1" t="s">
        <v>5710</v>
      </c>
      <c r="BM289" s="1" t="str">
        <f>HYPERLINK("http://dx.doi.org/10.1039/d2qo00138a","http://dx.doi.org/10.1039/d2qo00138a")</f>
        <v>http://dx.doi.org/10.1039/d2qo00138a</v>
      </c>
      <c r="BN289" s="1" t="s">
        <v>82</v>
      </c>
      <c r="BO289" s="1" t="s">
        <v>282</v>
      </c>
      <c r="BP289" s="1">
        <v>6</v>
      </c>
      <c r="BQ289" s="1" t="s">
        <v>4190</v>
      </c>
      <c r="BR289" s="1" t="s">
        <v>745</v>
      </c>
      <c r="BS289" s="1" t="s">
        <v>706</v>
      </c>
      <c r="BT289" s="1" t="s">
        <v>5711</v>
      </c>
      <c r="BU289" s="1" t="s">
        <v>82</v>
      </c>
      <c r="BV289" s="1" t="s">
        <v>82</v>
      </c>
      <c r="BW289" s="1" t="s">
        <v>82</v>
      </c>
      <c r="BX289" s="1" t="s">
        <v>82</v>
      </c>
      <c r="BY289" s="1" t="s">
        <v>108</v>
      </c>
      <c r="BZ289" s="1" t="s">
        <v>5712</v>
      </c>
      <c r="CA289" s="1" t="str">
        <f>HYPERLINK("https%3A%2F%2Fwww.webofscience.com%2Fwos%2Fwoscc%2Ffull-record%2FWOS:000769613400001","View Full Record in Web of Science")</f>
        <v>View Full Record in Web of Science</v>
      </c>
    </row>
    <row r="290" s="1" customFormat="1" ht="14.4" spans="1:79">
      <c r="A290">
        <v>289</v>
      </c>
      <c r="B290" s="2" t="s">
        <v>110</v>
      </c>
      <c r="C290" s="1" t="s">
        <v>80</v>
      </c>
      <c r="D290" s="1" t="s">
        <v>5713</v>
      </c>
      <c r="E290" s="1" t="s">
        <v>82</v>
      </c>
      <c r="F290" s="1" t="s">
        <v>82</v>
      </c>
      <c r="G290" s="1" t="s">
        <v>82</v>
      </c>
      <c r="H290" s="1" t="s">
        <v>5714</v>
      </c>
      <c r="I290" s="1" t="s">
        <v>82</v>
      </c>
      <c r="J290" s="1" t="s">
        <v>82</v>
      </c>
      <c r="K290" s="1" t="s">
        <v>5715</v>
      </c>
      <c r="L290" s="1" t="s">
        <v>5596</v>
      </c>
      <c r="M290" s="1">
        <v>5.456</v>
      </c>
      <c r="O290" s="1" t="s">
        <v>82</v>
      </c>
      <c r="P290" s="1" t="s">
        <v>82</v>
      </c>
      <c r="Q290" s="1" t="s">
        <v>87</v>
      </c>
      <c r="R290" s="1" t="s">
        <v>115</v>
      </c>
      <c r="S290" s="1" t="s">
        <v>82</v>
      </c>
      <c r="T290" s="1" t="s">
        <v>82</v>
      </c>
      <c r="U290" s="1" t="s">
        <v>82</v>
      </c>
      <c r="V290" s="1" t="s">
        <v>82</v>
      </c>
      <c r="W290" s="1" t="s">
        <v>82</v>
      </c>
      <c r="X290" s="1" t="s">
        <v>82</v>
      </c>
      <c r="Y290" s="1" t="s">
        <v>5716</v>
      </c>
      <c r="Z290" s="1" t="s">
        <v>5717</v>
      </c>
      <c r="AB290" s="1" t="s">
        <v>5718</v>
      </c>
      <c r="AC290" s="1" t="s">
        <v>5719</v>
      </c>
      <c r="AD290" s="1" t="s">
        <v>206</v>
      </c>
      <c r="AE290" s="1" t="s">
        <v>5720</v>
      </c>
      <c r="AF290" s="1" t="s">
        <v>5721</v>
      </c>
      <c r="AG290" s="1" t="s">
        <v>5722</v>
      </c>
      <c r="AH290" s="1" t="s">
        <v>5723</v>
      </c>
      <c r="AI290" s="1" t="s">
        <v>5724</v>
      </c>
      <c r="AJ290" s="1" t="s">
        <v>5725</v>
      </c>
      <c r="AK290" s="1" t="s">
        <v>5726</v>
      </c>
      <c r="AL290" s="1" t="s">
        <v>5727</v>
      </c>
      <c r="AM290" s="1" t="s">
        <v>82</v>
      </c>
      <c r="AN290" s="1">
        <v>64</v>
      </c>
      <c r="AO290" s="1">
        <v>0</v>
      </c>
      <c r="AP290" s="1">
        <v>0</v>
      </c>
      <c r="AQ290" s="1">
        <v>7</v>
      </c>
      <c r="AR290" s="1">
        <v>18</v>
      </c>
      <c r="AS290" s="1" t="s">
        <v>1480</v>
      </c>
      <c r="AT290" s="1" t="s">
        <v>416</v>
      </c>
      <c r="AU290" s="1" t="s">
        <v>1481</v>
      </c>
      <c r="AV290" s="1" t="s">
        <v>5609</v>
      </c>
      <c r="AW290" s="1" t="s">
        <v>82</v>
      </c>
      <c r="AX290" s="1" t="s">
        <v>82</v>
      </c>
      <c r="AY290" s="1" t="s">
        <v>5610</v>
      </c>
      <c r="AZ290" s="1" t="s">
        <v>5611</v>
      </c>
      <c r="BA290" s="1" t="s">
        <v>5728</v>
      </c>
      <c r="BB290" s="1">
        <v>2022</v>
      </c>
      <c r="BC290" s="1">
        <v>9</v>
      </c>
      <c r="BD290" s="1">
        <v>9</v>
      </c>
      <c r="BE290" s="1" t="s">
        <v>82</v>
      </c>
      <c r="BF290" s="1" t="s">
        <v>82</v>
      </c>
      <c r="BG290" s="1" t="s">
        <v>82</v>
      </c>
      <c r="BH290" s="1" t="s">
        <v>82</v>
      </c>
      <c r="BI290" s="1">
        <v>2316</v>
      </c>
      <c r="BJ290" s="1">
        <v>2321</v>
      </c>
      <c r="BK290" s="1" t="s">
        <v>82</v>
      </c>
      <c r="BL290" s="1" t="s">
        <v>5729</v>
      </c>
      <c r="BM290" s="1" t="str">
        <f>HYPERLINK("http://dx.doi.org/10.1039/d1qo01952j","http://dx.doi.org/10.1039/d1qo01952j")</f>
        <v>http://dx.doi.org/10.1039/d1qo01952j</v>
      </c>
      <c r="BN290" s="1" t="s">
        <v>82</v>
      </c>
      <c r="BO290" s="1" t="s">
        <v>296</v>
      </c>
      <c r="BP290" s="1">
        <v>7</v>
      </c>
      <c r="BQ290" s="1" t="s">
        <v>4190</v>
      </c>
      <c r="BR290" s="1" t="s">
        <v>728</v>
      </c>
      <c r="BS290" s="1" t="s">
        <v>706</v>
      </c>
      <c r="BT290" s="1" t="s">
        <v>5730</v>
      </c>
      <c r="BU290" s="1" t="s">
        <v>82</v>
      </c>
      <c r="BV290" s="1" t="s">
        <v>82</v>
      </c>
      <c r="BW290" s="1" t="s">
        <v>82</v>
      </c>
      <c r="BX290" s="1" t="s">
        <v>82</v>
      </c>
      <c r="BY290" s="1" t="s">
        <v>108</v>
      </c>
      <c r="BZ290" s="1" t="s">
        <v>5731</v>
      </c>
      <c r="CA290" s="1" t="str">
        <f>HYPERLINK("https%3A%2F%2Fwww.webofscience.com%2Fwos%2Fwoscc%2Ffull-record%2FWOS:000762418900001","View Full Record in Web of Science")</f>
        <v>View Full Record in Web of Science</v>
      </c>
    </row>
    <row r="291" s="1" customFormat="1" ht="14.4" spans="1:79">
      <c r="A291">
        <v>290</v>
      </c>
      <c r="B291" s="2" t="s">
        <v>79</v>
      </c>
      <c r="C291" s="1" t="s">
        <v>80</v>
      </c>
      <c r="D291" s="1" t="s">
        <v>5732</v>
      </c>
      <c r="E291" s="1" t="s">
        <v>82</v>
      </c>
      <c r="F291" s="1" t="s">
        <v>82</v>
      </c>
      <c r="G291" s="1" t="s">
        <v>82</v>
      </c>
      <c r="H291" s="1" t="s">
        <v>5733</v>
      </c>
      <c r="I291" s="1" t="s">
        <v>82</v>
      </c>
      <c r="J291" s="1" t="s">
        <v>82</v>
      </c>
      <c r="K291" s="1" t="s">
        <v>5734</v>
      </c>
      <c r="L291" s="1" t="s">
        <v>5735</v>
      </c>
      <c r="M291" s="1">
        <v>5.363</v>
      </c>
      <c r="O291" s="1" t="s">
        <v>82</v>
      </c>
      <c r="P291" s="1" t="s">
        <v>82</v>
      </c>
      <c r="Q291" s="1" t="s">
        <v>87</v>
      </c>
      <c r="R291" s="1" t="s">
        <v>115</v>
      </c>
      <c r="S291" s="1" t="s">
        <v>82</v>
      </c>
      <c r="T291" s="1" t="s">
        <v>82</v>
      </c>
      <c r="U291" s="1" t="s">
        <v>82</v>
      </c>
      <c r="V291" s="1" t="s">
        <v>82</v>
      </c>
      <c r="W291" s="1" t="s">
        <v>82</v>
      </c>
      <c r="X291" s="1" t="s">
        <v>5736</v>
      </c>
      <c r="Y291" s="1" t="s">
        <v>5737</v>
      </c>
      <c r="Z291" s="1" t="s">
        <v>5738</v>
      </c>
      <c r="AB291" s="1" t="s">
        <v>5739</v>
      </c>
      <c r="AC291" s="1" t="s">
        <v>5740</v>
      </c>
      <c r="AD291" s="1" t="s">
        <v>206</v>
      </c>
      <c r="AE291" s="1" t="s">
        <v>5144</v>
      </c>
      <c r="AF291" s="1" t="s">
        <v>5741</v>
      </c>
      <c r="AG291" s="1" t="s">
        <v>5742</v>
      </c>
      <c r="AH291" s="1" t="s">
        <v>82</v>
      </c>
      <c r="AI291" s="1" t="s">
        <v>82</v>
      </c>
      <c r="AJ291" s="1" t="s">
        <v>5743</v>
      </c>
      <c r="AK291" s="1" t="s">
        <v>5744</v>
      </c>
      <c r="AL291" s="1" t="s">
        <v>5745</v>
      </c>
      <c r="AM291" s="1" t="s">
        <v>82</v>
      </c>
      <c r="AN291" s="1">
        <v>59</v>
      </c>
      <c r="AO291" s="1">
        <v>0</v>
      </c>
      <c r="AP291" s="1">
        <v>0</v>
      </c>
      <c r="AQ291" s="1">
        <v>3</v>
      </c>
      <c r="AR291" s="1">
        <v>3</v>
      </c>
      <c r="AS291" s="1" t="s">
        <v>5746</v>
      </c>
      <c r="AT291" s="1" t="s">
        <v>5747</v>
      </c>
      <c r="AU291" s="1" t="s">
        <v>5748</v>
      </c>
      <c r="AV291" s="1" t="s">
        <v>5749</v>
      </c>
      <c r="AW291" s="1" t="s">
        <v>5750</v>
      </c>
      <c r="AX291" s="1" t="s">
        <v>82</v>
      </c>
      <c r="AY291" s="1" t="s">
        <v>5751</v>
      </c>
      <c r="AZ291" s="1" t="s">
        <v>5752</v>
      </c>
      <c r="BA291" s="1" t="s">
        <v>1340</v>
      </c>
      <c r="BB291" s="1">
        <v>2022</v>
      </c>
      <c r="BC291" s="1">
        <v>323</v>
      </c>
      <c r="BD291" s="1" t="s">
        <v>82</v>
      </c>
      <c r="BE291" s="1" t="s">
        <v>82</v>
      </c>
      <c r="BF291" s="1" t="s">
        <v>82</v>
      </c>
      <c r="BG291" s="1" t="s">
        <v>82</v>
      </c>
      <c r="BH291" s="1" t="s">
        <v>82</v>
      </c>
      <c r="BI291" s="1" t="s">
        <v>82</v>
      </c>
      <c r="BJ291" s="1" t="s">
        <v>82</v>
      </c>
      <c r="BK291" s="1">
        <v>111414</v>
      </c>
      <c r="BL291" s="1" t="s">
        <v>5753</v>
      </c>
      <c r="BM291" s="1" t="str">
        <f>HYPERLINK("http://dx.doi.org/10.1016/j.plantsci.2022.111414","http://dx.doi.org/10.1016/j.plantsci.2022.111414")</f>
        <v>http://dx.doi.org/10.1016/j.plantsci.2022.111414</v>
      </c>
      <c r="BN291" s="1" t="s">
        <v>82</v>
      </c>
      <c r="BO291" s="1" t="s">
        <v>424</v>
      </c>
      <c r="BP291" s="1">
        <v>8</v>
      </c>
      <c r="BQ291" s="1" t="s">
        <v>425</v>
      </c>
      <c r="BR291" s="1" t="s">
        <v>104</v>
      </c>
      <c r="BS291" s="1" t="s">
        <v>425</v>
      </c>
      <c r="BT291" s="1" t="s">
        <v>5754</v>
      </c>
      <c r="BU291" s="1">
        <v>35963495</v>
      </c>
      <c r="BV291" s="1" t="s">
        <v>82</v>
      </c>
      <c r="BW291" s="1" t="s">
        <v>82</v>
      </c>
      <c r="BX291" s="1" t="s">
        <v>82</v>
      </c>
      <c r="BY291" s="1" t="s">
        <v>108</v>
      </c>
      <c r="BZ291" s="1" t="s">
        <v>5755</v>
      </c>
      <c r="CA291" s="1" t="str">
        <f>HYPERLINK("https%3A%2F%2Fwww.webofscience.com%2Fwos%2Fwoscc%2Ffull-record%2FWOS:000860992300005","View Full Record in Web of Science")</f>
        <v>View Full Record in Web of Science</v>
      </c>
    </row>
    <row r="292" s="1" customFormat="1" ht="14.4" spans="1:79">
      <c r="A292">
        <v>291</v>
      </c>
      <c r="B292" s="2" t="s">
        <v>79</v>
      </c>
      <c r="C292" s="1" t="s">
        <v>80</v>
      </c>
      <c r="D292" s="1" t="s">
        <v>5756</v>
      </c>
      <c r="E292" s="1" t="s">
        <v>82</v>
      </c>
      <c r="F292" s="1" t="s">
        <v>82</v>
      </c>
      <c r="G292" s="1" t="s">
        <v>82</v>
      </c>
      <c r="H292" s="1" t="s">
        <v>5757</v>
      </c>
      <c r="I292" s="1" t="s">
        <v>82</v>
      </c>
      <c r="J292" s="1" t="s">
        <v>82</v>
      </c>
      <c r="K292" s="1" t="s">
        <v>5758</v>
      </c>
      <c r="L292" s="1" t="s">
        <v>5735</v>
      </c>
      <c r="M292" s="1">
        <v>5.363</v>
      </c>
      <c r="O292" s="1" t="s">
        <v>82</v>
      </c>
      <c r="P292" s="1" t="s">
        <v>82</v>
      </c>
      <c r="Q292" s="1" t="s">
        <v>87</v>
      </c>
      <c r="R292" s="1" t="s">
        <v>115</v>
      </c>
      <c r="S292" s="1" t="s">
        <v>82</v>
      </c>
      <c r="T292" s="1" t="s">
        <v>82</v>
      </c>
      <c r="U292" s="1" t="s">
        <v>82</v>
      </c>
      <c r="V292" s="1" t="s">
        <v>82</v>
      </c>
      <c r="W292" s="1" t="s">
        <v>82</v>
      </c>
      <c r="X292" s="1" t="s">
        <v>5759</v>
      </c>
      <c r="Y292" s="1" t="s">
        <v>5760</v>
      </c>
      <c r="Z292" s="1" t="s">
        <v>5761</v>
      </c>
      <c r="AA292" s="1">
        <v>1</v>
      </c>
      <c r="AB292" s="1" t="s">
        <v>4140</v>
      </c>
      <c r="AC292" s="1" t="s">
        <v>5762</v>
      </c>
      <c r="AD292" s="1" t="s">
        <v>93</v>
      </c>
      <c r="AE292" s="1" t="s">
        <v>5763</v>
      </c>
      <c r="AF292" s="1" t="s">
        <v>5764</v>
      </c>
      <c r="AG292" s="1" t="s">
        <v>5765</v>
      </c>
      <c r="AH292" s="1" t="s">
        <v>82</v>
      </c>
      <c r="AI292" s="1" t="s">
        <v>5766</v>
      </c>
      <c r="AJ292" s="1" t="s">
        <v>5767</v>
      </c>
      <c r="AK292" s="1" t="s">
        <v>5768</v>
      </c>
      <c r="AL292" s="1" t="s">
        <v>5769</v>
      </c>
      <c r="AM292" s="1" t="s">
        <v>82</v>
      </c>
      <c r="AN292" s="1">
        <v>67</v>
      </c>
      <c r="AO292" s="1">
        <v>4</v>
      </c>
      <c r="AP292" s="1">
        <v>4</v>
      </c>
      <c r="AQ292" s="1">
        <v>5</v>
      </c>
      <c r="AR292" s="1">
        <v>10</v>
      </c>
      <c r="AS292" s="1" t="s">
        <v>5746</v>
      </c>
      <c r="AT292" s="1" t="s">
        <v>5747</v>
      </c>
      <c r="AU292" s="1" t="s">
        <v>5748</v>
      </c>
      <c r="AV292" s="1" t="s">
        <v>5749</v>
      </c>
      <c r="AW292" s="1" t="s">
        <v>5750</v>
      </c>
      <c r="AX292" s="1" t="s">
        <v>82</v>
      </c>
      <c r="AY292" s="1" t="s">
        <v>5751</v>
      </c>
      <c r="AZ292" s="1" t="s">
        <v>5752</v>
      </c>
      <c r="BA292" s="1" t="s">
        <v>1146</v>
      </c>
      <c r="BB292" s="1">
        <v>2022</v>
      </c>
      <c r="BC292" s="1">
        <v>319</v>
      </c>
      <c r="BD292" s="1" t="s">
        <v>82</v>
      </c>
      <c r="BE292" s="1" t="s">
        <v>82</v>
      </c>
      <c r="BF292" s="1" t="s">
        <v>82</v>
      </c>
      <c r="BG292" s="1" t="s">
        <v>82</v>
      </c>
      <c r="BH292" s="1" t="s">
        <v>82</v>
      </c>
      <c r="BI292" s="1" t="s">
        <v>82</v>
      </c>
      <c r="BJ292" s="1" t="s">
        <v>82</v>
      </c>
      <c r="BK292" s="1">
        <v>111222</v>
      </c>
      <c r="BL292" s="1" t="s">
        <v>5770</v>
      </c>
      <c r="BM292" s="1" t="str">
        <f>HYPERLINK("http://dx.doi.org/10.1016/j.plantsci.2022.111222","http://dx.doi.org/10.1016/j.plantsci.2022.111222")</f>
        <v>http://dx.doi.org/10.1016/j.plantsci.2022.111222</v>
      </c>
      <c r="BN292" s="1" t="s">
        <v>82</v>
      </c>
      <c r="BO292" s="1" t="s">
        <v>282</v>
      </c>
      <c r="BP292" s="1">
        <v>11</v>
      </c>
      <c r="BQ292" s="1" t="s">
        <v>425</v>
      </c>
      <c r="BR292" s="1" t="s">
        <v>104</v>
      </c>
      <c r="BS292" s="1" t="s">
        <v>425</v>
      </c>
      <c r="BT292" s="1" t="s">
        <v>5771</v>
      </c>
      <c r="BU292" s="1">
        <v>35487672</v>
      </c>
      <c r="BV292" s="1" t="s">
        <v>82</v>
      </c>
      <c r="BW292" s="1" t="s">
        <v>82</v>
      </c>
      <c r="BX292" s="1" t="s">
        <v>82</v>
      </c>
      <c r="BY292" s="1" t="s">
        <v>108</v>
      </c>
      <c r="BZ292" s="1" t="s">
        <v>5772</v>
      </c>
      <c r="CA292" s="1" t="str">
        <f>HYPERLINK("https%3A%2F%2Fwww.webofscience.com%2Fwos%2Fwoscc%2Ffull-record%2FWOS:000790555000004","View Full Record in Web of Science")</f>
        <v>View Full Record in Web of Science</v>
      </c>
    </row>
    <row r="293" s="1" customFormat="1" ht="14.4" spans="1:79">
      <c r="A293">
        <v>292</v>
      </c>
      <c r="B293" s="2" t="s">
        <v>79</v>
      </c>
      <c r="C293" s="1" t="s">
        <v>80</v>
      </c>
      <c r="D293" s="1" t="s">
        <v>5773</v>
      </c>
      <c r="E293" s="1" t="s">
        <v>82</v>
      </c>
      <c r="F293" s="1" t="s">
        <v>82</v>
      </c>
      <c r="G293" s="1" t="s">
        <v>82</v>
      </c>
      <c r="H293" s="1" t="s">
        <v>5774</v>
      </c>
      <c r="I293" s="1" t="s">
        <v>82</v>
      </c>
      <c r="J293" s="1" t="s">
        <v>82</v>
      </c>
      <c r="K293" s="1" t="s">
        <v>5775</v>
      </c>
      <c r="L293" s="1" t="s">
        <v>5735</v>
      </c>
      <c r="M293" s="1">
        <v>5.363</v>
      </c>
      <c r="O293" s="1" t="s">
        <v>82</v>
      </c>
      <c r="P293" s="1" t="s">
        <v>82</v>
      </c>
      <c r="Q293" s="1" t="s">
        <v>87</v>
      </c>
      <c r="R293" s="1" t="s">
        <v>115</v>
      </c>
      <c r="S293" s="1" t="s">
        <v>82</v>
      </c>
      <c r="T293" s="1" t="s">
        <v>82</v>
      </c>
      <c r="U293" s="1" t="s">
        <v>82</v>
      </c>
      <c r="V293" s="1" t="s">
        <v>82</v>
      </c>
      <c r="W293" s="1" t="s">
        <v>82</v>
      </c>
      <c r="X293" s="1" t="s">
        <v>5776</v>
      </c>
      <c r="Y293" s="1" t="s">
        <v>5777</v>
      </c>
      <c r="Z293" s="1" t="s">
        <v>5778</v>
      </c>
      <c r="AB293" s="1" t="s">
        <v>2190</v>
      </c>
      <c r="AC293" s="1" t="s">
        <v>5779</v>
      </c>
      <c r="AD293" s="1" t="s">
        <v>206</v>
      </c>
      <c r="AE293" s="1" t="s">
        <v>5780</v>
      </c>
      <c r="AF293" s="1" t="s">
        <v>5781</v>
      </c>
      <c r="AG293" s="1" t="s">
        <v>5782</v>
      </c>
      <c r="AH293" s="1" t="s">
        <v>82</v>
      </c>
      <c r="AI293" s="1" t="s">
        <v>82</v>
      </c>
      <c r="AJ293" s="1" t="s">
        <v>5783</v>
      </c>
      <c r="AK293" s="1" t="s">
        <v>2211</v>
      </c>
      <c r="AL293" s="1" t="s">
        <v>5784</v>
      </c>
      <c r="AM293" s="1" t="s">
        <v>82</v>
      </c>
      <c r="AN293" s="1">
        <v>74</v>
      </c>
      <c r="AO293" s="1">
        <v>3</v>
      </c>
      <c r="AP293" s="1">
        <v>3</v>
      </c>
      <c r="AQ293" s="1">
        <v>10</v>
      </c>
      <c r="AR293" s="1">
        <v>18</v>
      </c>
      <c r="AS293" s="1" t="s">
        <v>5746</v>
      </c>
      <c r="AT293" s="1" t="s">
        <v>5747</v>
      </c>
      <c r="AU293" s="1" t="s">
        <v>5748</v>
      </c>
      <c r="AV293" s="1" t="s">
        <v>5749</v>
      </c>
      <c r="AW293" s="1" t="s">
        <v>5750</v>
      </c>
      <c r="AX293" s="1" t="s">
        <v>82</v>
      </c>
      <c r="AY293" s="1" t="s">
        <v>5751</v>
      </c>
      <c r="AZ293" s="1" t="s">
        <v>5752</v>
      </c>
      <c r="BA293" s="1" t="s">
        <v>657</v>
      </c>
      <c r="BB293" s="1">
        <v>2022</v>
      </c>
      <c r="BC293" s="1">
        <v>317</v>
      </c>
      <c r="BD293" s="1" t="s">
        <v>82</v>
      </c>
      <c r="BE293" s="1" t="s">
        <v>82</v>
      </c>
      <c r="BF293" s="1" t="s">
        <v>82</v>
      </c>
      <c r="BG293" s="1" t="s">
        <v>82</v>
      </c>
      <c r="BH293" s="1" t="s">
        <v>82</v>
      </c>
      <c r="BI293" s="1" t="s">
        <v>82</v>
      </c>
      <c r="BJ293" s="1" t="s">
        <v>82</v>
      </c>
      <c r="BK293" s="1">
        <v>111207</v>
      </c>
      <c r="BL293" s="1" t="s">
        <v>5785</v>
      </c>
      <c r="BM293" s="1" t="str">
        <f>HYPERLINK("http://dx.doi.org/10.1016/j.plantsci.2022.111207","http://dx.doi.org/10.1016/j.plantsci.2022.111207")</f>
        <v>http://dx.doi.org/10.1016/j.plantsci.2022.111207</v>
      </c>
      <c r="BN293" s="1" t="s">
        <v>82</v>
      </c>
      <c r="BO293" s="1" t="s">
        <v>82</v>
      </c>
      <c r="BP293" s="1">
        <v>9</v>
      </c>
      <c r="BQ293" s="1" t="s">
        <v>425</v>
      </c>
      <c r="BR293" s="1" t="s">
        <v>104</v>
      </c>
      <c r="BS293" s="1" t="s">
        <v>425</v>
      </c>
      <c r="BT293" s="1" t="s">
        <v>5786</v>
      </c>
      <c r="BU293" s="1">
        <v>35193751</v>
      </c>
      <c r="BV293" s="1" t="s">
        <v>82</v>
      </c>
      <c r="BW293" s="1" t="s">
        <v>82</v>
      </c>
      <c r="BX293" s="1" t="s">
        <v>82</v>
      </c>
      <c r="BY293" s="1" t="s">
        <v>108</v>
      </c>
      <c r="BZ293" s="1" t="s">
        <v>5787</v>
      </c>
      <c r="CA293" s="1" t="str">
        <f>HYPERLINK("https%3A%2F%2Fwww.webofscience.com%2Fwos%2Fwoscc%2Ffull-record%2FWOS:000782704700004","View Full Record in Web of Science")</f>
        <v>View Full Record in Web of Science</v>
      </c>
    </row>
    <row r="294" s="1" customFormat="1" ht="14.4" spans="1:79">
      <c r="A294">
        <v>293</v>
      </c>
      <c r="B294" s="2" t="s">
        <v>79</v>
      </c>
      <c r="C294" s="1" t="s">
        <v>80</v>
      </c>
      <c r="D294" s="1" t="s">
        <v>5788</v>
      </c>
      <c r="E294" s="1" t="s">
        <v>82</v>
      </c>
      <c r="F294" s="1" t="s">
        <v>82</v>
      </c>
      <c r="G294" s="1" t="s">
        <v>82</v>
      </c>
      <c r="H294" s="1" t="s">
        <v>5789</v>
      </c>
      <c r="I294" s="1" t="s">
        <v>82</v>
      </c>
      <c r="J294" s="1" t="s">
        <v>82</v>
      </c>
      <c r="K294" s="1" t="s">
        <v>5790</v>
      </c>
      <c r="L294" s="1" t="s">
        <v>5791</v>
      </c>
      <c r="M294" s="1">
        <v>5.349</v>
      </c>
      <c r="O294" s="1" t="s">
        <v>82</v>
      </c>
      <c r="P294" s="1" t="s">
        <v>82</v>
      </c>
      <c r="Q294" s="1" t="s">
        <v>87</v>
      </c>
      <c r="R294" s="1" t="s">
        <v>115</v>
      </c>
      <c r="S294" s="1" t="s">
        <v>82</v>
      </c>
      <c r="T294" s="1" t="s">
        <v>82</v>
      </c>
      <c r="U294" s="1" t="s">
        <v>82</v>
      </c>
      <c r="V294" s="1" t="s">
        <v>82</v>
      </c>
      <c r="W294" s="1" t="s">
        <v>82</v>
      </c>
      <c r="X294" s="1" t="s">
        <v>5792</v>
      </c>
      <c r="Y294" s="1" t="s">
        <v>5793</v>
      </c>
      <c r="Z294" s="1" t="s">
        <v>5794</v>
      </c>
      <c r="AB294" s="1" t="s">
        <v>5795</v>
      </c>
      <c r="AC294" s="1" t="s">
        <v>5796</v>
      </c>
      <c r="AD294" s="1" t="s">
        <v>120</v>
      </c>
      <c r="AE294" s="1" t="s">
        <v>5797</v>
      </c>
      <c r="AF294" s="1" t="s">
        <v>5798</v>
      </c>
      <c r="AG294" s="1" t="s">
        <v>5799</v>
      </c>
      <c r="AH294" s="1" t="s">
        <v>82</v>
      </c>
      <c r="AI294" s="1" t="s">
        <v>5800</v>
      </c>
      <c r="AJ294" s="1" t="s">
        <v>5801</v>
      </c>
      <c r="AK294" s="1" t="s">
        <v>442</v>
      </c>
      <c r="AL294" s="1" t="s">
        <v>5802</v>
      </c>
      <c r="AM294" s="1" t="s">
        <v>82</v>
      </c>
      <c r="AN294" s="1">
        <v>72</v>
      </c>
      <c r="AO294" s="1">
        <v>0</v>
      </c>
      <c r="AP294" s="1">
        <v>0</v>
      </c>
      <c r="AQ294" s="1">
        <v>6</v>
      </c>
      <c r="AR294" s="1">
        <v>6</v>
      </c>
      <c r="AS294" s="1" t="s">
        <v>2117</v>
      </c>
      <c r="AT294" s="1" t="s">
        <v>2118</v>
      </c>
      <c r="AU294" s="1" t="s">
        <v>2119</v>
      </c>
      <c r="AV294" s="1" t="s">
        <v>82</v>
      </c>
      <c r="AW294" s="1" t="s">
        <v>5803</v>
      </c>
      <c r="AX294" s="1" t="s">
        <v>82</v>
      </c>
      <c r="AY294" s="1" t="s">
        <v>5804</v>
      </c>
      <c r="AZ294" s="1" t="s">
        <v>5805</v>
      </c>
      <c r="BA294" s="1" t="s">
        <v>486</v>
      </c>
      <c r="BB294" s="1">
        <v>2022</v>
      </c>
      <c r="BC294" s="1">
        <v>14</v>
      </c>
      <c r="BD294" s="1">
        <v>21</v>
      </c>
      <c r="BE294" s="1" t="s">
        <v>82</v>
      </c>
      <c r="BF294" s="1" t="s">
        <v>82</v>
      </c>
      <c r="BG294" s="1" t="s">
        <v>82</v>
      </c>
      <c r="BH294" s="1" t="s">
        <v>82</v>
      </c>
      <c r="BI294" s="1" t="s">
        <v>82</v>
      </c>
      <c r="BJ294" s="1" t="s">
        <v>82</v>
      </c>
      <c r="BK294" s="1">
        <v>5456</v>
      </c>
      <c r="BL294" s="1" t="s">
        <v>5806</v>
      </c>
      <c r="BM294" s="1" t="str">
        <f>HYPERLINK("http://dx.doi.org/10.3390/rs14215456","http://dx.doi.org/10.3390/rs14215456")</f>
        <v>http://dx.doi.org/10.3390/rs14215456</v>
      </c>
      <c r="BN294" s="1" t="s">
        <v>82</v>
      </c>
      <c r="BO294" s="1" t="s">
        <v>82</v>
      </c>
      <c r="BP294" s="1">
        <v>18</v>
      </c>
      <c r="BQ294" s="1" t="s">
        <v>5807</v>
      </c>
      <c r="BR294" s="1" t="s">
        <v>104</v>
      </c>
      <c r="BS294" s="1" t="s">
        <v>5808</v>
      </c>
      <c r="BT294" s="1" t="s">
        <v>5809</v>
      </c>
      <c r="BU294" s="1" t="s">
        <v>82</v>
      </c>
      <c r="BV294" s="1" t="s">
        <v>808</v>
      </c>
      <c r="BW294" s="1" t="s">
        <v>82</v>
      </c>
      <c r="BX294" s="1" t="s">
        <v>82</v>
      </c>
      <c r="BY294" s="1" t="s">
        <v>108</v>
      </c>
      <c r="BZ294" s="1" t="s">
        <v>5810</v>
      </c>
      <c r="CA294" s="1" t="str">
        <f>HYPERLINK("https%3A%2F%2Fwww.webofscience.com%2Fwos%2Fwoscc%2Ffull-record%2FWOS:000881646200001","View Full Record in Web of Science")</f>
        <v>View Full Record in Web of Science</v>
      </c>
    </row>
    <row r="295" s="1" customFormat="1" ht="14.4" spans="1:79">
      <c r="A295">
        <v>294</v>
      </c>
      <c r="B295" s="2" t="s">
        <v>79</v>
      </c>
      <c r="C295" s="1" t="s">
        <v>80</v>
      </c>
      <c r="D295" s="1" t="s">
        <v>5811</v>
      </c>
      <c r="E295" s="1" t="s">
        <v>82</v>
      </c>
      <c r="F295" s="1" t="s">
        <v>82</v>
      </c>
      <c r="G295" s="1" t="s">
        <v>82</v>
      </c>
      <c r="H295" s="1" t="s">
        <v>5812</v>
      </c>
      <c r="I295" s="1" t="s">
        <v>82</v>
      </c>
      <c r="J295" s="1" t="s">
        <v>82</v>
      </c>
      <c r="K295" s="1" t="s">
        <v>5813</v>
      </c>
      <c r="L295" s="1" t="s">
        <v>5814</v>
      </c>
      <c r="M295" s="1">
        <v>5.307</v>
      </c>
      <c r="O295" s="1" t="s">
        <v>82</v>
      </c>
      <c r="P295" s="1" t="s">
        <v>82</v>
      </c>
      <c r="Q295" s="1" t="s">
        <v>87</v>
      </c>
      <c r="R295" s="1" t="s">
        <v>115</v>
      </c>
      <c r="S295" s="1" t="s">
        <v>82</v>
      </c>
      <c r="T295" s="1" t="s">
        <v>82</v>
      </c>
      <c r="U295" s="1" t="s">
        <v>82</v>
      </c>
      <c r="V295" s="1" t="s">
        <v>82</v>
      </c>
      <c r="W295" s="1" t="s">
        <v>82</v>
      </c>
      <c r="X295" s="1" t="s">
        <v>5815</v>
      </c>
      <c r="Y295" s="1" t="s">
        <v>5816</v>
      </c>
      <c r="Z295" s="1" t="s">
        <v>5817</v>
      </c>
      <c r="AA295" s="1">
        <v>1</v>
      </c>
      <c r="AB295" s="1" t="s">
        <v>5818</v>
      </c>
      <c r="AC295" s="1" t="s">
        <v>5819</v>
      </c>
      <c r="AD295" s="1" t="s">
        <v>93</v>
      </c>
      <c r="AE295" s="1" t="s">
        <v>5820</v>
      </c>
      <c r="AF295" s="1" t="s">
        <v>5821</v>
      </c>
      <c r="AG295" s="1" t="s">
        <v>5822</v>
      </c>
      <c r="AH295" s="1" t="s">
        <v>82</v>
      </c>
      <c r="AI295" s="1" t="s">
        <v>82</v>
      </c>
      <c r="AJ295" s="1" t="s">
        <v>5823</v>
      </c>
      <c r="AK295" s="1" t="s">
        <v>5824</v>
      </c>
      <c r="AL295" s="1" t="s">
        <v>5825</v>
      </c>
      <c r="AM295" s="1" t="s">
        <v>82</v>
      </c>
      <c r="AN295" s="1">
        <v>33</v>
      </c>
      <c r="AO295" s="1">
        <v>1</v>
      </c>
      <c r="AP295" s="1">
        <v>1</v>
      </c>
      <c r="AQ295" s="1">
        <v>8</v>
      </c>
      <c r="AR295" s="1">
        <v>8</v>
      </c>
      <c r="AS295" s="1" t="s">
        <v>2514</v>
      </c>
      <c r="AT295" s="1" t="s">
        <v>2515</v>
      </c>
      <c r="AU295" s="1" t="s">
        <v>2516</v>
      </c>
      <c r="AV295" s="1" t="s">
        <v>5826</v>
      </c>
      <c r="AW295" s="1" t="s">
        <v>5827</v>
      </c>
      <c r="AX295" s="1" t="s">
        <v>82</v>
      </c>
      <c r="AY295" s="1" t="s">
        <v>5828</v>
      </c>
      <c r="AZ295" s="1" t="s">
        <v>5829</v>
      </c>
      <c r="BA295" s="1" t="s">
        <v>486</v>
      </c>
      <c r="BB295" s="1">
        <v>2022</v>
      </c>
      <c r="BC295" s="1">
        <v>128</v>
      </c>
      <c r="BD295" s="1" t="s">
        <v>82</v>
      </c>
      <c r="BE295" s="1" t="s">
        <v>82</v>
      </c>
      <c r="BF295" s="1" t="s">
        <v>82</v>
      </c>
      <c r="BG295" s="1" t="s">
        <v>82</v>
      </c>
      <c r="BH295" s="1" t="s">
        <v>82</v>
      </c>
      <c r="BI295" s="1" t="s">
        <v>82</v>
      </c>
      <c r="BJ295" s="1" t="s">
        <v>82</v>
      </c>
      <c r="BK295" s="1">
        <v>106059</v>
      </c>
      <c r="BL295" s="1" t="s">
        <v>5830</v>
      </c>
      <c r="BM295" s="1" t="str">
        <f>HYPERLINK("http://dx.doi.org/10.1016/j.bioorg.2022.106059","http://dx.doi.org/10.1016/j.bioorg.2022.106059")</f>
        <v>http://dx.doi.org/10.1016/j.bioorg.2022.106059</v>
      </c>
      <c r="BN295" s="1" t="s">
        <v>82</v>
      </c>
      <c r="BO295" s="1" t="s">
        <v>424</v>
      </c>
      <c r="BP295" s="1">
        <v>12</v>
      </c>
      <c r="BQ295" s="1" t="s">
        <v>5831</v>
      </c>
      <c r="BR295" s="1" t="s">
        <v>745</v>
      </c>
      <c r="BS295" s="1" t="s">
        <v>4027</v>
      </c>
      <c r="BT295" s="1" t="s">
        <v>5832</v>
      </c>
      <c r="BU295" s="1">
        <v>35933895</v>
      </c>
      <c r="BV295" s="1" t="s">
        <v>82</v>
      </c>
      <c r="BW295" s="1" t="s">
        <v>82</v>
      </c>
      <c r="BX295" s="1" t="s">
        <v>82</v>
      </c>
      <c r="BY295" s="1" t="s">
        <v>108</v>
      </c>
      <c r="BZ295" s="1" t="s">
        <v>5833</v>
      </c>
      <c r="CA295" s="1" t="str">
        <f>HYPERLINK("https%3A%2F%2Fwww.webofscience.com%2Fwos%2Fwoscc%2Ffull-record%2FWOS:000878032800004","View Full Record in Web of Science")</f>
        <v>View Full Record in Web of Science</v>
      </c>
    </row>
    <row r="296" s="1" customFormat="1" ht="14.4" spans="1:79">
      <c r="A296">
        <v>295</v>
      </c>
      <c r="B296" s="2" t="s">
        <v>110</v>
      </c>
      <c r="C296" s="1" t="s">
        <v>80</v>
      </c>
      <c r="D296" s="1" t="s">
        <v>5834</v>
      </c>
      <c r="E296" s="1" t="s">
        <v>82</v>
      </c>
      <c r="F296" s="1" t="s">
        <v>82</v>
      </c>
      <c r="G296" s="1" t="s">
        <v>82</v>
      </c>
      <c r="H296" s="1" t="s">
        <v>5835</v>
      </c>
      <c r="I296" s="1" t="s">
        <v>82</v>
      </c>
      <c r="J296" s="1" t="s">
        <v>82</v>
      </c>
      <c r="K296" s="1" t="s">
        <v>5836</v>
      </c>
      <c r="L296" s="1" t="s">
        <v>5814</v>
      </c>
      <c r="M296" s="1">
        <v>5.307</v>
      </c>
      <c r="O296" s="1" t="s">
        <v>82</v>
      </c>
      <c r="P296" s="1" t="s">
        <v>82</v>
      </c>
      <c r="Q296" s="1" t="s">
        <v>87</v>
      </c>
      <c r="R296" s="1" t="s">
        <v>115</v>
      </c>
      <c r="S296" s="1" t="s">
        <v>82</v>
      </c>
      <c r="T296" s="1" t="s">
        <v>82</v>
      </c>
      <c r="U296" s="1" t="s">
        <v>82</v>
      </c>
      <c r="V296" s="1" t="s">
        <v>82</v>
      </c>
      <c r="W296" s="1" t="s">
        <v>82</v>
      </c>
      <c r="X296" s="1" t="s">
        <v>5837</v>
      </c>
      <c r="Y296" s="1" t="s">
        <v>5838</v>
      </c>
      <c r="Z296" s="1" t="s">
        <v>5839</v>
      </c>
      <c r="AB296" s="1" t="s">
        <v>5840</v>
      </c>
      <c r="AC296" s="1" t="s">
        <v>5841</v>
      </c>
      <c r="AD296" s="1" t="s">
        <v>206</v>
      </c>
      <c r="AE296" s="1" t="s">
        <v>3994</v>
      </c>
      <c r="AF296" s="1" t="s">
        <v>5842</v>
      </c>
      <c r="AG296" s="1" t="s">
        <v>5843</v>
      </c>
      <c r="AH296" s="1" t="s">
        <v>82</v>
      </c>
      <c r="AI296" s="1" t="s">
        <v>82</v>
      </c>
      <c r="AJ296" s="1" t="s">
        <v>5844</v>
      </c>
      <c r="AK296" s="1" t="s">
        <v>5845</v>
      </c>
      <c r="AL296" s="1" t="s">
        <v>5846</v>
      </c>
      <c r="AM296" s="1" t="s">
        <v>82</v>
      </c>
      <c r="AN296" s="1">
        <v>33</v>
      </c>
      <c r="AO296" s="1">
        <v>0</v>
      </c>
      <c r="AP296" s="1">
        <v>0</v>
      </c>
      <c r="AQ296" s="1">
        <v>4</v>
      </c>
      <c r="AR296" s="1">
        <v>4</v>
      </c>
      <c r="AS296" s="1" t="s">
        <v>2514</v>
      </c>
      <c r="AT296" s="1" t="s">
        <v>2515</v>
      </c>
      <c r="AU296" s="1" t="s">
        <v>2516</v>
      </c>
      <c r="AV296" s="1" t="s">
        <v>5826</v>
      </c>
      <c r="AW296" s="1" t="s">
        <v>5827</v>
      </c>
      <c r="AX296" s="1" t="s">
        <v>82</v>
      </c>
      <c r="AY296" s="1" t="s">
        <v>5828</v>
      </c>
      <c r="AZ296" s="1" t="s">
        <v>5829</v>
      </c>
      <c r="BA296" s="1" t="s">
        <v>2123</v>
      </c>
      <c r="BB296" s="1">
        <v>2022</v>
      </c>
      <c r="BC296" s="1">
        <v>129</v>
      </c>
      <c r="BD296" s="1" t="s">
        <v>82</v>
      </c>
      <c r="BE296" s="1" t="s">
        <v>82</v>
      </c>
      <c r="BF296" s="1" t="s">
        <v>82</v>
      </c>
      <c r="BG296" s="1" t="s">
        <v>82</v>
      </c>
      <c r="BH296" s="1" t="s">
        <v>82</v>
      </c>
      <c r="BI296" s="1" t="s">
        <v>82</v>
      </c>
      <c r="BJ296" s="1" t="s">
        <v>82</v>
      </c>
      <c r="BK296" s="1">
        <v>106149</v>
      </c>
      <c r="BL296" s="1" t="s">
        <v>5847</v>
      </c>
      <c r="BM296" s="1" t="str">
        <f>HYPERLINK("http://dx.doi.org/10.1016/j.bioorg.2022.106149","http://dx.doi.org/10.1016/j.bioorg.2022.106149")</f>
        <v>http://dx.doi.org/10.1016/j.bioorg.2022.106149</v>
      </c>
      <c r="BN296" s="1" t="s">
        <v>82</v>
      </c>
      <c r="BO296" s="1" t="s">
        <v>82</v>
      </c>
      <c r="BP296" s="1">
        <v>21</v>
      </c>
      <c r="BQ296" s="1" t="s">
        <v>5831</v>
      </c>
      <c r="BR296" s="1" t="s">
        <v>745</v>
      </c>
      <c r="BS296" s="1" t="s">
        <v>4027</v>
      </c>
      <c r="BT296" s="1" t="s">
        <v>5848</v>
      </c>
      <c r="BU296" s="1">
        <v>36116324</v>
      </c>
      <c r="BV296" s="1" t="s">
        <v>82</v>
      </c>
      <c r="BW296" s="1" t="s">
        <v>82</v>
      </c>
      <c r="BX296" s="1" t="s">
        <v>82</v>
      </c>
      <c r="BY296" s="1" t="s">
        <v>108</v>
      </c>
      <c r="BZ296" s="1" t="s">
        <v>5849</v>
      </c>
      <c r="CA296" s="1" t="str">
        <f>HYPERLINK("https%3A%2F%2Fwww.webofscience.com%2Fwos%2Fwoscc%2Ffull-record%2FWOS:000880178900006","View Full Record in Web of Science")</f>
        <v>View Full Record in Web of Science</v>
      </c>
    </row>
    <row r="297" s="1" customFormat="1" ht="14.4" spans="1:79">
      <c r="A297">
        <v>296</v>
      </c>
      <c r="B297" s="2" t="s">
        <v>110</v>
      </c>
      <c r="C297" s="1" t="s">
        <v>80</v>
      </c>
      <c r="D297" s="1" t="s">
        <v>5850</v>
      </c>
      <c r="E297" s="1" t="s">
        <v>82</v>
      </c>
      <c r="F297" s="1" t="s">
        <v>82</v>
      </c>
      <c r="G297" s="1" t="s">
        <v>82</v>
      </c>
      <c r="H297" s="1" t="s">
        <v>5851</v>
      </c>
      <c r="I297" s="1" t="s">
        <v>82</v>
      </c>
      <c r="J297" s="1" t="s">
        <v>82</v>
      </c>
      <c r="K297" s="1" t="s">
        <v>5852</v>
      </c>
      <c r="L297" s="1" t="s">
        <v>5814</v>
      </c>
      <c r="M297" s="1">
        <v>5.307</v>
      </c>
      <c r="O297" s="1" t="s">
        <v>82</v>
      </c>
      <c r="P297" s="1" t="s">
        <v>82</v>
      </c>
      <c r="Q297" s="1" t="s">
        <v>87</v>
      </c>
      <c r="R297" s="1" t="s">
        <v>115</v>
      </c>
      <c r="S297" s="1" t="s">
        <v>82</v>
      </c>
      <c r="T297" s="1" t="s">
        <v>82</v>
      </c>
      <c r="U297" s="1" t="s">
        <v>82</v>
      </c>
      <c r="V297" s="1" t="s">
        <v>82</v>
      </c>
      <c r="W297" s="1" t="s">
        <v>82</v>
      </c>
      <c r="X297" s="1" t="s">
        <v>5853</v>
      </c>
      <c r="Y297" s="1" t="s">
        <v>5854</v>
      </c>
      <c r="Z297" s="1" t="s">
        <v>5855</v>
      </c>
      <c r="AA297" s="1">
        <v>1</v>
      </c>
      <c r="AB297" s="1" t="s">
        <v>5636</v>
      </c>
      <c r="AC297" s="1" t="s">
        <v>5856</v>
      </c>
      <c r="AD297" s="1" t="s">
        <v>93</v>
      </c>
      <c r="AE297" s="1" t="s">
        <v>5857</v>
      </c>
      <c r="AF297" s="1" t="s">
        <v>5858</v>
      </c>
      <c r="AG297" s="1" t="s">
        <v>5859</v>
      </c>
      <c r="AH297" s="1" t="s">
        <v>82</v>
      </c>
      <c r="AI297" s="1" t="s">
        <v>5860</v>
      </c>
      <c r="AJ297" s="1" t="s">
        <v>5861</v>
      </c>
      <c r="AK297" s="1" t="s">
        <v>5862</v>
      </c>
      <c r="AL297" s="1" t="s">
        <v>5863</v>
      </c>
      <c r="AM297" s="1" t="s">
        <v>82</v>
      </c>
      <c r="AN297" s="1">
        <v>28</v>
      </c>
      <c r="AO297" s="1">
        <v>0</v>
      </c>
      <c r="AP297" s="1">
        <v>0</v>
      </c>
      <c r="AQ297" s="1">
        <v>8</v>
      </c>
      <c r="AR297" s="1">
        <v>9</v>
      </c>
      <c r="AS297" s="1" t="s">
        <v>2514</v>
      </c>
      <c r="AT297" s="1" t="s">
        <v>2515</v>
      </c>
      <c r="AU297" s="1" t="s">
        <v>2516</v>
      </c>
      <c r="AV297" s="1" t="s">
        <v>5826</v>
      </c>
      <c r="AW297" s="1" t="s">
        <v>5827</v>
      </c>
      <c r="AX297" s="1" t="s">
        <v>82</v>
      </c>
      <c r="AY297" s="1" t="s">
        <v>5828</v>
      </c>
      <c r="AZ297" s="1" t="s">
        <v>5829</v>
      </c>
      <c r="BA297" s="1" t="s">
        <v>1340</v>
      </c>
      <c r="BB297" s="1">
        <v>2022</v>
      </c>
      <c r="BC297" s="1">
        <v>127</v>
      </c>
      <c r="BD297" s="1" t="s">
        <v>82</v>
      </c>
      <c r="BE297" s="1" t="s">
        <v>82</v>
      </c>
      <c r="BF297" s="1" t="s">
        <v>82</v>
      </c>
      <c r="BG297" s="1" t="s">
        <v>82</v>
      </c>
      <c r="BH297" s="1" t="s">
        <v>82</v>
      </c>
      <c r="BI297" s="1" t="s">
        <v>82</v>
      </c>
      <c r="BJ297" s="1" t="s">
        <v>82</v>
      </c>
      <c r="BK297" s="1">
        <v>105973</v>
      </c>
      <c r="BL297" s="1" t="s">
        <v>5864</v>
      </c>
      <c r="BM297" s="1" t="str">
        <f>HYPERLINK("http://dx.doi.org/10.1016/j.bioorg.2022.105973","http://dx.doi.org/10.1016/j.bioorg.2022.105973")</f>
        <v>http://dx.doi.org/10.1016/j.bioorg.2022.105973</v>
      </c>
      <c r="BN297" s="1" t="s">
        <v>82</v>
      </c>
      <c r="BO297" s="1" t="s">
        <v>82</v>
      </c>
      <c r="BP297" s="1">
        <v>11</v>
      </c>
      <c r="BQ297" s="1" t="s">
        <v>5831</v>
      </c>
      <c r="BR297" s="1" t="s">
        <v>745</v>
      </c>
      <c r="BS297" s="1" t="s">
        <v>4027</v>
      </c>
      <c r="BT297" s="1" t="s">
        <v>5865</v>
      </c>
      <c r="BU297" s="1">
        <v>35749856</v>
      </c>
      <c r="BV297" s="1" t="s">
        <v>82</v>
      </c>
      <c r="BW297" s="1" t="s">
        <v>82</v>
      </c>
      <c r="BX297" s="1" t="s">
        <v>82</v>
      </c>
      <c r="BY297" s="1" t="s">
        <v>108</v>
      </c>
      <c r="BZ297" s="1" t="s">
        <v>5866</v>
      </c>
      <c r="CA297" s="1" t="str">
        <f>HYPERLINK("https%3A%2F%2Fwww.webofscience.com%2Fwos%2Fwoscc%2Ffull-record%2FWOS:000833458500004","View Full Record in Web of Science")</f>
        <v>View Full Record in Web of Science</v>
      </c>
    </row>
    <row r="298" s="1" customFormat="1" ht="14.4" spans="1:79">
      <c r="A298">
        <v>297</v>
      </c>
      <c r="B298" s="2" t="s">
        <v>110</v>
      </c>
      <c r="C298" s="1" t="s">
        <v>80</v>
      </c>
      <c r="D298" s="1" t="s">
        <v>5867</v>
      </c>
      <c r="E298" s="1" t="s">
        <v>82</v>
      </c>
      <c r="F298" s="1" t="s">
        <v>82</v>
      </c>
      <c r="G298" s="1" t="s">
        <v>82</v>
      </c>
      <c r="H298" s="1" t="s">
        <v>5868</v>
      </c>
      <c r="I298" s="1" t="s">
        <v>82</v>
      </c>
      <c r="J298" s="1" t="s">
        <v>82</v>
      </c>
      <c r="K298" s="1" t="s">
        <v>5869</v>
      </c>
      <c r="L298" s="1" t="s">
        <v>5814</v>
      </c>
      <c r="M298" s="1">
        <v>5.307</v>
      </c>
      <c r="O298" s="1" t="s">
        <v>82</v>
      </c>
      <c r="P298" s="1" t="s">
        <v>82</v>
      </c>
      <c r="Q298" s="1" t="s">
        <v>87</v>
      </c>
      <c r="R298" s="1" t="s">
        <v>115</v>
      </c>
      <c r="S298" s="1" t="s">
        <v>82</v>
      </c>
      <c r="T298" s="1" t="s">
        <v>82</v>
      </c>
      <c r="U298" s="1" t="s">
        <v>82</v>
      </c>
      <c r="V298" s="1" t="s">
        <v>82</v>
      </c>
      <c r="W298" s="1" t="s">
        <v>82</v>
      </c>
      <c r="X298" s="1" t="s">
        <v>5870</v>
      </c>
      <c r="Y298" s="1" t="s">
        <v>5871</v>
      </c>
      <c r="Z298" s="1" t="s">
        <v>5872</v>
      </c>
      <c r="AA298" s="1">
        <v>1</v>
      </c>
      <c r="AB298" s="1" t="s">
        <v>5873</v>
      </c>
      <c r="AC298" s="1" t="s">
        <v>5874</v>
      </c>
      <c r="AD298" s="1" t="s">
        <v>93</v>
      </c>
      <c r="AE298" s="1" t="s">
        <v>5875</v>
      </c>
      <c r="AF298" s="1" t="s">
        <v>5876</v>
      </c>
      <c r="AG298" s="1" t="s">
        <v>5877</v>
      </c>
      <c r="AH298" s="1" t="s">
        <v>5878</v>
      </c>
      <c r="AI298" s="1" t="s">
        <v>82</v>
      </c>
      <c r="AJ298" s="1" t="s">
        <v>5879</v>
      </c>
      <c r="AK298" s="1" t="s">
        <v>5880</v>
      </c>
      <c r="AL298" s="1" t="s">
        <v>5881</v>
      </c>
      <c r="AM298" s="1" t="s">
        <v>82</v>
      </c>
      <c r="AN298" s="1">
        <v>36</v>
      </c>
      <c r="AO298" s="1">
        <v>2</v>
      </c>
      <c r="AP298" s="1">
        <v>2</v>
      </c>
      <c r="AQ298" s="1">
        <v>11</v>
      </c>
      <c r="AR298" s="1">
        <v>21</v>
      </c>
      <c r="AS298" s="1" t="s">
        <v>2514</v>
      </c>
      <c r="AT298" s="1" t="s">
        <v>2515</v>
      </c>
      <c r="AU298" s="1" t="s">
        <v>2516</v>
      </c>
      <c r="AV298" s="1" t="s">
        <v>5826</v>
      </c>
      <c r="AW298" s="1" t="s">
        <v>5827</v>
      </c>
      <c r="AX298" s="1" t="s">
        <v>82</v>
      </c>
      <c r="AY298" s="1" t="s">
        <v>5828</v>
      </c>
      <c r="AZ298" s="1" t="s">
        <v>5829</v>
      </c>
      <c r="BA298" s="1" t="s">
        <v>2145</v>
      </c>
      <c r="BB298" s="1">
        <v>2022</v>
      </c>
      <c r="BC298" s="1">
        <v>120</v>
      </c>
      <c r="BD298" s="1" t="s">
        <v>82</v>
      </c>
      <c r="BE298" s="1" t="s">
        <v>82</v>
      </c>
      <c r="BF298" s="1" t="s">
        <v>82</v>
      </c>
      <c r="BG298" s="1" t="s">
        <v>82</v>
      </c>
      <c r="BH298" s="1" t="s">
        <v>82</v>
      </c>
      <c r="BI298" s="1" t="s">
        <v>82</v>
      </c>
      <c r="BJ298" s="1" t="s">
        <v>82</v>
      </c>
      <c r="BK298" s="1">
        <v>105653</v>
      </c>
      <c r="BL298" s="1" t="s">
        <v>5882</v>
      </c>
      <c r="BM298" s="1" t="str">
        <f>HYPERLINK("http://dx.doi.org/10.1016/j.bioorg.2022.105653","http://dx.doi.org/10.1016/j.bioorg.2022.105653")</f>
        <v>http://dx.doi.org/10.1016/j.bioorg.2022.105653</v>
      </c>
      <c r="BN298" s="1" t="s">
        <v>82</v>
      </c>
      <c r="BO298" s="1" t="s">
        <v>82</v>
      </c>
      <c r="BP298" s="1">
        <v>11</v>
      </c>
      <c r="BQ298" s="1" t="s">
        <v>5831</v>
      </c>
      <c r="BR298" s="1" t="s">
        <v>745</v>
      </c>
      <c r="BS298" s="1" t="s">
        <v>4027</v>
      </c>
      <c r="BT298" s="1" t="s">
        <v>5883</v>
      </c>
      <c r="BU298" s="1">
        <v>35149263</v>
      </c>
      <c r="BV298" s="1" t="s">
        <v>82</v>
      </c>
      <c r="BW298" s="1" t="s">
        <v>82</v>
      </c>
      <c r="BX298" s="1" t="s">
        <v>82</v>
      </c>
      <c r="BY298" s="1" t="s">
        <v>108</v>
      </c>
      <c r="BZ298" s="1" t="s">
        <v>5884</v>
      </c>
      <c r="CA298" s="1" t="str">
        <f>HYPERLINK("https%3A%2F%2Fwww.webofscience.com%2Fwos%2Fwoscc%2Ffull-record%2FWOS:000820618400005","View Full Record in Web of Science")</f>
        <v>View Full Record in Web of Science</v>
      </c>
    </row>
    <row r="299" s="1" customFormat="1" ht="14.4" spans="1:79">
      <c r="A299">
        <v>298</v>
      </c>
      <c r="B299" s="2" t="s">
        <v>79</v>
      </c>
      <c r="C299" s="1" t="s">
        <v>80</v>
      </c>
      <c r="D299" s="1" t="s">
        <v>5885</v>
      </c>
      <c r="E299" s="1" t="s">
        <v>82</v>
      </c>
      <c r="F299" s="1" t="s">
        <v>82</v>
      </c>
      <c r="G299" s="1" t="s">
        <v>82</v>
      </c>
      <c r="H299" s="1" t="s">
        <v>5886</v>
      </c>
      <c r="I299" s="1" t="s">
        <v>82</v>
      </c>
      <c r="J299" s="1" t="s">
        <v>82</v>
      </c>
      <c r="K299" s="1" t="s">
        <v>5887</v>
      </c>
      <c r="L299" s="1" t="s">
        <v>5814</v>
      </c>
      <c r="M299" s="1">
        <v>5.307</v>
      </c>
      <c r="O299" s="1" t="s">
        <v>82</v>
      </c>
      <c r="P299" s="1" t="s">
        <v>82</v>
      </c>
      <c r="Q299" s="1" t="s">
        <v>87</v>
      </c>
      <c r="R299" s="1" t="s">
        <v>115</v>
      </c>
      <c r="S299" s="1" t="s">
        <v>82</v>
      </c>
      <c r="T299" s="1" t="s">
        <v>82</v>
      </c>
      <c r="U299" s="1" t="s">
        <v>82</v>
      </c>
      <c r="V299" s="1" t="s">
        <v>82</v>
      </c>
      <c r="W299" s="1" t="s">
        <v>82</v>
      </c>
      <c r="X299" s="1" t="s">
        <v>5888</v>
      </c>
      <c r="Y299" s="1" t="s">
        <v>5889</v>
      </c>
      <c r="Z299" s="1" t="s">
        <v>5890</v>
      </c>
      <c r="AA299" s="1">
        <v>1</v>
      </c>
      <c r="AB299" s="1" t="s">
        <v>5891</v>
      </c>
      <c r="AC299" s="1" t="s">
        <v>5892</v>
      </c>
      <c r="AD299" s="1" t="s">
        <v>93</v>
      </c>
      <c r="AE299" s="1" t="s">
        <v>5893</v>
      </c>
      <c r="AF299" s="1" t="s">
        <v>5894</v>
      </c>
      <c r="AG299" s="1" t="s">
        <v>5895</v>
      </c>
      <c r="AH299" s="1" t="s">
        <v>5896</v>
      </c>
      <c r="AI299" s="1" t="s">
        <v>5897</v>
      </c>
      <c r="AJ299" s="1" t="s">
        <v>5898</v>
      </c>
      <c r="AK299" s="1" t="s">
        <v>5899</v>
      </c>
      <c r="AL299" s="1" t="s">
        <v>5900</v>
      </c>
      <c r="AM299" s="1" t="s">
        <v>82</v>
      </c>
      <c r="AN299" s="1">
        <v>49</v>
      </c>
      <c r="AO299" s="1">
        <v>2</v>
      </c>
      <c r="AP299" s="1">
        <v>2</v>
      </c>
      <c r="AQ299" s="1">
        <v>11</v>
      </c>
      <c r="AR299" s="1">
        <v>23</v>
      </c>
      <c r="AS299" s="1" t="s">
        <v>2514</v>
      </c>
      <c r="AT299" s="1" t="s">
        <v>2515</v>
      </c>
      <c r="AU299" s="1" t="s">
        <v>2516</v>
      </c>
      <c r="AV299" s="1" t="s">
        <v>5826</v>
      </c>
      <c r="AW299" s="1" t="s">
        <v>5827</v>
      </c>
      <c r="AX299" s="1" t="s">
        <v>82</v>
      </c>
      <c r="AY299" s="1" t="s">
        <v>5828</v>
      </c>
      <c r="AZ299" s="1" t="s">
        <v>5829</v>
      </c>
      <c r="BA299" s="1" t="s">
        <v>1403</v>
      </c>
      <c r="BB299" s="1">
        <v>2022</v>
      </c>
      <c r="BC299" s="1">
        <v>124</v>
      </c>
      <c r="BD299" s="1" t="s">
        <v>82</v>
      </c>
      <c r="BE299" s="1" t="s">
        <v>82</v>
      </c>
      <c r="BF299" s="1" t="s">
        <v>82</v>
      </c>
      <c r="BG299" s="1" t="s">
        <v>82</v>
      </c>
      <c r="BH299" s="1" t="s">
        <v>82</v>
      </c>
      <c r="BI299" s="1" t="s">
        <v>82</v>
      </c>
      <c r="BJ299" s="1" t="s">
        <v>82</v>
      </c>
      <c r="BK299" s="1">
        <v>105811</v>
      </c>
      <c r="BL299" s="1" t="s">
        <v>5901</v>
      </c>
      <c r="BM299" s="1" t="str">
        <f>HYPERLINK("http://dx.doi.org/10.1016/j.bioorg.2022.105811","http://dx.doi.org/10.1016/j.bioorg.2022.105811")</f>
        <v>http://dx.doi.org/10.1016/j.bioorg.2022.105811</v>
      </c>
      <c r="BN299" s="1" t="s">
        <v>82</v>
      </c>
      <c r="BO299" s="1" t="s">
        <v>267</v>
      </c>
      <c r="BP299" s="1">
        <v>11</v>
      </c>
      <c r="BQ299" s="1" t="s">
        <v>5831</v>
      </c>
      <c r="BR299" s="1" t="s">
        <v>745</v>
      </c>
      <c r="BS299" s="1" t="s">
        <v>4027</v>
      </c>
      <c r="BT299" s="1" t="s">
        <v>5902</v>
      </c>
      <c r="BU299" s="1">
        <v>35452916</v>
      </c>
      <c r="BV299" s="1" t="s">
        <v>82</v>
      </c>
      <c r="BW299" s="1" t="s">
        <v>82</v>
      </c>
      <c r="BX299" s="1" t="s">
        <v>82</v>
      </c>
      <c r="BY299" s="1" t="s">
        <v>108</v>
      </c>
      <c r="BZ299" s="1" t="s">
        <v>5903</v>
      </c>
      <c r="CA299" s="1" t="str">
        <f>HYPERLINK("https%3A%2F%2Fwww.webofscience.com%2Fwos%2Fwoscc%2Ffull-record%2FWOS:000796000100005","View Full Record in Web of Science")</f>
        <v>View Full Record in Web of Science</v>
      </c>
    </row>
    <row r="300" s="1" customFormat="1" ht="14.4" spans="1:79">
      <c r="A300">
        <v>299</v>
      </c>
      <c r="B300" s="2" t="s">
        <v>110</v>
      </c>
      <c r="C300" s="1" t="s">
        <v>80</v>
      </c>
      <c r="D300" s="1" t="s">
        <v>5904</v>
      </c>
      <c r="E300" s="1" t="s">
        <v>82</v>
      </c>
      <c r="F300" s="1" t="s">
        <v>82</v>
      </c>
      <c r="G300" s="1" t="s">
        <v>82</v>
      </c>
      <c r="H300" s="1" t="s">
        <v>5905</v>
      </c>
      <c r="I300" s="1" t="s">
        <v>82</v>
      </c>
      <c r="J300" s="1" t="s">
        <v>82</v>
      </c>
      <c r="K300" s="1" t="s">
        <v>5906</v>
      </c>
      <c r="L300" s="1" t="s">
        <v>5814</v>
      </c>
      <c r="M300" s="1">
        <v>5.307</v>
      </c>
      <c r="O300" s="1" t="s">
        <v>82</v>
      </c>
      <c r="P300" s="1" t="s">
        <v>82</v>
      </c>
      <c r="Q300" s="1" t="s">
        <v>87</v>
      </c>
      <c r="R300" s="1" t="s">
        <v>115</v>
      </c>
      <c r="S300" s="1" t="s">
        <v>82</v>
      </c>
      <c r="T300" s="1" t="s">
        <v>82</v>
      </c>
      <c r="U300" s="1" t="s">
        <v>82</v>
      </c>
      <c r="V300" s="1" t="s">
        <v>82</v>
      </c>
      <c r="W300" s="1" t="s">
        <v>82</v>
      </c>
      <c r="X300" s="1" t="s">
        <v>5907</v>
      </c>
      <c r="Y300" s="1" t="s">
        <v>5908</v>
      </c>
      <c r="Z300" s="1" t="s">
        <v>5909</v>
      </c>
      <c r="AB300" s="1" t="s">
        <v>5910</v>
      </c>
      <c r="AC300" s="1" t="s">
        <v>5911</v>
      </c>
      <c r="AD300" s="1" t="s">
        <v>120</v>
      </c>
      <c r="AE300" s="1" t="s">
        <v>5912</v>
      </c>
      <c r="AF300" s="1" t="s">
        <v>5913</v>
      </c>
      <c r="AG300" s="1" t="s">
        <v>5914</v>
      </c>
      <c r="AH300" s="1" t="s">
        <v>5915</v>
      </c>
      <c r="AI300" s="1" t="s">
        <v>5916</v>
      </c>
      <c r="AJ300" s="1" t="s">
        <v>5917</v>
      </c>
      <c r="AK300" s="1" t="s">
        <v>5918</v>
      </c>
      <c r="AL300" s="1" t="s">
        <v>5919</v>
      </c>
      <c r="AM300" s="1" t="s">
        <v>82</v>
      </c>
      <c r="AN300" s="1">
        <v>36</v>
      </c>
      <c r="AO300" s="1">
        <v>1</v>
      </c>
      <c r="AP300" s="1">
        <v>1</v>
      </c>
      <c r="AQ300" s="1">
        <v>3</v>
      </c>
      <c r="AR300" s="1">
        <v>4</v>
      </c>
      <c r="AS300" s="1" t="s">
        <v>2514</v>
      </c>
      <c r="AT300" s="1" t="s">
        <v>2515</v>
      </c>
      <c r="AU300" s="1" t="s">
        <v>2516</v>
      </c>
      <c r="AV300" s="1" t="s">
        <v>5826</v>
      </c>
      <c r="AW300" s="1" t="s">
        <v>5827</v>
      </c>
      <c r="AX300" s="1" t="s">
        <v>82</v>
      </c>
      <c r="AY300" s="1" t="s">
        <v>5828</v>
      </c>
      <c r="AZ300" s="1" t="s">
        <v>5829</v>
      </c>
      <c r="BA300" s="1" t="s">
        <v>1146</v>
      </c>
      <c r="BB300" s="1">
        <v>2022</v>
      </c>
      <c r="BC300" s="1">
        <v>123</v>
      </c>
      <c r="BD300" s="1" t="s">
        <v>82</v>
      </c>
      <c r="BE300" s="1" t="s">
        <v>82</v>
      </c>
      <c r="BF300" s="1" t="s">
        <v>82</v>
      </c>
      <c r="BG300" s="1" t="s">
        <v>82</v>
      </c>
      <c r="BH300" s="1" t="s">
        <v>82</v>
      </c>
      <c r="BI300" s="1" t="s">
        <v>82</v>
      </c>
      <c r="BJ300" s="1" t="s">
        <v>82</v>
      </c>
      <c r="BK300" s="1">
        <v>105780</v>
      </c>
      <c r="BL300" s="1" t="s">
        <v>5920</v>
      </c>
      <c r="BM300" s="1" t="str">
        <f>HYPERLINK("http://dx.doi.org/10.1016/j.bioorg.2022.105780","http://dx.doi.org/10.1016/j.bioorg.2022.105780")</f>
        <v>http://dx.doi.org/10.1016/j.bioorg.2022.105780</v>
      </c>
      <c r="BN300" s="1" t="s">
        <v>82</v>
      </c>
      <c r="BO300" s="1" t="s">
        <v>267</v>
      </c>
      <c r="BP300" s="1">
        <v>12</v>
      </c>
      <c r="BQ300" s="1" t="s">
        <v>5831</v>
      </c>
      <c r="BR300" s="1" t="s">
        <v>745</v>
      </c>
      <c r="BS300" s="1" t="s">
        <v>4027</v>
      </c>
      <c r="BT300" s="1" t="s">
        <v>5921</v>
      </c>
      <c r="BU300" s="1">
        <v>35395448</v>
      </c>
      <c r="BV300" s="1" t="s">
        <v>82</v>
      </c>
      <c r="BW300" s="1" t="s">
        <v>82</v>
      </c>
      <c r="BX300" s="1" t="s">
        <v>82</v>
      </c>
      <c r="BY300" s="1" t="s">
        <v>108</v>
      </c>
      <c r="BZ300" s="1" t="s">
        <v>5922</v>
      </c>
      <c r="CA300" s="1" t="str">
        <f>HYPERLINK("https%3A%2F%2Fwww.webofscience.com%2Fwos%2Fwoscc%2Ffull-record%2FWOS:000792922300007","View Full Record in Web of Science")</f>
        <v>View Full Record in Web of Science</v>
      </c>
    </row>
    <row r="301" s="1" customFormat="1" ht="14.4" spans="1:79">
      <c r="A301">
        <v>300</v>
      </c>
      <c r="B301" s="2" t="s">
        <v>110</v>
      </c>
      <c r="C301" s="1" t="s">
        <v>80</v>
      </c>
      <c r="D301" s="1" t="s">
        <v>5923</v>
      </c>
      <c r="E301" s="1" t="s">
        <v>82</v>
      </c>
      <c r="F301" s="1" t="s">
        <v>82</v>
      </c>
      <c r="G301" s="1" t="s">
        <v>82</v>
      </c>
      <c r="H301" s="1" t="s">
        <v>5924</v>
      </c>
      <c r="I301" s="1" t="s">
        <v>82</v>
      </c>
      <c r="J301" s="1" t="s">
        <v>82</v>
      </c>
      <c r="K301" s="1" t="s">
        <v>5925</v>
      </c>
      <c r="L301" s="1" t="s">
        <v>5814</v>
      </c>
      <c r="M301" s="1">
        <v>5.307</v>
      </c>
      <c r="O301" s="1" t="s">
        <v>82</v>
      </c>
      <c r="P301" s="1" t="s">
        <v>82</v>
      </c>
      <c r="Q301" s="1" t="s">
        <v>87</v>
      </c>
      <c r="R301" s="1" t="s">
        <v>115</v>
      </c>
      <c r="S301" s="1" t="s">
        <v>82</v>
      </c>
      <c r="T301" s="1" t="s">
        <v>82</v>
      </c>
      <c r="U301" s="1" t="s">
        <v>82</v>
      </c>
      <c r="V301" s="1" t="s">
        <v>82</v>
      </c>
      <c r="W301" s="1" t="s">
        <v>82</v>
      </c>
      <c r="X301" s="1" t="s">
        <v>5926</v>
      </c>
      <c r="Y301" s="1" t="s">
        <v>5927</v>
      </c>
      <c r="Z301" s="1" t="s">
        <v>5928</v>
      </c>
      <c r="AA301" s="1">
        <v>1</v>
      </c>
      <c r="AB301" s="1" t="s">
        <v>5929</v>
      </c>
      <c r="AC301" s="1" t="s">
        <v>5930</v>
      </c>
      <c r="AD301" s="1" t="s">
        <v>93</v>
      </c>
      <c r="AE301" s="1" t="s">
        <v>5931</v>
      </c>
      <c r="AF301" s="1" t="s">
        <v>5932</v>
      </c>
      <c r="AG301" s="1" t="s">
        <v>5933</v>
      </c>
      <c r="AH301" s="1" t="s">
        <v>82</v>
      </c>
      <c r="AI301" s="1" t="s">
        <v>82</v>
      </c>
      <c r="AJ301" s="1" t="s">
        <v>5934</v>
      </c>
      <c r="AK301" s="1" t="s">
        <v>5935</v>
      </c>
      <c r="AL301" s="1" t="s">
        <v>5936</v>
      </c>
      <c r="AM301" s="1" t="s">
        <v>82</v>
      </c>
      <c r="AN301" s="1">
        <v>52</v>
      </c>
      <c r="AO301" s="1">
        <v>1</v>
      </c>
      <c r="AP301" s="1">
        <v>1</v>
      </c>
      <c r="AQ301" s="1">
        <v>12</v>
      </c>
      <c r="AR301" s="1">
        <v>25</v>
      </c>
      <c r="AS301" s="1" t="s">
        <v>2514</v>
      </c>
      <c r="AT301" s="1" t="s">
        <v>2515</v>
      </c>
      <c r="AU301" s="1" t="s">
        <v>2516</v>
      </c>
      <c r="AV301" s="1" t="s">
        <v>5826</v>
      </c>
      <c r="AW301" s="1" t="s">
        <v>5827</v>
      </c>
      <c r="AX301" s="1" t="s">
        <v>82</v>
      </c>
      <c r="AY301" s="1" t="s">
        <v>5828</v>
      </c>
      <c r="AZ301" s="1" t="s">
        <v>5829</v>
      </c>
      <c r="BA301" s="1" t="s">
        <v>1146</v>
      </c>
      <c r="BB301" s="1">
        <v>2022</v>
      </c>
      <c r="BC301" s="1">
        <v>123</v>
      </c>
      <c r="BD301" s="1" t="s">
        <v>82</v>
      </c>
      <c r="BE301" s="1" t="s">
        <v>82</v>
      </c>
      <c r="BF301" s="1" t="s">
        <v>82</v>
      </c>
      <c r="BG301" s="1" t="s">
        <v>82</v>
      </c>
      <c r="BH301" s="1" t="s">
        <v>82</v>
      </c>
      <c r="BI301" s="1" t="s">
        <v>82</v>
      </c>
      <c r="BJ301" s="1" t="s">
        <v>82</v>
      </c>
      <c r="BK301" s="1">
        <v>105749</v>
      </c>
      <c r="BL301" s="1" t="s">
        <v>5937</v>
      </c>
      <c r="BM301" s="1" t="str">
        <f>HYPERLINK("http://dx.doi.org/10.1016/j.bioorg.2022.105749","http://dx.doi.org/10.1016/j.bioorg.2022.105749")</f>
        <v>http://dx.doi.org/10.1016/j.bioorg.2022.105749</v>
      </c>
      <c r="BN301" s="1" t="s">
        <v>82</v>
      </c>
      <c r="BO301" s="1" t="s">
        <v>282</v>
      </c>
      <c r="BP301" s="1">
        <v>7</v>
      </c>
      <c r="BQ301" s="1" t="s">
        <v>5831</v>
      </c>
      <c r="BR301" s="1" t="s">
        <v>745</v>
      </c>
      <c r="BS301" s="1" t="s">
        <v>4027</v>
      </c>
      <c r="BT301" s="1" t="s">
        <v>5921</v>
      </c>
      <c r="BU301" s="1">
        <v>35364556</v>
      </c>
      <c r="BV301" s="1" t="s">
        <v>82</v>
      </c>
      <c r="BW301" s="1" t="s">
        <v>82</v>
      </c>
      <c r="BX301" s="1" t="s">
        <v>82</v>
      </c>
      <c r="BY301" s="1" t="s">
        <v>108</v>
      </c>
      <c r="BZ301" s="1" t="s">
        <v>5938</v>
      </c>
      <c r="CA301" s="1" t="str">
        <f>HYPERLINK("https%3A%2F%2Fwww.webofscience.com%2Fwos%2Fwoscc%2Ffull-record%2FWOS:000792922300004","View Full Record in Web of Science")</f>
        <v>View Full Record in Web of Science</v>
      </c>
    </row>
    <row r="302" s="1" customFormat="1" ht="14.4" spans="1:79">
      <c r="A302">
        <v>301</v>
      </c>
      <c r="B302" s="2" t="s">
        <v>110</v>
      </c>
      <c r="C302" s="1" t="s">
        <v>80</v>
      </c>
      <c r="D302" s="1" t="s">
        <v>5939</v>
      </c>
      <c r="E302" s="1" t="s">
        <v>82</v>
      </c>
      <c r="F302" s="1" t="s">
        <v>82</v>
      </c>
      <c r="G302" s="1" t="s">
        <v>82</v>
      </c>
      <c r="H302" s="1" t="s">
        <v>5940</v>
      </c>
      <c r="I302" s="1" t="s">
        <v>82</v>
      </c>
      <c r="J302" s="1" t="s">
        <v>82</v>
      </c>
      <c r="K302" s="1" t="s">
        <v>5941</v>
      </c>
      <c r="L302" s="1" t="s">
        <v>5814</v>
      </c>
      <c r="M302" s="1">
        <v>5.307</v>
      </c>
      <c r="O302" s="1" t="s">
        <v>82</v>
      </c>
      <c r="P302" s="1" t="s">
        <v>82</v>
      </c>
      <c r="Q302" s="1" t="s">
        <v>87</v>
      </c>
      <c r="R302" s="1" t="s">
        <v>115</v>
      </c>
      <c r="S302" s="1" t="s">
        <v>82</v>
      </c>
      <c r="T302" s="1" t="s">
        <v>82</v>
      </c>
      <c r="U302" s="1" t="s">
        <v>82</v>
      </c>
      <c r="V302" s="1" t="s">
        <v>82</v>
      </c>
      <c r="W302" s="1" t="s">
        <v>82</v>
      </c>
      <c r="X302" s="1" t="s">
        <v>5942</v>
      </c>
      <c r="Y302" s="1" t="s">
        <v>5943</v>
      </c>
      <c r="Z302" s="1" t="s">
        <v>5944</v>
      </c>
      <c r="AB302" s="1" t="s">
        <v>5945</v>
      </c>
      <c r="AC302" s="1" t="s">
        <v>5946</v>
      </c>
      <c r="AD302" s="1" t="s">
        <v>120</v>
      </c>
      <c r="AE302" s="1" t="s">
        <v>5947</v>
      </c>
      <c r="AF302" s="1" t="s">
        <v>5948</v>
      </c>
      <c r="AG302" s="1" t="s">
        <v>5949</v>
      </c>
      <c r="AH302" s="1" t="s">
        <v>82</v>
      </c>
      <c r="AI302" s="1" t="s">
        <v>5950</v>
      </c>
      <c r="AJ302" s="1" t="s">
        <v>5951</v>
      </c>
      <c r="AK302" s="1" t="s">
        <v>5952</v>
      </c>
      <c r="AL302" s="1" t="s">
        <v>5953</v>
      </c>
      <c r="AM302" s="1" t="s">
        <v>82</v>
      </c>
      <c r="AN302" s="1">
        <v>25</v>
      </c>
      <c r="AO302" s="1">
        <v>1</v>
      </c>
      <c r="AP302" s="1">
        <v>1</v>
      </c>
      <c r="AQ302" s="1">
        <v>7</v>
      </c>
      <c r="AR302" s="1">
        <v>15</v>
      </c>
      <c r="AS302" s="1" t="s">
        <v>2514</v>
      </c>
      <c r="AT302" s="1" t="s">
        <v>2515</v>
      </c>
      <c r="AU302" s="1" t="s">
        <v>2516</v>
      </c>
      <c r="AV302" s="1" t="s">
        <v>5826</v>
      </c>
      <c r="AW302" s="1" t="s">
        <v>5827</v>
      </c>
      <c r="AX302" s="1" t="s">
        <v>82</v>
      </c>
      <c r="AY302" s="1" t="s">
        <v>5828</v>
      </c>
      <c r="AZ302" s="1" t="s">
        <v>5829</v>
      </c>
      <c r="BA302" s="1" t="s">
        <v>397</v>
      </c>
      <c r="BB302" s="1">
        <v>2022</v>
      </c>
      <c r="BC302" s="1">
        <v>119</v>
      </c>
      <c r="BD302" s="1" t="s">
        <v>82</v>
      </c>
      <c r="BE302" s="1" t="s">
        <v>82</v>
      </c>
      <c r="BF302" s="1" t="s">
        <v>82</v>
      </c>
      <c r="BG302" s="1" t="s">
        <v>82</v>
      </c>
      <c r="BH302" s="1" t="s">
        <v>82</v>
      </c>
      <c r="BI302" s="1" t="s">
        <v>82</v>
      </c>
      <c r="BJ302" s="1" t="s">
        <v>82</v>
      </c>
      <c r="BK302" s="1">
        <v>105567</v>
      </c>
      <c r="BL302" s="1" t="s">
        <v>5954</v>
      </c>
      <c r="BM302" s="1" t="str">
        <f>HYPERLINK("http://dx.doi.org/10.1016/j.bioorg.2021.105567","http://dx.doi.org/10.1016/j.bioorg.2021.105567")</f>
        <v>http://dx.doi.org/10.1016/j.bioorg.2021.105567</v>
      </c>
      <c r="BN302" s="1" t="s">
        <v>82</v>
      </c>
      <c r="BO302" s="1" t="s">
        <v>82</v>
      </c>
      <c r="BP302" s="1">
        <v>13</v>
      </c>
      <c r="BQ302" s="1" t="s">
        <v>5831</v>
      </c>
      <c r="BR302" s="1" t="s">
        <v>745</v>
      </c>
      <c r="BS302" s="1" t="s">
        <v>4027</v>
      </c>
      <c r="BT302" s="1" t="s">
        <v>5955</v>
      </c>
      <c r="BU302" s="1">
        <v>34971945</v>
      </c>
      <c r="BV302" s="1" t="s">
        <v>82</v>
      </c>
      <c r="BW302" s="1" t="s">
        <v>82</v>
      </c>
      <c r="BX302" s="1" t="s">
        <v>82</v>
      </c>
      <c r="BY302" s="1" t="s">
        <v>108</v>
      </c>
      <c r="BZ302" s="1" t="s">
        <v>5956</v>
      </c>
      <c r="CA302" s="1" t="str">
        <f>HYPERLINK("https%3A%2F%2Fwww.webofscience.com%2Fwos%2Fwoscc%2Ffull-record%2FWOS:000794086600006","View Full Record in Web of Science")</f>
        <v>View Full Record in Web of Science</v>
      </c>
    </row>
    <row r="303" s="1" customFormat="1" ht="14.4" spans="1:79">
      <c r="A303">
        <v>302</v>
      </c>
      <c r="B303" s="2" t="s">
        <v>110</v>
      </c>
      <c r="C303" s="1" t="s">
        <v>80</v>
      </c>
      <c r="D303" s="1" t="s">
        <v>5957</v>
      </c>
      <c r="E303" s="1" t="s">
        <v>82</v>
      </c>
      <c r="F303" s="1" t="s">
        <v>82</v>
      </c>
      <c r="G303" s="1" t="s">
        <v>82</v>
      </c>
      <c r="H303" s="1" t="s">
        <v>5958</v>
      </c>
      <c r="I303" s="1" t="s">
        <v>82</v>
      </c>
      <c r="J303" s="1" t="s">
        <v>82</v>
      </c>
      <c r="K303" s="1" t="s">
        <v>5959</v>
      </c>
      <c r="L303" s="1" t="s">
        <v>5814</v>
      </c>
      <c r="M303" s="1">
        <v>5.307</v>
      </c>
      <c r="O303" s="1" t="s">
        <v>82</v>
      </c>
      <c r="P303" s="1" t="s">
        <v>82</v>
      </c>
      <c r="Q303" s="1" t="s">
        <v>87</v>
      </c>
      <c r="R303" s="1" t="s">
        <v>115</v>
      </c>
      <c r="S303" s="1" t="s">
        <v>82</v>
      </c>
      <c r="T303" s="1" t="s">
        <v>82</v>
      </c>
      <c r="U303" s="1" t="s">
        <v>82</v>
      </c>
      <c r="V303" s="1" t="s">
        <v>82</v>
      </c>
      <c r="W303" s="1" t="s">
        <v>82</v>
      </c>
      <c r="X303" s="1" t="s">
        <v>5960</v>
      </c>
      <c r="Y303" s="1" t="s">
        <v>5961</v>
      </c>
      <c r="Z303" s="1" t="s">
        <v>5962</v>
      </c>
      <c r="AA303" s="1">
        <v>1</v>
      </c>
      <c r="AB303" s="1" t="s">
        <v>5963</v>
      </c>
      <c r="AC303" s="1" t="s">
        <v>5964</v>
      </c>
      <c r="AD303" s="1" t="s">
        <v>93</v>
      </c>
      <c r="AE303" s="1" t="s">
        <v>5965</v>
      </c>
      <c r="AF303" s="1" t="s">
        <v>5966</v>
      </c>
      <c r="AG303" s="1" t="s">
        <v>5967</v>
      </c>
      <c r="AH303" s="1" t="s">
        <v>82</v>
      </c>
      <c r="AI303" s="1" t="s">
        <v>82</v>
      </c>
      <c r="AJ303" s="1" t="s">
        <v>5968</v>
      </c>
      <c r="AK303" s="1" t="s">
        <v>5969</v>
      </c>
      <c r="AL303" s="1" t="s">
        <v>5970</v>
      </c>
      <c r="AM303" s="1" t="s">
        <v>82</v>
      </c>
      <c r="AN303" s="1">
        <v>25</v>
      </c>
      <c r="AO303" s="1">
        <v>1</v>
      </c>
      <c r="AP303" s="1">
        <v>1</v>
      </c>
      <c r="AQ303" s="1">
        <v>3</v>
      </c>
      <c r="AR303" s="1">
        <v>13</v>
      </c>
      <c r="AS303" s="1" t="s">
        <v>2514</v>
      </c>
      <c r="AT303" s="1" t="s">
        <v>2515</v>
      </c>
      <c r="AU303" s="1" t="s">
        <v>2516</v>
      </c>
      <c r="AV303" s="1" t="s">
        <v>5826</v>
      </c>
      <c r="AW303" s="1" t="s">
        <v>5827</v>
      </c>
      <c r="AX303" s="1" t="s">
        <v>82</v>
      </c>
      <c r="AY303" s="1" t="s">
        <v>5828</v>
      </c>
      <c r="AZ303" s="1" t="s">
        <v>5829</v>
      </c>
      <c r="BA303" s="1" t="s">
        <v>397</v>
      </c>
      <c r="BB303" s="1">
        <v>2022</v>
      </c>
      <c r="BC303" s="1">
        <v>119</v>
      </c>
      <c r="BD303" s="1" t="s">
        <v>82</v>
      </c>
      <c r="BE303" s="1" t="s">
        <v>82</v>
      </c>
      <c r="BF303" s="1" t="s">
        <v>82</v>
      </c>
      <c r="BG303" s="1" t="s">
        <v>82</v>
      </c>
      <c r="BH303" s="1" t="s">
        <v>82</v>
      </c>
      <c r="BI303" s="1" t="s">
        <v>82</v>
      </c>
      <c r="BJ303" s="1" t="s">
        <v>82</v>
      </c>
      <c r="BK303" s="1">
        <v>105582</v>
      </c>
      <c r="BL303" s="1" t="s">
        <v>5971</v>
      </c>
      <c r="BM303" s="1" t="str">
        <f>HYPERLINK("http://dx.doi.org/10.1016/j.bioorg.2021.105582","http://dx.doi.org/10.1016/j.bioorg.2021.105582")</f>
        <v>http://dx.doi.org/10.1016/j.bioorg.2021.105582</v>
      </c>
      <c r="BN303" s="1" t="s">
        <v>82</v>
      </c>
      <c r="BO303" s="1" t="s">
        <v>82</v>
      </c>
      <c r="BP303" s="1">
        <v>13</v>
      </c>
      <c r="BQ303" s="1" t="s">
        <v>5831</v>
      </c>
      <c r="BR303" s="1" t="s">
        <v>745</v>
      </c>
      <c r="BS303" s="1" t="s">
        <v>4027</v>
      </c>
      <c r="BT303" s="1" t="s">
        <v>5955</v>
      </c>
      <c r="BU303" s="1">
        <v>34971944</v>
      </c>
      <c r="BV303" s="1" t="s">
        <v>82</v>
      </c>
      <c r="BW303" s="1" t="s">
        <v>82</v>
      </c>
      <c r="BX303" s="1" t="s">
        <v>82</v>
      </c>
      <c r="BY303" s="1" t="s">
        <v>108</v>
      </c>
      <c r="BZ303" s="1" t="s">
        <v>5972</v>
      </c>
      <c r="CA303" s="1" t="str">
        <f>HYPERLINK("https%3A%2F%2Fwww.webofscience.com%2Fwos%2Fwoscc%2Ffull-record%2FWOS:000794086600007","View Full Record in Web of Science")</f>
        <v>View Full Record in Web of Science</v>
      </c>
    </row>
    <row r="304" s="1" customFormat="1" ht="14.4" spans="1:79">
      <c r="A304">
        <v>303</v>
      </c>
      <c r="B304" s="2" t="s">
        <v>79</v>
      </c>
      <c r="C304" s="1" t="s">
        <v>80</v>
      </c>
      <c r="D304" s="1" t="s">
        <v>5973</v>
      </c>
      <c r="E304" s="1" t="s">
        <v>82</v>
      </c>
      <c r="G304" s="1" t="s">
        <v>82</v>
      </c>
      <c r="H304" s="1" t="s">
        <v>5974</v>
      </c>
      <c r="I304" s="1" t="s">
        <v>82</v>
      </c>
      <c r="J304" s="1" t="s">
        <v>82</v>
      </c>
      <c r="K304" s="1" t="s">
        <v>5975</v>
      </c>
      <c r="L304" s="1" t="s">
        <v>5976</v>
      </c>
      <c r="M304" s="1">
        <v>5.26</v>
      </c>
      <c r="O304" s="1" t="s">
        <v>82</v>
      </c>
      <c r="Q304" s="1" t="s">
        <v>87</v>
      </c>
      <c r="R304" s="1" t="s">
        <v>115</v>
      </c>
      <c r="S304" s="1" t="s">
        <v>82</v>
      </c>
      <c r="T304" s="1" t="s">
        <v>82</v>
      </c>
      <c r="U304" s="1" t="s">
        <v>82</v>
      </c>
      <c r="V304" s="1" t="s">
        <v>82</v>
      </c>
      <c r="W304" s="1" t="s">
        <v>82</v>
      </c>
      <c r="X304" s="1" t="s">
        <v>5977</v>
      </c>
      <c r="Y304" s="1" t="s">
        <v>5978</v>
      </c>
      <c r="Z304" s="1" t="s">
        <v>5979</v>
      </c>
      <c r="AB304" s="3" t="s">
        <v>5980</v>
      </c>
      <c r="AC304" s="3" t="s">
        <v>5981</v>
      </c>
      <c r="AD304" s="1" t="s">
        <v>120</v>
      </c>
      <c r="AE304" s="1" t="s">
        <v>5982</v>
      </c>
      <c r="AF304" s="1" t="s">
        <v>5983</v>
      </c>
      <c r="AG304" s="1" t="s">
        <v>5984</v>
      </c>
      <c r="AH304" s="1" t="s">
        <v>82</v>
      </c>
      <c r="AI304" s="1" t="s">
        <v>82</v>
      </c>
      <c r="AJ304" s="1" t="s">
        <v>5985</v>
      </c>
      <c r="AK304" s="1" t="s">
        <v>5986</v>
      </c>
      <c r="AL304" s="1" t="s">
        <v>5987</v>
      </c>
      <c r="AM304" s="1" t="s">
        <v>82</v>
      </c>
      <c r="AN304" s="1">
        <v>61</v>
      </c>
      <c r="AO304" s="1">
        <v>0</v>
      </c>
      <c r="AP304" s="1">
        <v>0</v>
      </c>
      <c r="AQ304" s="1">
        <v>2</v>
      </c>
      <c r="AR304" s="1">
        <v>2</v>
      </c>
      <c r="AS304" s="1" t="s">
        <v>563</v>
      </c>
      <c r="AT304" s="1" t="s">
        <v>371</v>
      </c>
      <c r="AU304" s="1" t="s">
        <v>564</v>
      </c>
      <c r="AV304" s="1" t="s">
        <v>5988</v>
      </c>
      <c r="AW304" s="1" t="s">
        <v>82</v>
      </c>
      <c r="AX304" s="1" t="s">
        <v>82</v>
      </c>
      <c r="AY304" s="1" t="s">
        <v>5989</v>
      </c>
      <c r="AZ304" s="1" t="s">
        <v>5990</v>
      </c>
      <c r="BA304" s="1" t="s">
        <v>1926</v>
      </c>
      <c r="BB304" s="1">
        <v>2022</v>
      </c>
      <c r="BC304" s="1">
        <v>22</v>
      </c>
      <c r="BD304" s="1">
        <v>1</v>
      </c>
      <c r="BE304" s="1" t="s">
        <v>82</v>
      </c>
      <c r="BF304" s="1" t="s">
        <v>82</v>
      </c>
      <c r="BG304" s="1" t="s">
        <v>82</v>
      </c>
      <c r="BH304" s="1" t="s">
        <v>82</v>
      </c>
      <c r="BI304" s="1" t="s">
        <v>82</v>
      </c>
      <c r="BJ304" s="1" t="s">
        <v>82</v>
      </c>
      <c r="BK304" s="1">
        <v>553</v>
      </c>
      <c r="BL304" s="1" t="s">
        <v>5991</v>
      </c>
      <c r="BM304" s="1" t="s">
        <v>5992</v>
      </c>
      <c r="BN304" s="1" t="s">
        <v>82</v>
      </c>
      <c r="BO304" s="1" t="s">
        <v>82</v>
      </c>
      <c r="BP304" s="1">
        <v>16</v>
      </c>
      <c r="BQ304" s="1" t="s">
        <v>378</v>
      </c>
      <c r="BR304" s="1" t="s">
        <v>104</v>
      </c>
      <c r="BS304" s="1" t="s">
        <v>378</v>
      </c>
      <c r="BT304" s="1" t="s">
        <v>5993</v>
      </c>
      <c r="BU304" s="1">
        <v>36456926</v>
      </c>
      <c r="BV304" s="1" t="s">
        <v>592</v>
      </c>
      <c r="BW304" s="1" t="s">
        <v>82</v>
      </c>
      <c r="BX304" s="1" t="s">
        <v>82</v>
      </c>
      <c r="BY304" s="1" t="s">
        <v>771</v>
      </c>
      <c r="BZ304" s="1" t="s">
        <v>5994</v>
      </c>
      <c r="CA304" s="1" t="s">
        <v>342</v>
      </c>
    </row>
    <row r="305" s="1" customFormat="1" ht="14.4" spans="1:79">
      <c r="A305">
        <v>304</v>
      </c>
      <c r="B305" s="2" t="s">
        <v>79</v>
      </c>
      <c r="C305" s="1" t="s">
        <v>80</v>
      </c>
      <c r="D305" s="1" t="s">
        <v>5995</v>
      </c>
      <c r="E305" s="1" t="s">
        <v>82</v>
      </c>
      <c r="F305" s="1" t="s">
        <v>82</v>
      </c>
      <c r="G305" s="1" t="s">
        <v>82</v>
      </c>
      <c r="H305" s="1" t="s">
        <v>5996</v>
      </c>
      <c r="I305" s="1" t="s">
        <v>82</v>
      </c>
      <c r="J305" s="1" t="s">
        <v>82</v>
      </c>
      <c r="K305" s="1" t="s">
        <v>5997</v>
      </c>
      <c r="L305" s="1" t="s">
        <v>5976</v>
      </c>
      <c r="M305" s="1">
        <v>5.26</v>
      </c>
      <c r="O305" s="1" t="s">
        <v>82</v>
      </c>
      <c r="P305" s="1" t="s">
        <v>82</v>
      </c>
      <c r="Q305" s="1" t="s">
        <v>87</v>
      </c>
      <c r="R305" s="1" t="s">
        <v>200</v>
      </c>
      <c r="S305" s="1" t="s">
        <v>82</v>
      </c>
      <c r="T305" s="1" t="s">
        <v>82</v>
      </c>
      <c r="U305" s="1" t="s">
        <v>82</v>
      </c>
      <c r="V305" s="1" t="s">
        <v>82</v>
      </c>
      <c r="W305" s="1" t="s">
        <v>82</v>
      </c>
      <c r="X305" s="1" t="s">
        <v>5998</v>
      </c>
      <c r="Y305" s="1" t="s">
        <v>5999</v>
      </c>
      <c r="Z305" s="1" t="s">
        <v>6000</v>
      </c>
      <c r="AA305" s="1">
        <v>1</v>
      </c>
      <c r="AB305" s="1" t="s">
        <v>6001</v>
      </c>
      <c r="AC305" s="1" t="s">
        <v>6002</v>
      </c>
      <c r="AD305" s="1" t="s">
        <v>93</v>
      </c>
      <c r="AE305" s="1" t="s">
        <v>6003</v>
      </c>
      <c r="AF305" s="1" t="s">
        <v>6004</v>
      </c>
      <c r="AG305" s="1" t="s">
        <v>6005</v>
      </c>
      <c r="AH305" s="1" t="s">
        <v>82</v>
      </c>
      <c r="AI305" s="1" t="s">
        <v>82</v>
      </c>
      <c r="AJ305" s="1" t="s">
        <v>6006</v>
      </c>
      <c r="AK305" s="1" t="s">
        <v>6007</v>
      </c>
      <c r="AL305" s="1" t="s">
        <v>6008</v>
      </c>
      <c r="AM305" s="1" t="s">
        <v>82</v>
      </c>
      <c r="AN305" s="1">
        <v>131</v>
      </c>
      <c r="AO305" s="1">
        <v>0</v>
      </c>
      <c r="AP305" s="1">
        <v>0</v>
      </c>
      <c r="AQ305" s="1">
        <v>9</v>
      </c>
      <c r="AR305" s="1">
        <v>9</v>
      </c>
      <c r="AS305" s="1" t="s">
        <v>563</v>
      </c>
      <c r="AT305" s="1" t="s">
        <v>371</v>
      </c>
      <c r="AU305" s="1" t="s">
        <v>564</v>
      </c>
      <c r="AV305" s="1" t="s">
        <v>5988</v>
      </c>
      <c r="AW305" s="1" t="s">
        <v>82</v>
      </c>
      <c r="AX305" s="1" t="s">
        <v>82</v>
      </c>
      <c r="AY305" s="1" t="s">
        <v>5989</v>
      </c>
      <c r="AZ305" s="1" t="s">
        <v>5990</v>
      </c>
      <c r="BA305" s="1" t="s">
        <v>6009</v>
      </c>
      <c r="BB305" s="1">
        <v>2022</v>
      </c>
      <c r="BC305" s="1">
        <v>22</v>
      </c>
      <c r="BD305" s="1">
        <v>1</v>
      </c>
      <c r="BE305" s="1" t="s">
        <v>82</v>
      </c>
      <c r="BF305" s="1" t="s">
        <v>82</v>
      </c>
      <c r="BG305" s="1" t="s">
        <v>82</v>
      </c>
      <c r="BH305" s="1" t="s">
        <v>82</v>
      </c>
      <c r="BI305" s="1" t="s">
        <v>82</v>
      </c>
      <c r="BJ305" s="1" t="s">
        <v>82</v>
      </c>
      <c r="BK305" s="1">
        <v>619</v>
      </c>
      <c r="BL305" s="1" t="s">
        <v>6010</v>
      </c>
      <c r="BM305" s="1" t="str">
        <f>HYPERLINK("http://dx.doi.org/10.1186/s12870-022-04022-9","http://dx.doi.org/10.1186/s12870-022-04022-9")</f>
        <v>http://dx.doi.org/10.1186/s12870-022-04022-9</v>
      </c>
      <c r="BN305" s="1" t="s">
        <v>82</v>
      </c>
      <c r="BO305" s="1" t="s">
        <v>82</v>
      </c>
      <c r="BP305" s="1">
        <v>13</v>
      </c>
      <c r="BQ305" s="1" t="s">
        <v>378</v>
      </c>
      <c r="BR305" s="1" t="s">
        <v>104</v>
      </c>
      <c r="BS305" s="1" t="s">
        <v>378</v>
      </c>
      <c r="BT305" s="1" t="s">
        <v>6011</v>
      </c>
      <c r="BU305" s="1">
        <v>36581803</v>
      </c>
      <c r="BV305" s="1" t="s">
        <v>2703</v>
      </c>
      <c r="BW305" s="1" t="s">
        <v>82</v>
      </c>
      <c r="BX305" s="1" t="s">
        <v>82</v>
      </c>
      <c r="BY305" s="1" t="s">
        <v>108</v>
      </c>
      <c r="BZ305" s="1" t="s">
        <v>6012</v>
      </c>
      <c r="CA305" s="1" t="str">
        <f>HYPERLINK("https%3A%2F%2Fwww.webofscience.com%2Fwos%2Fwoscc%2Ffull-record%2FWOS:000905868100002","View Full Record in Web of Science")</f>
        <v>View Full Record in Web of Science</v>
      </c>
    </row>
    <row r="306" s="1" customFormat="1" ht="14.4" spans="1:79">
      <c r="A306">
        <v>305</v>
      </c>
      <c r="B306" s="2" t="s">
        <v>79</v>
      </c>
      <c r="C306" s="1" t="s">
        <v>80</v>
      </c>
      <c r="D306" s="1" t="s">
        <v>6013</v>
      </c>
      <c r="E306" s="1" t="s">
        <v>82</v>
      </c>
      <c r="F306" s="1" t="s">
        <v>82</v>
      </c>
      <c r="G306" s="1" t="s">
        <v>82</v>
      </c>
      <c r="H306" s="1" t="s">
        <v>6014</v>
      </c>
      <c r="I306" s="1" t="s">
        <v>82</v>
      </c>
      <c r="J306" s="1" t="s">
        <v>82</v>
      </c>
      <c r="K306" s="1" t="s">
        <v>6015</v>
      </c>
      <c r="L306" s="1" t="s">
        <v>5976</v>
      </c>
      <c r="M306" s="1">
        <v>5.26</v>
      </c>
      <c r="O306" s="1" t="s">
        <v>82</v>
      </c>
      <c r="P306" s="1" t="s">
        <v>82</v>
      </c>
      <c r="Q306" s="1" t="s">
        <v>87</v>
      </c>
      <c r="R306" s="1" t="s">
        <v>115</v>
      </c>
      <c r="S306" s="1" t="s">
        <v>82</v>
      </c>
      <c r="T306" s="1" t="s">
        <v>82</v>
      </c>
      <c r="U306" s="1" t="s">
        <v>82</v>
      </c>
      <c r="V306" s="1" t="s">
        <v>82</v>
      </c>
      <c r="W306" s="1" t="s">
        <v>82</v>
      </c>
      <c r="X306" s="1" t="s">
        <v>6016</v>
      </c>
      <c r="Y306" s="1" t="s">
        <v>6017</v>
      </c>
      <c r="Z306" s="1" t="s">
        <v>6018</v>
      </c>
      <c r="AA306" s="1">
        <v>1</v>
      </c>
      <c r="AB306" s="1" t="s">
        <v>6019</v>
      </c>
      <c r="AC306" s="1" t="s">
        <v>6020</v>
      </c>
      <c r="AD306" s="1" t="s">
        <v>93</v>
      </c>
      <c r="AE306" s="1" t="s">
        <v>6021</v>
      </c>
      <c r="AF306" s="1" t="s">
        <v>6022</v>
      </c>
      <c r="AG306" s="1" t="s">
        <v>6023</v>
      </c>
      <c r="AH306" s="1" t="s">
        <v>82</v>
      </c>
      <c r="AI306" s="1" t="s">
        <v>82</v>
      </c>
      <c r="AJ306" s="1" t="s">
        <v>6024</v>
      </c>
      <c r="AK306" s="1" t="s">
        <v>6025</v>
      </c>
      <c r="AL306" s="1" t="s">
        <v>6026</v>
      </c>
      <c r="AM306" s="1" t="s">
        <v>82</v>
      </c>
      <c r="AN306" s="1">
        <v>91</v>
      </c>
      <c r="AO306" s="1">
        <v>2</v>
      </c>
      <c r="AP306" s="1">
        <v>2</v>
      </c>
      <c r="AQ306" s="1">
        <v>5</v>
      </c>
      <c r="AR306" s="1">
        <v>5</v>
      </c>
      <c r="AS306" s="1" t="s">
        <v>563</v>
      </c>
      <c r="AT306" s="1" t="s">
        <v>371</v>
      </c>
      <c r="AU306" s="1" t="s">
        <v>564</v>
      </c>
      <c r="AV306" s="1" t="s">
        <v>5988</v>
      </c>
      <c r="AW306" s="1" t="s">
        <v>82</v>
      </c>
      <c r="AX306" s="1" t="s">
        <v>82</v>
      </c>
      <c r="AY306" s="1" t="s">
        <v>5989</v>
      </c>
      <c r="AZ306" s="1" t="s">
        <v>5990</v>
      </c>
      <c r="BA306" s="1" t="s">
        <v>927</v>
      </c>
      <c r="BB306" s="1">
        <v>2022</v>
      </c>
      <c r="BC306" s="1">
        <v>22</v>
      </c>
      <c r="BD306" s="1">
        <v>1</v>
      </c>
      <c r="BE306" s="1" t="s">
        <v>82</v>
      </c>
      <c r="BF306" s="1" t="s">
        <v>82</v>
      </c>
      <c r="BG306" s="1" t="s">
        <v>82</v>
      </c>
      <c r="BH306" s="1" t="s">
        <v>82</v>
      </c>
      <c r="BI306" s="1" t="s">
        <v>82</v>
      </c>
      <c r="BJ306" s="1" t="s">
        <v>82</v>
      </c>
      <c r="BK306" s="1">
        <v>511</v>
      </c>
      <c r="BL306" s="1" t="s">
        <v>6027</v>
      </c>
      <c r="BM306" s="1" t="str">
        <f>HYPERLINK("http://dx.doi.org/10.1186/s12870-022-03886-1","http://dx.doi.org/10.1186/s12870-022-03886-1")</f>
        <v>http://dx.doi.org/10.1186/s12870-022-03886-1</v>
      </c>
      <c r="BN306" s="1" t="s">
        <v>82</v>
      </c>
      <c r="BO306" s="1" t="s">
        <v>82</v>
      </c>
      <c r="BP306" s="1">
        <v>15</v>
      </c>
      <c r="BQ306" s="1" t="s">
        <v>378</v>
      </c>
      <c r="BR306" s="1" t="s">
        <v>104</v>
      </c>
      <c r="BS306" s="1" t="s">
        <v>378</v>
      </c>
      <c r="BT306" s="1" t="s">
        <v>6028</v>
      </c>
      <c r="BU306" s="1">
        <v>36319964</v>
      </c>
      <c r="BV306" s="1" t="s">
        <v>635</v>
      </c>
      <c r="BW306" s="1" t="s">
        <v>82</v>
      </c>
      <c r="BX306" s="1" t="s">
        <v>82</v>
      </c>
      <c r="BY306" s="1" t="s">
        <v>108</v>
      </c>
      <c r="BZ306" s="1" t="s">
        <v>6029</v>
      </c>
      <c r="CA306" s="1" t="str">
        <f>HYPERLINK("https%3A%2F%2Fwww.webofscience.com%2Fwos%2Fwoscc%2Ffull-record%2FWOS:000877701300002","View Full Record in Web of Science")</f>
        <v>View Full Record in Web of Science</v>
      </c>
    </row>
    <row r="307" s="1" customFormat="1" ht="14.4" spans="1:79">
      <c r="A307">
        <v>306</v>
      </c>
      <c r="B307" s="2" t="s">
        <v>79</v>
      </c>
      <c r="C307" s="1" t="s">
        <v>80</v>
      </c>
      <c r="D307" s="1" t="s">
        <v>6030</v>
      </c>
      <c r="E307" s="1" t="s">
        <v>82</v>
      </c>
      <c r="F307" s="1" t="s">
        <v>82</v>
      </c>
      <c r="G307" s="1" t="s">
        <v>82</v>
      </c>
      <c r="H307" s="1" t="s">
        <v>6031</v>
      </c>
      <c r="I307" s="1" t="s">
        <v>82</v>
      </c>
      <c r="J307" s="1" t="s">
        <v>82</v>
      </c>
      <c r="K307" s="1" t="s">
        <v>6032</v>
      </c>
      <c r="L307" s="1" t="s">
        <v>5976</v>
      </c>
      <c r="M307" s="1">
        <v>5.26</v>
      </c>
      <c r="O307" s="1" t="s">
        <v>82</v>
      </c>
      <c r="P307" s="1" t="s">
        <v>82</v>
      </c>
      <c r="Q307" s="1" t="s">
        <v>87</v>
      </c>
      <c r="R307" s="1" t="s">
        <v>115</v>
      </c>
      <c r="S307" s="1" t="s">
        <v>82</v>
      </c>
      <c r="T307" s="1" t="s">
        <v>82</v>
      </c>
      <c r="U307" s="1" t="s">
        <v>82</v>
      </c>
      <c r="V307" s="1" t="s">
        <v>82</v>
      </c>
      <c r="W307" s="1" t="s">
        <v>82</v>
      </c>
      <c r="X307" s="1" t="s">
        <v>6033</v>
      </c>
      <c r="Y307" s="1" t="s">
        <v>6034</v>
      </c>
      <c r="Z307" s="1" t="s">
        <v>6035</v>
      </c>
      <c r="AA307" s="1">
        <v>1</v>
      </c>
      <c r="AB307" s="1" t="s">
        <v>6036</v>
      </c>
      <c r="AC307" s="1" t="s">
        <v>6037</v>
      </c>
      <c r="AD307" s="1" t="s">
        <v>93</v>
      </c>
      <c r="AE307" s="1" t="s">
        <v>6038</v>
      </c>
      <c r="AF307" s="1" t="s">
        <v>6039</v>
      </c>
      <c r="AG307" s="1" t="s">
        <v>3311</v>
      </c>
      <c r="AH307" s="1" t="s">
        <v>82</v>
      </c>
      <c r="AI307" s="1" t="s">
        <v>82</v>
      </c>
      <c r="AJ307" s="1" t="s">
        <v>6040</v>
      </c>
      <c r="AK307" s="1" t="s">
        <v>6041</v>
      </c>
      <c r="AL307" s="1" t="s">
        <v>6042</v>
      </c>
      <c r="AM307" s="1" t="s">
        <v>82</v>
      </c>
      <c r="AN307" s="1">
        <v>41</v>
      </c>
      <c r="AO307" s="1">
        <v>0</v>
      </c>
      <c r="AP307" s="1">
        <v>0</v>
      </c>
      <c r="AQ307" s="1">
        <v>20</v>
      </c>
      <c r="AR307" s="1">
        <v>20</v>
      </c>
      <c r="AS307" s="1" t="s">
        <v>563</v>
      </c>
      <c r="AT307" s="1" t="s">
        <v>371</v>
      </c>
      <c r="AU307" s="1" t="s">
        <v>564</v>
      </c>
      <c r="AV307" s="1" t="s">
        <v>5988</v>
      </c>
      <c r="AW307" s="1" t="s">
        <v>82</v>
      </c>
      <c r="AX307" s="1" t="s">
        <v>82</v>
      </c>
      <c r="AY307" s="1" t="s">
        <v>5989</v>
      </c>
      <c r="AZ307" s="1" t="s">
        <v>5990</v>
      </c>
      <c r="BA307" s="1" t="s">
        <v>6043</v>
      </c>
      <c r="BB307" s="1">
        <v>2022</v>
      </c>
      <c r="BC307" s="1">
        <v>22</v>
      </c>
      <c r="BD307" s="1">
        <v>1</v>
      </c>
      <c r="BE307" s="1" t="s">
        <v>82</v>
      </c>
      <c r="BF307" s="1" t="s">
        <v>82</v>
      </c>
      <c r="BG307" s="1" t="s">
        <v>82</v>
      </c>
      <c r="BH307" s="1" t="s">
        <v>82</v>
      </c>
      <c r="BI307" s="1" t="s">
        <v>82</v>
      </c>
      <c r="BJ307" s="1" t="s">
        <v>82</v>
      </c>
      <c r="BK307" s="1">
        <v>426</v>
      </c>
      <c r="BL307" s="1" t="s">
        <v>6044</v>
      </c>
      <c r="BM307" s="1" t="str">
        <f>HYPERLINK("http://dx.doi.org/10.1186/s12870-022-03816-1","http://dx.doi.org/10.1186/s12870-022-03816-1")</f>
        <v>http://dx.doi.org/10.1186/s12870-022-03816-1</v>
      </c>
      <c r="BN307" s="1" t="s">
        <v>82</v>
      </c>
      <c r="BO307" s="1" t="s">
        <v>82</v>
      </c>
      <c r="BP307" s="1">
        <v>11</v>
      </c>
      <c r="BQ307" s="1" t="s">
        <v>378</v>
      </c>
      <c r="BR307" s="1" t="s">
        <v>104</v>
      </c>
      <c r="BS307" s="1" t="s">
        <v>378</v>
      </c>
      <c r="BT307" s="1" t="s">
        <v>6045</v>
      </c>
      <c r="BU307" s="1">
        <v>36050636</v>
      </c>
      <c r="BV307" s="1" t="s">
        <v>635</v>
      </c>
      <c r="BW307" s="1" t="s">
        <v>82</v>
      </c>
      <c r="BX307" s="1" t="s">
        <v>82</v>
      </c>
      <c r="BY307" s="1" t="s">
        <v>108</v>
      </c>
      <c r="BZ307" s="1" t="s">
        <v>6046</v>
      </c>
      <c r="CA307" s="1" t="str">
        <f>HYPERLINK("https%3A%2F%2Fwww.webofscience.com%2Fwos%2Fwoscc%2Ffull-record%2FWOS:000848881800001","View Full Record in Web of Science")</f>
        <v>View Full Record in Web of Science</v>
      </c>
    </row>
    <row r="308" s="1" customFormat="1" ht="14.4" spans="1:79">
      <c r="A308">
        <v>307</v>
      </c>
      <c r="B308" s="2" t="s">
        <v>79</v>
      </c>
      <c r="C308" s="1" t="s">
        <v>80</v>
      </c>
      <c r="D308" s="1" t="s">
        <v>6047</v>
      </c>
      <c r="E308" s="1" t="s">
        <v>82</v>
      </c>
      <c r="F308" s="1" t="s">
        <v>82</v>
      </c>
      <c r="G308" s="1" t="s">
        <v>82</v>
      </c>
      <c r="H308" s="1" t="s">
        <v>6048</v>
      </c>
      <c r="I308" s="1" t="s">
        <v>82</v>
      </c>
      <c r="J308" s="1" t="s">
        <v>82</v>
      </c>
      <c r="K308" s="1" t="s">
        <v>6049</v>
      </c>
      <c r="L308" s="1" t="s">
        <v>5976</v>
      </c>
      <c r="M308" s="1">
        <v>5.26</v>
      </c>
      <c r="O308" s="1" t="s">
        <v>82</v>
      </c>
      <c r="P308" s="1" t="s">
        <v>82</v>
      </c>
      <c r="Q308" s="1" t="s">
        <v>87</v>
      </c>
      <c r="R308" s="1" t="s">
        <v>115</v>
      </c>
      <c r="S308" s="1" t="s">
        <v>82</v>
      </c>
      <c r="T308" s="1" t="s">
        <v>82</v>
      </c>
      <c r="U308" s="1" t="s">
        <v>82</v>
      </c>
      <c r="V308" s="1" t="s">
        <v>82</v>
      </c>
      <c r="W308" s="1" t="s">
        <v>82</v>
      </c>
      <c r="X308" s="1" t="s">
        <v>6050</v>
      </c>
      <c r="Y308" s="1" t="s">
        <v>6051</v>
      </c>
      <c r="Z308" s="1" t="s">
        <v>6052</v>
      </c>
      <c r="AA308" s="1">
        <v>1</v>
      </c>
      <c r="AB308" s="1" t="s">
        <v>6053</v>
      </c>
      <c r="AC308" s="1" t="s">
        <v>6054</v>
      </c>
      <c r="AD308" s="1" t="s">
        <v>93</v>
      </c>
      <c r="AE308" s="1" t="s">
        <v>1673</v>
      </c>
      <c r="AF308" s="1" t="s">
        <v>6055</v>
      </c>
      <c r="AG308" s="1" t="s">
        <v>6056</v>
      </c>
      <c r="AH308" s="1" t="s">
        <v>82</v>
      </c>
      <c r="AI308" s="1" t="s">
        <v>82</v>
      </c>
      <c r="AJ308" s="1" t="s">
        <v>6057</v>
      </c>
      <c r="AK308" s="1" t="s">
        <v>6058</v>
      </c>
      <c r="AL308" s="1" t="s">
        <v>6059</v>
      </c>
      <c r="AM308" s="1" t="s">
        <v>82</v>
      </c>
      <c r="AN308" s="1">
        <v>77</v>
      </c>
      <c r="AO308" s="1">
        <v>1</v>
      </c>
      <c r="AP308" s="1">
        <v>1</v>
      </c>
      <c r="AQ308" s="1">
        <v>9</v>
      </c>
      <c r="AR308" s="1">
        <v>24</v>
      </c>
      <c r="AS308" s="1" t="s">
        <v>563</v>
      </c>
      <c r="AT308" s="1" t="s">
        <v>371</v>
      </c>
      <c r="AU308" s="1" t="s">
        <v>564</v>
      </c>
      <c r="AV308" s="1" t="s">
        <v>5988</v>
      </c>
      <c r="AW308" s="1" t="s">
        <v>82</v>
      </c>
      <c r="AX308" s="1" t="s">
        <v>82</v>
      </c>
      <c r="AY308" s="1" t="s">
        <v>5989</v>
      </c>
      <c r="AZ308" s="1" t="s">
        <v>5990</v>
      </c>
      <c r="BA308" s="1" t="s">
        <v>2622</v>
      </c>
      <c r="BB308" s="1">
        <v>2022</v>
      </c>
      <c r="BC308" s="1">
        <v>22</v>
      </c>
      <c r="BD308" s="1">
        <v>1</v>
      </c>
      <c r="BE308" s="1" t="s">
        <v>82</v>
      </c>
      <c r="BF308" s="1" t="s">
        <v>82</v>
      </c>
      <c r="BG308" s="1" t="s">
        <v>82</v>
      </c>
      <c r="BH308" s="1" t="s">
        <v>82</v>
      </c>
      <c r="BI308" s="1" t="s">
        <v>82</v>
      </c>
      <c r="BJ308" s="1" t="s">
        <v>82</v>
      </c>
      <c r="BK308" s="1">
        <v>116</v>
      </c>
      <c r="BL308" s="1" t="s">
        <v>6060</v>
      </c>
      <c r="BM308" s="1" t="str">
        <f>HYPERLINK("http://dx.doi.org/10.1186/s12870-022-03491-2","http://dx.doi.org/10.1186/s12870-022-03491-2")</f>
        <v>http://dx.doi.org/10.1186/s12870-022-03491-2</v>
      </c>
      <c r="BN308" s="1" t="s">
        <v>82</v>
      </c>
      <c r="BO308" s="1" t="s">
        <v>82</v>
      </c>
      <c r="BP308" s="1">
        <v>15</v>
      </c>
      <c r="BQ308" s="1" t="s">
        <v>378</v>
      </c>
      <c r="BR308" s="1" t="s">
        <v>104</v>
      </c>
      <c r="BS308" s="1" t="s">
        <v>378</v>
      </c>
      <c r="BT308" s="1" t="s">
        <v>6061</v>
      </c>
      <c r="BU308" s="1">
        <v>35291941</v>
      </c>
      <c r="BV308" s="1" t="s">
        <v>635</v>
      </c>
      <c r="BW308" s="1" t="s">
        <v>82</v>
      </c>
      <c r="BX308" s="1" t="s">
        <v>82</v>
      </c>
      <c r="BY308" s="1" t="s">
        <v>108</v>
      </c>
      <c r="BZ308" s="1" t="s">
        <v>6062</v>
      </c>
      <c r="CA308" s="1" t="str">
        <f>HYPERLINK("https%3A%2F%2Fwww.webofscience.com%2Fwos%2Fwoscc%2Ffull-record%2FWOS:000769463200004","View Full Record in Web of Science")</f>
        <v>View Full Record in Web of Science</v>
      </c>
    </row>
    <row r="309" s="1" customFormat="1" ht="14.4" spans="1:79">
      <c r="A309">
        <v>308</v>
      </c>
      <c r="B309" s="2" t="s">
        <v>79</v>
      </c>
      <c r="C309" s="1" t="s">
        <v>80</v>
      </c>
      <c r="D309" s="1" t="s">
        <v>6063</v>
      </c>
      <c r="E309" s="1" t="s">
        <v>82</v>
      </c>
      <c r="F309" s="1" t="s">
        <v>82</v>
      </c>
      <c r="G309" s="1" t="s">
        <v>82</v>
      </c>
      <c r="H309" s="1" t="s">
        <v>6064</v>
      </c>
      <c r="I309" s="1" t="s">
        <v>82</v>
      </c>
      <c r="J309" s="1" t="s">
        <v>82</v>
      </c>
      <c r="K309" s="1" t="s">
        <v>6065</v>
      </c>
      <c r="L309" s="1" t="s">
        <v>5976</v>
      </c>
      <c r="M309" s="1">
        <v>5.26</v>
      </c>
      <c r="O309" s="1" t="s">
        <v>82</v>
      </c>
      <c r="P309" s="1" t="s">
        <v>82</v>
      </c>
      <c r="Q309" s="1" t="s">
        <v>87</v>
      </c>
      <c r="R309" s="1" t="s">
        <v>115</v>
      </c>
      <c r="S309" s="1" t="s">
        <v>82</v>
      </c>
      <c r="T309" s="1" t="s">
        <v>82</v>
      </c>
      <c r="U309" s="1" t="s">
        <v>82</v>
      </c>
      <c r="V309" s="1" t="s">
        <v>82</v>
      </c>
      <c r="W309" s="1" t="s">
        <v>82</v>
      </c>
      <c r="X309" s="1" t="s">
        <v>6066</v>
      </c>
      <c r="Y309" s="1" t="s">
        <v>6067</v>
      </c>
      <c r="Z309" s="1" t="s">
        <v>6068</v>
      </c>
      <c r="AB309" s="1" t="s">
        <v>6069</v>
      </c>
      <c r="AC309" s="1" t="s">
        <v>6070</v>
      </c>
      <c r="AD309" s="1" t="s">
        <v>120</v>
      </c>
      <c r="AE309" s="1" t="s">
        <v>6071</v>
      </c>
      <c r="AF309" s="1" t="s">
        <v>6072</v>
      </c>
      <c r="AG309" s="1" t="s">
        <v>6073</v>
      </c>
      <c r="AH309" s="1" t="s">
        <v>82</v>
      </c>
      <c r="AI309" s="1" t="s">
        <v>6074</v>
      </c>
      <c r="AJ309" s="1" t="s">
        <v>6075</v>
      </c>
      <c r="AK309" s="1" t="s">
        <v>6076</v>
      </c>
      <c r="AL309" s="1" t="s">
        <v>6077</v>
      </c>
      <c r="AM309" s="1" t="s">
        <v>82</v>
      </c>
      <c r="AN309" s="1">
        <v>77</v>
      </c>
      <c r="AO309" s="1">
        <v>5</v>
      </c>
      <c r="AP309" s="1">
        <v>5</v>
      </c>
      <c r="AQ309" s="1">
        <v>8</v>
      </c>
      <c r="AR309" s="1">
        <v>24</v>
      </c>
      <c r="AS309" s="1" t="s">
        <v>563</v>
      </c>
      <c r="AT309" s="1" t="s">
        <v>371</v>
      </c>
      <c r="AU309" s="1" t="s">
        <v>564</v>
      </c>
      <c r="AV309" s="1" t="s">
        <v>5988</v>
      </c>
      <c r="AW309" s="1" t="s">
        <v>82</v>
      </c>
      <c r="AX309" s="1" t="s">
        <v>82</v>
      </c>
      <c r="AY309" s="1" t="s">
        <v>5989</v>
      </c>
      <c r="AZ309" s="1" t="s">
        <v>5990</v>
      </c>
      <c r="BA309" s="1" t="s">
        <v>6078</v>
      </c>
      <c r="BB309" s="1">
        <v>2022</v>
      </c>
      <c r="BC309" s="1">
        <v>22</v>
      </c>
      <c r="BD309" s="1">
        <v>1</v>
      </c>
      <c r="BE309" s="1" t="s">
        <v>82</v>
      </c>
      <c r="BF309" s="1" t="s">
        <v>82</v>
      </c>
      <c r="BG309" s="1" t="s">
        <v>82</v>
      </c>
      <c r="BH309" s="1" t="s">
        <v>82</v>
      </c>
      <c r="BI309" s="1" t="s">
        <v>82</v>
      </c>
      <c r="BJ309" s="1" t="s">
        <v>82</v>
      </c>
      <c r="BK309" s="1">
        <v>88</v>
      </c>
      <c r="BL309" s="1" t="s">
        <v>6079</v>
      </c>
      <c r="BM309" s="1" t="str">
        <f>HYPERLINK("http://dx.doi.org/10.1186/s12870-022-03480-5","http://dx.doi.org/10.1186/s12870-022-03480-5")</f>
        <v>http://dx.doi.org/10.1186/s12870-022-03480-5</v>
      </c>
      <c r="BN309" s="1" t="s">
        <v>82</v>
      </c>
      <c r="BO309" s="1" t="s">
        <v>82</v>
      </c>
      <c r="BP309" s="1">
        <v>13</v>
      </c>
      <c r="BQ309" s="1" t="s">
        <v>378</v>
      </c>
      <c r="BR309" s="1" t="s">
        <v>104</v>
      </c>
      <c r="BS309" s="1" t="s">
        <v>378</v>
      </c>
      <c r="BT309" s="1" t="s">
        <v>6080</v>
      </c>
      <c r="BU309" s="1">
        <v>35219317</v>
      </c>
      <c r="BV309" s="1" t="s">
        <v>635</v>
      </c>
      <c r="BW309" s="1" t="s">
        <v>82</v>
      </c>
      <c r="BX309" s="1" t="s">
        <v>82</v>
      </c>
      <c r="BY309" s="1" t="s">
        <v>108</v>
      </c>
      <c r="BZ309" s="1" t="s">
        <v>6081</v>
      </c>
      <c r="CA309" s="1" t="str">
        <f>HYPERLINK("https%3A%2F%2Fwww.webofscience.com%2Fwos%2Fwoscc%2Ffull-record%2FWOS:000761329100002","View Full Record in Web of Science")</f>
        <v>View Full Record in Web of Science</v>
      </c>
    </row>
    <row r="310" s="1" customFormat="1" ht="14.4" spans="1:79">
      <c r="A310">
        <v>309</v>
      </c>
      <c r="B310" s="2" t="s">
        <v>110</v>
      </c>
      <c r="C310" s="1" t="s">
        <v>80</v>
      </c>
      <c r="D310" s="1" t="s">
        <v>6082</v>
      </c>
      <c r="E310" s="1" t="s">
        <v>82</v>
      </c>
      <c r="F310" s="1" t="s">
        <v>82</v>
      </c>
      <c r="G310" s="1" t="s">
        <v>82</v>
      </c>
      <c r="H310" s="1" t="s">
        <v>6083</v>
      </c>
      <c r="I310" s="1" t="s">
        <v>82</v>
      </c>
      <c r="J310" s="1" t="s">
        <v>82</v>
      </c>
      <c r="K310" s="1" t="s">
        <v>6084</v>
      </c>
      <c r="L310" s="1" t="s">
        <v>6085</v>
      </c>
      <c r="M310" s="1">
        <v>5.235</v>
      </c>
      <c r="O310" s="1" t="s">
        <v>82</v>
      </c>
      <c r="P310" s="1" t="s">
        <v>82</v>
      </c>
      <c r="Q310" s="1" t="s">
        <v>87</v>
      </c>
      <c r="R310" s="1" t="s">
        <v>115</v>
      </c>
      <c r="S310" s="1" t="s">
        <v>82</v>
      </c>
      <c r="T310" s="1" t="s">
        <v>82</v>
      </c>
      <c r="U310" s="1" t="s">
        <v>82</v>
      </c>
      <c r="V310" s="1" t="s">
        <v>82</v>
      </c>
      <c r="W310" s="1" t="s">
        <v>82</v>
      </c>
      <c r="X310" s="1" t="s">
        <v>6086</v>
      </c>
      <c r="Y310" s="1" t="s">
        <v>6087</v>
      </c>
      <c r="Z310" s="1" t="s">
        <v>6088</v>
      </c>
      <c r="AB310" s="1" t="s">
        <v>6089</v>
      </c>
      <c r="AC310" s="1" t="s">
        <v>6090</v>
      </c>
      <c r="AD310" s="1" t="s">
        <v>206</v>
      </c>
      <c r="AE310" s="1" t="s">
        <v>6091</v>
      </c>
      <c r="AF310" s="1" t="s">
        <v>6092</v>
      </c>
      <c r="AG310" s="1" t="s">
        <v>6093</v>
      </c>
      <c r="AH310" s="1" t="s">
        <v>82</v>
      </c>
      <c r="AI310" s="1" t="s">
        <v>82</v>
      </c>
      <c r="AJ310" s="1" t="s">
        <v>6094</v>
      </c>
      <c r="AK310" s="1" t="s">
        <v>6095</v>
      </c>
      <c r="AL310" s="1" t="s">
        <v>6096</v>
      </c>
      <c r="AM310" s="1" t="s">
        <v>82</v>
      </c>
      <c r="AN310" s="1">
        <v>36</v>
      </c>
      <c r="AO310" s="1">
        <v>0</v>
      </c>
      <c r="AP310" s="1">
        <v>0</v>
      </c>
      <c r="AQ310" s="1">
        <v>1</v>
      </c>
      <c r="AR310" s="1">
        <v>11</v>
      </c>
      <c r="AS310" s="1" t="s">
        <v>6097</v>
      </c>
      <c r="AT310" s="1" t="s">
        <v>6098</v>
      </c>
      <c r="AU310" s="1" t="s">
        <v>6099</v>
      </c>
      <c r="AV310" s="1" t="s">
        <v>6100</v>
      </c>
      <c r="AW310" s="1" t="s">
        <v>6101</v>
      </c>
      <c r="AX310" s="1" t="s">
        <v>82</v>
      </c>
      <c r="AY310" s="1" t="s">
        <v>6102</v>
      </c>
      <c r="AZ310" s="1" t="s">
        <v>6103</v>
      </c>
      <c r="BA310" s="1" t="s">
        <v>6104</v>
      </c>
      <c r="BB310" s="1">
        <v>2022</v>
      </c>
      <c r="BC310" s="1">
        <v>40</v>
      </c>
      <c r="BD310" s="1">
        <v>3</v>
      </c>
      <c r="BE310" s="1" t="s">
        <v>82</v>
      </c>
      <c r="BF310" s="1" t="s">
        <v>82</v>
      </c>
      <c r="BG310" s="1" t="s">
        <v>82</v>
      </c>
      <c r="BH310" s="1" t="s">
        <v>82</v>
      </c>
      <c r="BI310" s="1">
        <v>1172</v>
      </c>
      <c r="BJ310" s="1">
        <v>1181</v>
      </c>
      <c r="BK310" s="1" t="s">
        <v>82</v>
      </c>
      <c r="BL310" s="1" t="s">
        <v>6105</v>
      </c>
      <c r="BM310" s="1" t="str">
        <f>HYPERLINK("http://dx.doi.org/10.1080/07391102.2020.1823882","http://dx.doi.org/10.1080/07391102.2020.1823882")</f>
        <v>http://dx.doi.org/10.1080/07391102.2020.1823882</v>
      </c>
      <c r="BN310" s="1" t="s">
        <v>82</v>
      </c>
      <c r="BO310" s="1" t="s">
        <v>6106</v>
      </c>
      <c r="BP310" s="1">
        <v>10</v>
      </c>
      <c r="BQ310" s="1" t="s">
        <v>6107</v>
      </c>
      <c r="BR310" s="1" t="s">
        <v>104</v>
      </c>
      <c r="BS310" s="1" t="s">
        <v>6107</v>
      </c>
      <c r="BT310" s="1" t="s">
        <v>6108</v>
      </c>
      <c r="BU310" s="1">
        <v>33016857</v>
      </c>
      <c r="BV310" s="1" t="s">
        <v>82</v>
      </c>
      <c r="BW310" s="1" t="s">
        <v>82</v>
      </c>
      <c r="BX310" s="1" t="s">
        <v>82</v>
      </c>
      <c r="BY310" s="1" t="s">
        <v>108</v>
      </c>
      <c r="BZ310" s="1" t="s">
        <v>6109</v>
      </c>
      <c r="CA310" s="1" t="str">
        <f>HYPERLINK("https%3A%2F%2Fwww.webofscience.com%2Fwos%2Fwoscc%2Ffull-record%2FWOS:000575222300001","View Full Record in Web of Science")</f>
        <v>View Full Record in Web of Science</v>
      </c>
    </row>
    <row r="311" s="1" customFormat="1" ht="14.4" spans="1:79">
      <c r="A311">
        <v>310</v>
      </c>
      <c r="B311" s="2" t="s">
        <v>110</v>
      </c>
      <c r="C311" s="1" t="s">
        <v>80</v>
      </c>
      <c r="D311" s="1" t="s">
        <v>6110</v>
      </c>
      <c r="E311" s="1" t="s">
        <v>82</v>
      </c>
      <c r="F311" s="1" t="s">
        <v>82</v>
      </c>
      <c r="G311" s="1" t="s">
        <v>82</v>
      </c>
      <c r="H311" s="1" t="s">
        <v>6111</v>
      </c>
      <c r="I311" s="1" t="s">
        <v>82</v>
      </c>
      <c r="J311" s="1" t="s">
        <v>82</v>
      </c>
      <c r="K311" s="1" t="s">
        <v>6112</v>
      </c>
      <c r="L311" s="1" t="s">
        <v>6113</v>
      </c>
      <c r="M311" s="1">
        <v>5.195</v>
      </c>
      <c r="O311" s="1" t="s">
        <v>82</v>
      </c>
      <c r="Q311" s="1" t="s">
        <v>87</v>
      </c>
      <c r="R311" s="1" t="s">
        <v>115</v>
      </c>
      <c r="S311" s="1" t="s">
        <v>82</v>
      </c>
      <c r="T311" s="1" t="s">
        <v>82</v>
      </c>
      <c r="U311" s="1" t="s">
        <v>82</v>
      </c>
      <c r="V311" s="1" t="s">
        <v>82</v>
      </c>
      <c r="W311" s="1" t="s">
        <v>82</v>
      </c>
      <c r="X311" s="1" t="s">
        <v>6114</v>
      </c>
      <c r="Y311" s="1" t="s">
        <v>6115</v>
      </c>
      <c r="Z311" s="1" t="s">
        <v>6116</v>
      </c>
      <c r="AB311" s="3" t="s">
        <v>6117</v>
      </c>
      <c r="AC311" s="3" t="s">
        <v>6118</v>
      </c>
      <c r="AD311" s="1" t="s">
        <v>120</v>
      </c>
      <c r="AE311" s="1" t="s">
        <v>1650</v>
      </c>
      <c r="AF311" s="1" t="s">
        <v>6119</v>
      </c>
      <c r="AG311" s="1" t="s">
        <v>2279</v>
      </c>
      <c r="AH311" s="1" t="s">
        <v>82</v>
      </c>
      <c r="AI311" s="1" t="s">
        <v>82</v>
      </c>
      <c r="AJ311" s="1" t="s">
        <v>6120</v>
      </c>
      <c r="AK311" s="1" t="s">
        <v>3637</v>
      </c>
      <c r="AL311" s="1" t="s">
        <v>6121</v>
      </c>
      <c r="AM311" s="1" t="s">
        <v>82</v>
      </c>
      <c r="AN311" s="1">
        <v>43</v>
      </c>
      <c r="AO311" s="1">
        <v>0</v>
      </c>
      <c r="AP311" s="1">
        <v>0</v>
      </c>
      <c r="AQ311" s="1">
        <v>14</v>
      </c>
      <c r="AR311" s="1">
        <v>48</v>
      </c>
      <c r="AS311" s="1" t="s">
        <v>5746</v>
      </c>
      <c r="AT311" s="1" t="s">
        <v>5747</v>
      </c>
      <c r="AU311" s="1" t="s">
        <v>5748</v>
      </c>
      <c r="AV311" s="1" t="s">
        <v>6122</v>
      </c>
      <c r="AW311" s="1" t="s">
        <v>6123</v>
      </c>
      <c r="AX311" s="1" t="s">
        <v>82</v>
      </c>
      <c r="AY311" s="1" t="s">
        <v>6124</v>
      </c>
      <c r="AZ311" s="1" t="s">
        <v>6125</v>
      </c>
      <c r="BA311" s="1" t="s">
        <v>6126</v>
      </c>
      <c r="BB311" s="1">
        <v>2022</v>
      </c>
      <c r="BC311" s="1">
        <v>290</v>
      </c>
      <c r="BD311" s="1" t="s">
        <v>82</v>
      </c>
      <c r="BE311" s="1" t="s">
        <v>82</v>
      </c>
      <c r="BF311" s="1" t="s">
        <v>82</v>
      </c>
      <c r="BG311" s="1" t="s">
        <v>82</v>
      </c>
      <c r="BH311" s="1" t="s">
        <v>82</v>
      </c>
      <c r="BI311" s="1" t="s">
        <v>82</v>
      </c>
      <c r="BJ311" s="1" t="s">
        <v>82</v>
      </c>
      <c r="BK311" s="1">
        <v>115049</v>
      </c>
      <c r="BL311" s="1" t="s">
        <v>6127</v>
      </c>
      <c r="BM311" s="1" t="s">
        <v>6128</v>
      </c>
      <c r="BN311" s="1" t="s">
        <v>82</v>
      </c>
      <c r="BO311" s="1" t="s">
        <v>82</v>
      </c>
      <c r="BP311" s="1">
        <v>8</v>
      </c>
      <c r="BQ311" s="1" t="s">
        <v>2907</v>
      </c>
      <c r="BR311" s="1" t="s">
        <v>104</v>
      </c>
      <c r="BS311" s="1" t="s">
        <v>2908</v>
      </c>
      <c r="BT311" s="1" t="s">
        <v>6129</v>
      </c>
      <c r="BU311" s="1">
        <v>35150817</v>
      </c>
      <c r="BV311" s="1" t="s">
        <v>82</v>
      </c>
      <c r="BW311" s="1" t="s">
        <v>82</v>
      </c>
      <c r="BX311" s="1" t="s">
        <v>82</v>
      </c>
      <c r="BY311" s="1" t="s">
        <v>771</v>
      </c>
      <c r="BZ311" s="1" t="s">
        <v>6130</v>
      </c>
      <c r="CA311" s="1" t="s">
        <v>342</v>
      </c>
    </row>
    <row r="312" s="1" customFormat="1" ht="14.4" spans="1:79">
      <c r="A312">
        <v>311</v>
      </c>
      <c r="B312" s="2" t="s">
        <v>110</v>
      </c>
      <c r="C312" s="1" t="s">
        <v>80</v>
      </c>
      <c r="D312" s="1" t="s">
        <v>6131</v>
      </c>
      <c r="E312" s="1" t="s">
        <v>82</v>
      </c>
      <c r="F312" s="1" t="s">
        <v>82</v>
      </c>
      <c r="G312" s="1" t="s">
        <v>82</v>
      </c>
      <c r="H312" s="1" t="s">
        <v>6132</v>
      </c>
      <c r="I312" s="1" t="s">
        <v>82</v>
      </c>
      <c r="J312" s="1" t="s">
        <v>82</v>
      </c>
      <c r="K312" s="1" t="s">
        <v>6133</v>
      </c>
      <c r="L312" s="1" t="s">
        <v>6134</v>
      </c>
      <c r="M312" s="1">
        <v>5.195</v>
      </c>
      <c r="O312" s="1" t="s">
        <v>82</v>
      </c>
      <c r="P312" s="1" t="s">
        <v>82</v>
      </c>
      <c r="Q312" s="1" t="s">
        <v>87</v>
      </c>
      <c r="R312" s="1" t="s">
        <v>115</v>
      </c>
      <c r="S312" s="1" t="s">
        <v>82</v>
      </c>
      <c r="T312" s="1" t="s">
        <v>82</v>
      </c>
      <c r="U312" s="1" t="s">
        <v>82</v>
      </c>
      <c r="V312" s="1" t="s">
        <v>82</v>
      </c>
      <c r="W312" s="1" t="s">
        <v>82</v>
      </c>
      <c r="X312" s="1" t="s">
        <v>6135</v>
      </c>
      <c r="Y312" s="1" t="s">
        <v>6136</v>
      </c>
      <c r="Z312" s="1" t="s">
        <v>6137</v>
      </c>
      <c r="AB312" s="1" t="s">
        <v>643</v>
      </c>
      <c r="AC312" s="1" t="s">
        <v>6138</v>
      </c>
      <c r="AD312" s="1" t="s">
        <v>206</v>
      </c>
      <c r="AE312" s="1" t="s">
        <v>6139</v>
      </c>
      <c r="AF312" s="1" t="s">
        <v>6140</v>
      </c>
      <c r="AG312" s="1" t="s">
        <v>6141</v>
      </c>
      <c r="AH312" s="1" t="s">
        <v>82</v>
      </c>
      <c r="AI312" s="1" t="s">
        <v>6142</v>
      </c>
      <c r="AJ312" s="1" t="s">
        <v>6143</v>
      </c>
      <c r="AK312" s="1" t="s">
        <v>6144</v>
      </c>
      <c r="AL312" s="1" t="s">
        <v>6145</v>
      </c>
      <c r="AM312" s="1" t="s">
        <v>82</v>
      </c>
      <c r="AN312" s="1">
        <v>36</v>
      </c>
      <c r="AO312" s="1">
        <v>0</v>
      </c>
      <c r="AP312" s="1">
        <v>0</v>
      </c>
      <c r="AQ312" s="1">
        <v>6</v>
      </c>
      <c r="AR312" s="1">
        <v>6</v>
      </c>
      <c r="AS312" s="1" t="s">
        <v>479</v>
      </c>
      <c r="AT312" s="1" t="s">
        <v>480</v>
      </c>
      <c r="AU312" s="1" t="s">
        <v>481</v>
      </c>
      <c r="AV312" s="1" t="s">
        <v>6146</v>
      </c>
      <c r="AW312" s="1" t="s">
        <v>6147</v>
      </c>
      <c r="AX312" s="1" t="s">
        <v>82</v>
      </c>
      <c r="AY312" s="1" t="s">
        <v>6148</v>
      </c>
      <c r="AZ312" s="1" t="s">
        <v>6149</v>
      </c>
      <c r="BA312" s="1" t="s">
        <v>6150</v>
      </c>
      <c r="BB312" s="1">
        <v>2022</v>
      </c>
      <c r="BC312" s="1">
        <v>929</v>
      </c>
      <c r="BD312" s="1" t="s">
        <v>82</v>
      </c>
      <c r="BE312" s="1" t="s">
        <v>82</v>
      </c>
      <c r="BF312" s="1" t="s">
        <v>82</v>
      </c>
      <c r="BG312" s="1" t="s">
        <v>82</v>
      </c>
      <c r="BH312" s="1" t="s">
        <v>82</v>
      </c>
      <c r="BI312" s="1" t="s">
        <v>82</v>
      </c>
      <c r="BJ312" s="1" t="s">
        <v>82</v>
      </c>
      <c r="BK312" s="1">
        <v>175151</v>
      </c>
      <c r="BL312" s="1" t="s">
        <v>6151</v>
      </c>
      <c r="BM312" s="1" t="str">
        <f>HYPERLINK("http://dx.doi.org/10.1016/j.ejphar.2022.175151","http://dx.doi.org/10.1016/j.ejphar.2022.175151")</f>
        <v>http://dx.doi.org/10.1016/j.ejphar.2022.175151</v>
      </c>
      <c r="BN312" s="1" t="s">
        <v>82</v>
      </c>
      <c r="BO312" s="1" t="s">
        <v>1257</v>
      </c>
      <c r="BP312" s="1">
        <v>10</v>
      </c>
      <c r="BQ312" s="1" t="s">
        <v>982</v>
      </c>
      <c r="BR312" s="1" t="s">
        <v>104</v>
      </c>
      <c r="BS312" s="1" t="s">
        <v>982</v>
      </c>
      <c r="BT312" s="1" t="s">
        <v>6152</v>
      </c>
      <c r="BU312" s="1">
        <v>35841942</v>
      </c>
      <c r="BV312" s="1" t="s">
        <v>82</v>
      </c>
      <c r="BW312" s="1" t="s">
        <v>82</v>
      </c>
      <c r="BX312" s="1" t="s">
        <v>82</v>
      </c>
      <c r="BY312" s="1" t="s">
        <v>108</v>
      </c>
      <c r="BZ312" s="1" t="s">
        <v>6153</v>
      </c>
      <c r="CA312" s="1" t="str">
        <f>HYPERLINK("https%3A%2F%2Fwww.webofscience.com%2Fwos%2Fwoscc%2Ffull-record%2FWOS:000838859000002","View Full Record in Web of Science")</f>
        <v>View Full Record in Web of Science</v>
      </c>
    </row>
    <row r="313" s="1" customFormat="1" ht="14.4" spans="1:79">
      <c r="A313">
        <v>312</v>
      </c>
      <c r="B313" s="2" t="s">
        <v>110</v>
      </c>
      <c r="C313" s="1" t="s">
        <v>80</v>
      </c>
      <c r="D313" s="1" t="s">
        <v>6154</v>
      </c>
      <c r="E313" s="1" t="s">
        <v>82</v>
      </c>
      <c r="F313" s="1" t="s">
        <v>82</v>
      </c>
      <c r="G313" s="1" t="s">
        <v>82</v>
      </c>
      <c r="H313" s="1" t="s">
        <v>6155</v>
      </c>
      <c r="I313" s="1" t="s">
        <v>82</v>
      </c>
      <c r="J313" s="1" t="s">
        <v>82</v>
      </c>
      <c r="K313" s="1" t="s">
        <v>6156</v>
      </c>
      <c r="L313" s="1" t="s">
        <v>6134</v>
      </c>
      <c r="M313" s="1">
        <v>5.195</v>
      </c>
      <c r="O313" s="1" t="s">
        <v>82</v>
      </c>
      <c r="P313" s="1" t="s">
        <v>82</v>
      </c>
      <c r="Q313" s="1" t="s">
        <v>87</v>
      </c>
      <c r="R313" s="1" t="s">
        <v>115</v>
      </c>
      <c r="S313" s="1" t="s">
        <v>82</v>
      </c>
      <c r="T313" s="1" t="s">
        <v>82</v>
      </c>
      <c r="U313" s="1" t="s">
        <v>82</v>
      </c>
      <c r="V313" s="1" t="s">
        <v>82</v>
      </c>
      <c r="W313" s="1" t="s">
        <v>82</v>
      </c>
      <c r="X313" s="1" t="s">
        <v>6157</v>
      </c>
      <c r="Y313" s="1" t="s">
        <v>6158</v>
      </c>
      <c r="Z313" s="1" t="s">
        <v>6159</v>
      </c>
      <c r="AB313" s="1" t="s">
        <v>6160</v>
      </c>
      <c r="AC313" s="1" t="s">
        <v>6161</v>
      </c>
      <c r="AD313" s="1" t="s">
        <v>120</v>
      </c>
      <c r="AE313" s="1" t="s">
        <v>6162</v>
      </c>
      <c r="AF313" s="1" t="s">
        <v>6163</v>
      </c>
      <c r="AG313" s="1" t="s">
        <v>6164</v>
      </c>
      <c r="AH313" s="1" t="s">
        <v>82</v>
      </c>
      <c r="AI313" s="1" t="s">
        <v>82</v>
      </c>
      <c r="AJ313" s="1" t="s">
        <v>6165</v>
      </c>
      <c r="AK313" s="1" t="s">
        <v>6166</v>
      </c>
      <c r="AL313" s="1" t="s">
        <v>6167</v>
      </c>
      <c r="AM313" s="1" t="s">
        <v>82</v>
      </c>
      <c r="AN313" s="1">
        <v>40</v>
      </c>
      <c r="AO313" s="1">
        <v>1</v>
      </c>
      <c r="AP313" s="1">
        <v>1</v>
      </c>
      <c r="AQ313" s="1">
        <v>8</v>
      </c>
      <c r="AR313" s="1">
        <v>13</v>
      </c>
      <c r="AS313" s="1" t="s">
        <v>479</v>
      </c>
      <c r="AT313" s="1" t="s">
        <v>480</v>
      </c>
      <c r="AU313" s="1" t="s">
        <v>481</v>
      </c>
      <c r="AV313" s="1" t="s">
        <v>6146</v>
      </c>
      <c r="AW313" s="1" t="s">
        <v>6147</v>
      </c>
      <c r="AX313" s="1" t="s">
        <v>82</v>
      </c>
      <c r="AY313" s="1" t="s">
        <v>6148</v>
      </c>
      <c r="AZ313" s="1" t="s">
        <v>6149</v>
      </c>
      <c r="BA313" s="1" t="s">
        <v>589</v>
      </c>
      <c r="BB313" s="1">
        <v>2022</v>
      </c>
      <c r="BC313" s="1">
        <v>925</v>
      </c>
      <c r="BD313" s="1" t="s">
        <v>82</v>
      </c>
      <c r="BE313" s="1" t="s">
        <v>82</v>
      </c>
      <c r="BF313" s="1" t="s">
        <v>82</v>
      </c>
      <c r="BG313" s="1" t="s">
        <v>82</v>
      </c>
      <c r="BH313" s="1" t="s">
        <v>82</v>
      </c>
      <c r="BI313" s="1" t="s">
        <v>82</v>
      </c>
      <c r="BJ313" s="1" t="s">
        <v>82</v>
      </c>
      <c r="BK313" s="1">
        <v>175002</v>
      </c>
      <c r="BL313" s="1" t="s">
        <v>6168</v>
      </c>
      <c r="BM313" s="1" t="str">
        <f>HYPERLINK("http://dx.doi.org/10.1016/j.ejphar.2022.175002","http://dx.doi.org/10.1016/j.ejphar.2022.175002")</f>
        <v>http://dx.doi.org/10.1016/j.ejphar.2022.175002</v>
      </c>
      <c r="BN313" s="1" t="s">
        <v>82</v>
      </c>
      <c r="BO313" s="1" t="s">
        <v>247</v>
      </c>
      <c r="BP313" s="1">
        <v>10</v>
      </c>
      <c r="BQ313" s="1" t="s">
        <v>982</v>
      </c>
      <c r="BR313" s="1" t="s">
        <v>104</v>
      </c>
      <c r="BS313" s="1" t="s">
        <v>982</v>
      </c>
      <c r="BT313" s="1" t="s">
        <v>6169</v>
      </c>
      <c r="BU313" s="1">
        <v>35526567</v>
      </c>
      <c r="BV313" s="1" t="s">
        <v>82</v>
      </c>
      <c r="BW313" s="1" t="s">
        <v>82</v>
      </c>
      <c r="BX313" s="1" t="s">
        <v>82</v>
      </c>
      <c r="BY313" s="1" t="s">
        <v>108</v>
      </c>
      <c r="BZ313" s="1" t="s">
        <v>6170</v>
      </c>
      <c r="CA313" s="1" t="str">
        <f>HYPERLINK("https%3A%2F%2Fwww.webofscience.com%2Fwos%2Fwoscc%2Ffull-record%2FWOS:000831654900007","View Full Record in Web of Science")</f>
        <v>View Full Record in Web of Science</v>
      </c>
    </row>
    <row r="314" s="1" customFormat="1" ht="14.4" spans="1:79">
      <c r="A314">
        <v>313</v>
      </c>
      <c r="B314" s="2" t="s">
        <v>110</v>
      </c>
      <c r="C314" s="1" t="s">
        <v>80</v>
      </c>
      <c r="D314" s="1" t="s">
        <v>6171</v>
      </c>
      <c r="E314" s="1" t="s">
        <v>82</v>
      </c>
      <c r="F314" s="1" t="s">
        <v>82</v>
      </c>
      <c r="G314" s="1" t="s">
        <v>82</v>
      </c>
      <c r="H314" s="1" t="s">
        <v>6172</v>
      </c>
      <c r="I314" s="1" t="s">
        <v>82</v>
      </c>
      <c r="J314" s="1" t="s">
        <v>82</v>
      </c>
      <c r="K314" s="1" t="s">
        <v>6173</v>
      </c>
      <c r="L314" s="1" t="s">
        <v>6113</v>
      </c>
      <c r="M314" s="1">
        <v>5.195</v>
      </c>
      <c r="O314" s="1" t="s">
        <v>82</v>
      </c>
      <c r="P314" s="1" t="s">
        <v>82</v>
      </c>
      <c r="Q314" s="1" t="s">
        <v>87</v>
      </c>
      <c r="R314" s="1" t="s">
        <v>115</v>
      </c>
      <c r="S314" s="1" t="s">
        <v>82</v>
      </c>
      <c r="T314" s="1" t="s">
        <v>82</v>
      </c>
      <c r="U314" s="1" t="s">
        <v>82</v>
      </c>
      <c r="V314" s="1" t="s">
        <v>82</v>
      </c>
      <c r="W314" s="1" t="s">
        <v>82</v>
      </c>
      <c r="X314" s="1" t="s">
        <v>6174</v>
      </c>
      <c r="Y314" s="1" t="s">
        <v>6175</v>
      </c>
      <c r="Z314" s="1" t="s">
        <v>6176</v>
      </c>
      <c r="AB314" s="1" t="s">
        <v>6177</v>
      </c>
      <c r="AC314" s="1" t="s">
        <v>6178</v>
      </c>
      <c r="AD314" s="1" t="s">
        <v>120</v>
      </c>
      <c r="AE314" s="1" t="s">
        <v>3743</v>
      </c>
      <c r="AF314" s="1" t="s">
        <v>6179</v>
      </c>
      <c r="AG314" s="1" t="s">
        <v>6180</v>
      </c>
      <c r="AH314" s="1" t="s">
        <v>82</v>
      </c>
      <c r="AI314" s="1" t="s">
        <v>82</v>
      </c>
      <c r="AJ314" s="1" t="s">
        <v>6181</v>
      </c>
      <c r="AK314" s="1" t="s">
        <v>6182</v>
      </c>
      <c r="AL314" s="1" t="s">
        <v>6183</v>
      </c>
      <c r="AM314" s="1" t="s">
        <v>82</v>
      </c>
      <c r="AN314" s="1">
        <v>52</v>
      </c>
      <c r="AO314" s="1">
        <v>1</v>
      </c>
      <c r="AP314" s="1">
        <v>1</v>
      </c>
      <c r="AQ314" s="1">
        <v>7</v>
      </c>
      <c r="AR314" s="1">
        <v>17</v>
      </c>
      <c r="AS314" s="1" t="s">
        <v>5746</v>
      </c>
      <c r="AT314" s="1" t="s">
        <v>5747</v>
      </c>
      <c r="AU314" s="1" t="s">
        <v>5748</v>
      </c>
      <c r="AV314" s="1" t="s">
        <v>6122</v>
      </c>
      <c r="AW314" s="1" t="s">
        <v>6123</v>
      </c>
      <c r="AX314" s="1" t="s">
        <v>82</v>
      </c>
      <c r="AY314" s="1" t="s">
        <v>6124</v>
      </c>
      <c r="AZ314" s="1" t="s">
        <v>6125</v>
      </c>
      <c r="BA314" s="1" t="s">
        <v>6184</v>
      </c>
      <c r="BB314" s="1">
        <v>2022</v>
      </c>
      <c r="BC314" s="1">
        <v>289</v>
      </c>
      <c r="BD314" s="1" t="s">
        <v>82</v>
      </c>
      <c r="BE314" s="1" t="s">
        <v>82</v>
      </c>
      <c r="BF314" s="1" t="s">
        <v>82</v>
      </c>
      <c r="BG314" s="1" t="s">
        <v>82</v>
      </c>
      <c r="BH314" s="1" t="s">
        <v>82</v>
      </c>
      <c r="BI314" s="1" t="s">
        <v>82</v>
      </c>
      <c r="BJ314" s="1" t="s">
        <v>82</v>
      </c>
      <c r="BK314" s="1">
        <v>115010</v>
      </c>
      <c r="BL314" s="1" t="s">
        <v>6185</v>
      </c>
      <c r="BM314" s="1" t="str">
        <f>HYPERLINK("http://dx.doi.org/10.1016/j.jep.2022.115010","http://dx.doi.org/10.1016/j.jep.2022.115010")</f>
        <v>http://dx.doi.org/10.1016/j.jep.2022.115010</v>
      </c>
      <c r="BN314" s="1" t="s">
        <v>82</v>
      </c>
      <c r="BO314" s="1" t="s">
        <v>82</v>
      </c>
      <c r="BP314" s="1">
        <v>11</v>
      </c>
      <c r="BQ314" s="1" t="s">
        <v>2907</v>
      </c>
      <c r="BR314" s="1" t="s">
        <v>104</v>
      </c>
      <c r="BS314" s="1" t="s">
        <v>2908</v>
      </c>
      <c r="BT314" s="1" t="s">
        <v>6186</v>
      </c>
      <c r="BU314" s="1">
        <v>35065248</v>
      </c>
      <c r="BV314" s="1" t="s">
        <v>82</v>
      </c>
      <c r="BW314" s="1" t="s">
        <v>82</v>
      </c>
      <c r="BX314" s="1" t="s">
        <v>82</v>
      </c>
      <c r="BY314" s="1" t="s">
        <v>108</v>
      </c>
      <c r="BZ314" s="1" t="s">
        <v>6187</v>
      </c>
      <c r="CA314" s="1" t="str">
        <f>HYPERLINK("https%3A%2F%2Fwww.webofscience.com%2Fwos%2Fwoscc%2Ffull-record%2FWOS:000821323200003","View Full Record in Web of Science")</f>
        <v>View Full Record in Web of Science</v>
      </c>
    </row>
    <row r="315" s="1" customFormat="1" ht="14.4" spans="1:79">
      <c r="A315">
        <v>314</v>
      </c>
      <c r="B315" s="2" t="s">
        <v>110</v>
      </c>
      <c r="C315" s="1" t="s">
        <v>80</v>
      </c>
      <c r="D315" s="1" t="s">
        <v>6188</v>
      </c>
      <c r="E315" s="1" t="s">
        <v>82</v>
      </c>
      <c r="F315" s="1" t="s">
        <v>82</v>
      </c>
      <c r="G315" s="1" t="s">
        <v>82</v>
      </c>
      <c r="H315" s="1" t="s">
        <v>6189</v>
      </c>
      <c r="I315" s="1" t="s">
        <v>82</v>
      </c>
      <c r="J315" s="1" t="s">
        <v>82</v>
      </c>
      <c r="K315" s="1" t="s">
        <v>6190</v>
      </c>
      <c r="L315" s="1" t="s">
        <v>6113</v>
      </c>
      <c r="M315" s="1">
        <v>5.195</v>
      </c>
      <c r="O315" s="1" t="s">
        <v>82</v>
      </c>
      <c r="P315" s="1" t="s">
        <v>82</v>
      </c>
      <c r="Q315" s="1" t="s">
        <v>87</v>
      </c>
      <c r="R315" s="1" t="s">
        <v>115</v>
      </c>
      <c r="S315" s="1" t="s">
        <v>82</v>
      </c>
      <c r="T315" s="1" t="s">
        <v>82</v>
      </c>
      <c r="U315" s="1" t="s">
        <v>82</v>
      </c>
      <c r="V315" s="1" t="s">
        <v>82</v>
      </c>
      <c r="W315" s="1" t="s">
        <v>82</v>
      </c>
      <c r="X315" s="1" t="s">
        <v>6191</v>
      </c>
      <c r="Y315" s="1" t="s">
        <v>6192</v>
      </c>
      <c r="Z315" s="1" t="s">
        <v>6193</v>
      </c>
      <c r="AA315" s="1">
        <v>1</v>
      </c>
      <c r="AB315" s="1" t="s">
        <v>6194</v>
      </c>
      <c r="AC315" s="1" t="s">
        <v>6195</v>
      </c>
      <c r="AD315" s="1" t="s">
        <v>93</v>
      </c>
      <c r="AE315" s="1" t="s">
        <v>6196</v>
      </c>
      <c r="AF315" s="1" t="s">
        <v>6197</v>
      </c>
      <c r="AG315" s="1" t="s">
        <v>6198</v>
      </c>
      <c r="AH315" s="1" t="s">
        <v>6199</v>
      </c>
      <c r="AI315" s="1" t="s">
        <v>82</v>
      </c>
      <c r="AJ315" s="1" t="s">
        <v>6200</v>
      </c>
      <c r="AK315" s="1" t="s">
        <v>6201</v>
      </c>
      <c r="AL315" s="1" t="s">
        <v>6202</v>
      </c>
      <c r="AM315" s="1" t="s">
        <v>82</v>
      </c>
      <c r="AN315" s="1">
        <v>57</v>
      </c>
      <c r="AO315" s="1">
        <v>4</v>
      </c>
      <c r="AP315" s="1">
        <v>4</v>
      </c>
      <c r="AQ315" s="1">
        <v>7</v>
      </c>
      <c r="AR315" s="1">
        <v>19</v>
      </c>
      <c r="AS315" s="1" t="s">
        <v>5746</v>
      </c>
      <c r="AT315" s="1" t="s">
        <v>5747</v>
      </c>
      <c r="AU315" s="1" t="s">
        <v>5748</v>
      </c>
      <c r="AV315" s="1" t="s">
        <v>6122</v>
      </c>
      <c r="AW315" s="1" t="s">
        <v>6123</v>
      </c>
      <c r="AX315" s="1" t="s">
        <v>82</v>
      </c>
      <c r="AY315" s="1" t="s">
        <v>6124</v>
      </c>
      <c r="AZ315" s="1" t="s">
        <v>6125</v>
      </c>
      <c r="BA315" s="1" t="s">
        <v>6184</v>
      </c>
      <c r="BB315" s="1">
        <v>2022</v>
      </c>
      <c r="BC315" s="1">
        <v>289</v>
      </c>
      <c r="BD315" s="1" t="s">
        <v>82</v>
      </c>
      <c r="BE315" s="1" t="s">
        <v>82</v>
      </c>
      <c r="BF315" s="1" t="s">
        <v>82</v>
      </c>
      <c r="BG315" s="1" t="s">
        <v>82</v>
      </c>
      <c r="BH315" s="1" t="s">
        <v>82</v>
      </c>
      <c r="BI315" s="1" t="s">
        <v>82</v>
      </c>
      <c r="BJ315" s="1" t="s">
        <v>82</v>
      </c>
      <c r="BK315" s="1">
        <v>115090</v>
      </c>
      <c r="BL315" s="1" t="s">
        <v>6203</v>
      </c>
      <c r="BM315" s="1" t="str">
        <f>HYPERLINK("http://dx.doi.org/10.1016/j.jep.2022.115090","http://dx.doi.org/10.1016/j.jep.2022.115090")</f>
        <v>http://dx.doi.org/10.1016/j.jep.2022.115090</v>
      </c>
      <c r="BN315" s="1" t="s">
        <v>82</v>
      </c>
      <c r="BO315" s="1" t="s">
        <v>296</v>
      </c>
      <c r="BP315" s="1">
        <v>16</v>
      </c>
      <c r="BQ315" s="1" t="s">
        <v>2907</v>
      </c>
      <c r="BR315" s="1" t="s">
        <v>104</v>
      </c>
      <c r="BS315" s="1" t="s">
        <v>2908</v>
      </c>
      <c r="BT315" s="1" t="s">
        <v>6204</v>
      </c>
      <c r="BU315" s="1">
        <v>35143937</v>
      </c>
      <c r="BV315" s="1" t="s">
        <v>82</v>
      </c>
      <c r="BW315" s="1" t="s">
        <v>82</v>
      </c>
      <c r="BX315" s="1" t="s">
        <v>82</v>
      </c>
      <c r="BY315" s="1" t="s">
        <v>108</v>
      </c>
      <c r="BZ315" s="1" t="s">
        <v>6205</v>
      </c>
      <c r="CA315" s="1" t="str">
        <f>HYPERLINK("https%3A%2F%2Fwww.webofscience.com%2Fwos%2Fwoscc%2Ffull-record%2FWOS:000811389800006","View Full Record in Web of Science")</f>
        <v>View Full Record in Web of Science</v>
      </c>
    </row>
    <row r="316" s="1" customFormat="1" ht="14.4" spans="1:79">
      <c r="A316">
        <v>315</v>
      </c>
      <c r="B316" s="2" t="s">
        <v>110</v>
      </c>
      <c r="C316" s="1" t="s">
        <v>80</v>
      </c>
      <c r="D316" s="1" t="s">
        <v>6206</v>
      </c>
      <c r="E316" s="1" t="s">
        <v>82</v>
      </c>
      <c r="F316" s="1" t="s">
        <v>82</v>
      </c>
      <c r="G316" s="1" t="s">
        <v>82</v>
      </c>
      <c r="H316" s="1" t="s">
        <v>6207</v>
      </c>
      <c r="I316" s="1" t="s">
        <v>82</v>
      </c>
      <c r="J316" s="1" t="s">
        <v>82</v>
      </c>
      <c r="K316" s="1" t="s">
        <v>6208</v>
      </c>
      <c r="L316" s="1" t="s">
        <v>6113</v>
      </c>
      <c r="M316" s="1">
        <v>5.195</v>
      </c>
      <c r="O316" s="1" t="s">
        <v>82</v>
      </c>
      <c r="P316" s="1" t="s">
        <v>82</v>
      </c>
      <c r="Q316" s="1" t="s">
        <v>87</v>
      </c>
      <c r="R316" s="1" t="s">
        <v>115</v>
      </c>
      <c r="S316" s="1" t="s">
        <v>82</v>
      </c>
      <c r="T316" s="1" t="s">
        <v>82</v>
      </c>
      <c r="U316" s="1" t="s">
        <v>82</v>
      </c>
      <c r="V316" s="1" t="s">
        <v>82</v>
      </c>
      <c r="W316" s="1" t="s">
        <v>82</v>
      </c>
      <c r="X316" s="1" t="s">
        <v>6209</v>
      </c>
      <c r="Y316" s="1" t="s">
        <v>6210</v>
      </c>
      <c r="Z316" s="1" t="s">
        <v>6211</v>
      </c>
      <c r="AA316" s="1">
        <v>1</v>
      </c>
      <c r="AB316" s="1" t="s">
        <v>6212</v>
      </c>
      <c r="AC316" s="1" t="s">
        <v>6213</v>
      </c>
      <c r="AD316" s="1" t="s">
        <v>93</v>
      </c>
      <c r="AE316" s="1" t="s">
        <v>2785</v>
      </c>
      <c r="AF316" s="1" t="s">
        <v>6214</v>
      </c>
      <c r="AG316" s="1" t="s">
        <v>6215</v>
      </c>
      <c r="AH316" s="1" t="s">
        <v>82</v>
      </c>
      <c r="AI316" s="1" t="s">
        <v>82</v>
      </c>
      <c r="AJ316" s="1" t="s">
        <v>6216</v>
      </c>
      <c r="AK316" s="1" t="s">
        <v>6217</v>
      </c>
      <c r="AL316" s="1" t="s">
        <v>6218</v>
      </c>
      <c r="AM316" s="1" t="s">
        <v>82</v>
      </c>
      <c r="AN316" s="1">
        <v>42</v>
      </c>
      <c r="AO316" s="1">
        <v>3</v>
      </c>
      <c r="AP316" s="1">
        <v>3</v>
      </c>
      <c r="AQ316" s="1">
        <v>10</v>
      </c>
      <c r="AR316" s="1">
        <v>47</v>
      </c>
      <c r="AS316" s="1" t="s">
        <v>5746</v>
      </c>
      <c r="AT316" s="1" t="s">
        <v>5747</v>
      </c>
      <c r="AU316" s="1" t="s">
        <v>5748</v>
      </c>
      <c r="AV316" s="1" t="s">
        <v>6122</v>
      </c>
      <c r="AW316" s="1" t="s">
        <v>6123</v>
      </c>
      <c r="AX316" s="1" t="s">
        <v>82</v>
      </c>
      <c r="AY316" s="1" t="s">
        <v>6124</v>
      </c>
      <c r="AZ316" s="1" t="s">
        <v>6125</v>
      </c>
      <c r="BA316" s="1" t="s">
        <v>2315</v>
      </c>
      <c r="BB316" s="1">
        <v>2022</v>
      </c>
      <c r="BC316" s="1">
        <v>285</v>
      </c>
      <c r="BD316" s="1" t="s">
        <v>82</v>
      </c>
      <c r="BE316" s="1" t="s">
        <v>82</v>
      </c>
      <c r="BF316" s="1" t="s">
        <v>82</v>
      </c>
      <c r="BG316" s="1" t="s">
        <v>82</v>
      </c>
      <c r="BH316" s="1" t="s">
        <v>82</v>
      </c>
      <c r="BI316" s="1" t="s">
        <v>82</v>
      </c>
      <c r="BJ316" s="1" t="s">
        <v>82</v>
      </c>
      <c r="BK316" s="1">
        <v>114848</v>
      </c>
      <c r="BL316" s="1" t="s">
        <v>6219</v>
      </c>
      <c r="BM316" s="1" t="str">
        <f>HYPERLINK("http://dx.doi.org/10.1016/j.jep.2021.114848","http://dx.doi.org/10.1016/j.jep.2021.114848")</f>
        <v>http://dx.doi.org/10.1016/j.jep.2021.114848</v>
      </c>
      <c r="BN316" s="1" t="s">
        <v>82</v>
      </c>
      <c r="BO316" s="1" t="s">
        <v>82</v>
      </c>
      <c r="BP316" s="1">
        <v>10</v>
      </c>
      <c r="BQ316" s="1" t="s">
        <v>2907</v>
      </c>
      <c r="BR316" s="1" t="s">
        <v>104</v>
      </c>
      <c r="BS316" s="1" t="s">
        <v>2908</v>
      </c>
      <c r="BT316" s="1" t="s">
        <v>6220</v>
      </c>
      <c r="BU316" s="1">
        <v>34798159</v>
      </c>
      <c r="BV316" s="1" t="s">
        <v>82</v>
      </c>
      <c r="BW316" s="1" t="s">
        <v>82</v>
      </c>
      <c r="BX316" s="1" t="s">
        <v>82</v>
      </c>
      <c r="BY316" s="1" t="s">
        <v>108</v>
      </c>
      <c r="BZ316" s="1" t="s">
        <v>6221</v>
      </c>
      <c r="CA316" s="1" t="str">
        <f>HYPERLINK("https%3A%2F%2Fwww.webofscience.com%2Fwos%2Fwoscc%2Ffull-record%2FWOS:000806869500005","View Full Record in Web of Science")</f>
        <v>View Full Record in Web of Science</v>
      </c>
    </row>
    <row r="317" s="1" customFormat="1" ht="14.4" spans="1:79">
      <c r="A317">
        <v>316</v>
      </c>
      <c r="B317" s="2" t="s">
        <v>110</v>
      </c>
      <c r="C317" s="1" t="s">
        <v>80</v>
      </c>
      <c r="D317" s="1" t="s">
        <v>6222</v>
      </c>
      <c r="E317" s="1" t="s">
        <v>82</v>
      </c>
      <c r="F317" s="1" t="s">
        <v>82</v>
      </c>
      <c r="G317" s="1" t="s">
        <v>82</v>
      </c>
      <c r="H317" s="1" t="s">
        <v>6223</v>
      </c>
      <c r="I317" s="1" t="s">
        <v>82</v>
      </c>
      <c r="J317" s="1" t="s">
        <v>82</v>
      </c>
      <c r="K317" s="1" t="s">
        <v>6224</v>
      </c>
      <c r="L317" s="1" t="s">
        <v>6113</v>
      </c>
      <c r="M317" s="1">
        <v>5.195</v>
      </c>
      <c r="O317" s="1" t="s">
        <v>82</v>
      </c>
      <c r="P317" s="1" t="s">
        <v>82</v>
      </c>
      <c r="Q317" s="1" t="s">
        <v>87</v>
      </c>
      <c r="R317" s="1" t="s">
        <v>115</v>
      </c>
      <c r="S317" s="1" t="s">
        <v>82</v>
      </c>
      <c r="T317" s="1" t="s">
        <v>82</v>
      </c>
      <c r="U317" s="1" t="s">
        <v>82</v>
      </c>
      <c r="V317" s="1" t="s">
        <v>82</v>
      </c>
      <c r="W317" s="1" t="s">
        <v>82</v>
      </c>
      <c r="X317" s="1" t="s">
        <v>6225</v>
      </c>
      <c r="Y317" s="1" t="s">
        <v>6226</v>
      </c>
      <c r="Z317" s="1" t="s">
        <v>6227</v>
      </c>
      <c r="AB317" s="1" t="s">
        <v>4310</v>
      </c>
      <c r="AC317" s="1" t="s">
        <v>6228</v>
      </c>
      <c r="AD317" s="1" t="s">
        <v>120</v>
      </c>
      <c r="AE317" s="1" t="s">
        <v>1650</v>
      </c>
      <c r="AF317" s="1" t="s">
        <v>6229</v>
      </c>
      <c r="AG317" s="1" t="s">
        <v>2279</v>
      </c>
      <c r="AH317" s="1" t="s">
        <v>82</v>
      </c>
      <c r="AI317" s="1" t="s">
        <v>82</v>
      </c>
      <c r="AJ317" s="1" t="s">
        <v>6120</v>
      </c>
      <c r="AK317" s="1" t="s">
        <v>3637</v>
      </c>
      <c r="AL317" s="1" t="s">
        <v>6230</v>
      </c>
      <c r="AM317" s="1" t="s">
        <v>82</v>
      </c>
      <c r="AN317" s="1">
        <v>36</v>
      </c>
      <c r="AO317" s="1">
        <v>1</v>
      </c>
      <c r="AP317" s="1">
        <v>1</v>
      </c>
      <c r="AQ317" s="1">
        <v>22</v>
      </c>
      <c r="AR317" s="1">
        <v>46</v>
      </c>
      <c r="AS317" s="1" t="s">
        <v>5746</v>
      </c>
      <c r="AT317" s="1" t="s">
        <v>5747</v>
      </c>
      <c r="AU317" s="1" t="s">
        <v>5748</v>
      </c>
      <c r="AV317" s="1" t="s">
        <v>6122</v>
      </c>
      <c r="AW317" s="1" t="s">
        <v>6123</v>
      </c>
      <c r="AX317" s="1" t="s">
        <v>82</v>
      </c>
      <c r="AY317" s="1" t="s">
        <v>6124</v>
      </c>
      <c r="AZ317" s="1" t="s">
        <v>6125</v>
      </c>
      <c r="BA317" s="1" t="s">
        <v>1903</v>
      </c>
      <c r="BB317" s="1">
        <v>2022</v>
      </c>
      <c r="BC317" s="1">
        <v>293</v>
      </c>
      <c r="BD317" s="1" t="s">
        <v>82</v>
      </c>
      <c r="BE317" s="1" t="s">
        <v>82</v>
      </c>
      <c r="BF317" s="1" t="s">
        <v>82</v>
      </c>
      <c r="BG317" s="1" t="s">
        <v>82</v>
      </c>
      <c r="BH317" s="1" t="s">
        <v>82</v>
      </c>
      <c r="BI317" s="1" t="s">
        <v>82</v>
      </c>
      <c r="BJ317" s="1" t="s">
        <v>82</v>
      </c>
      <c r="BK317" s="1">
        <v>115290</v>
      </c>
      <c r="BL317" s="1" t="s">
        <v>6231</v>
      </c>
      <c r="BM317" s="1" t="str">
        <f>HYPERLINK("http://dx.doi.org/10.1016/j.jep.2022.115290","http://dx.doi.org/10.1016/j.jep.2022.115290")</f>
        <v>http://dx.doi.org/10.1016/j.jep.2022.115290</v>
      </c>
      <c r="BN317" s="1" t="s">
        <v>82</v>
      </c>
      <c r="BO317" s="1" t="s">
        <v>267</v>
      </c>
      <c r="BP317" s="1">
        <v>11</v>
      </c>
      <c r="BQ317" s="1" t="s">
        <v>2907</v>
      </c>
      <c r="BR317" s="1" t="s">
        <v>104</v>
      </c>
      <c r="BS317" s="1" t="s">
        <v>2908</v>
      </c>
      <c r="BT317" s="1" t="s">
        <v>6232</v>
      </c>
      <c r="BU317" s="1">
        <v>35452774</v>
      </c>
      <c r="BV317" s="1" t="s">
        <v>82</v>
      </c>
      <c r="BW317" s="1" t="s">
        <v>82</v>
      </c>
      <c r="BX317" s="1" t="s">
        <v>82</v>
      </c>
      <c r="BY317" s="1" t="s">
        <v>108</v>
      </c>
      <c r="BZ317" s="1" t="s">
        <v>6233</v>
      </c>
      <c r="CA317" s="1" t="str">
        <f>HYPERLINK("https%3A%2F%2Fwww.webofscience.com%2Fwos%2Fwoscc%2Ffull-record%2FWOS:000794985100003","View Full Record in Web of Science")</f>
        <v>View Full Record in Web of Science</v>
      </c>
    </row>
    <row r="318" s="1" customFormat="1" ht="14.4" spans="1:79">
      <c r="A318">
        <v>317</v>
      </c>
      <c r="B318" s="2" t="s">
        <v>79</v>
      </c>
      <c r="C318" s="1" t="s">
        <v>80</v>
      </c>
      <c r="D318" s="1" t="s">
        <v>6234</v>
      </c>
      <c r="E318" s="1" t="s">
        <v>82</v>
      </c>
      <c r="F318" s="1" t="s">
        <v>82</v>
      </c>
      <c r="G318" s="1" t="s">
        <v>82</v>
      </c>
      <c r="H318" s="1" t="s">
        <v>6235</v>
      </c>
      <c r="I318" s="1" t="s">
        <v>82</v>
      </c>
      <c r="J318" s="1" t="s">
        <v>82</v>
      </c>
      <c r="K318" s="1" t="s">
        <v>6236</v>
      </c>
      <c r="L318" s="1" t="s">
        <v>6113</v>
      </c>
      <c r="M318" s="1">
        <v>5.195</v>
      </c>
      <c r="O318" s="1" t="s">
        <v>82</v>
      </c>
      <c r="P318" s="1" t="s">
        <v>82</v>
      </c>
      <c r="Q318" s="1" t="s">
        <v>87</v>
      </c>
      <c r="R318" s="1" t="s">
        <v>115</v>
      </c>
      <c r="S318" s="1" t="s">
        <v>82</v>
      </c>
      <c r="T318" s="1" t="s">
        <v>82</v>
      </c>
      <c r="U318" s="1" t="s">
        <v>82</v>
      </c>
      <c r="V318" s="1" t="s">
        <v>82</v>
      </c>
      <c r="W318" s="1" t="s">
        <v>82</v>
      </c>
      <c r="X318" s="1" t="s">
        <v>6237</v>
      </c>
      <c r="Y318" s="1" t="s">
        <v>6238</v>
      </c>
      <c r="Z318" s="1" t="s">
        <v>6239</v>
      </c>
      <c r="AA318" s="1">
        <v>1</v>
      </c>
      <c r="AB318" s="1" t="s">
        <v>6240</v>
      </c>
      <c r="AC318" s="1" t="s">
        <v>6241</v>
      </c>
      <c r="AD318" s="1" t="s">
        <v>93</v>
      </c>
      <c r="AE318" s="1" t="s">
        <v>1959</v>
      </c>
      <c r="AF318" s="1" t="s">
        <v>6242</v>
      </c>
      <c r="AG318" s="1" t="s">
        <v>4601</v>
      </c>
      <c r="AH318" s="1" t="s">
        <v>4587</v>
      </c>
      <c r="AI318" s="1" t="s">
        <v>4588</v>
      </c>
      <c r="AJ318" s="1" t="s">
        <v>6243</v>
      </c>
      <c r="AK318" s="1" t="s">
        <v>6244</v>
      </c>
      <c r="AL318" s="1" t="s">
        <v>6245</v>
      </c>
      <c r="AM318" s="1" t="s">
        <v>82</v>
      </c>
      <c r="AN318" s="1">
        <v>439</v>
      </c>
      <c r="AO318" s="1">
        <v>5</v>
      </c>
      <c r="AP318" s="1">
        <v>5</v>
      </c>
      <c r="AQ318" s="1">
        <v>6</v>
      </c>
      <c r="AR318" s="1">
        <v>25</v>
      </c>
      <c r="AS318" s="1" t="s">
        <v>5746</v>
      </c>
      <c r="AT318" s="1" t="s">
        <v>5747</v>
      </c>
      <c r="AU318" s="1" t="s">
        <v>5748</v>
      </c>
      <c r="AV318" s="1" t="s">
        <v>6122</v>
      </c>
      <c r="AW318" s="1" t="s">
        <v>6123</v>
      </c>
      <c r="AX318" s="1" t="s">
        <v>82</v>
      </c>
      <c r="AY318" s="1" t="s">
        <v>6124</v>
      </c>
      <c r="AZ318" s="1" t="s">
        <v>6125</v>
      </c>
      <c r="BA318" s="1" t="s">
        <v>6246</v>
      </c>
      <c r="BB318" s="1">
        <v>2022</v>
      </c>
      <c r="BC318" s="1">
        <v>283</v>
      </c>
      <c r="BD318" s="1" t="s">
        <v>82</v>
      </c>
      <c r="BE318" s="1" t="s">
        <v>82</v>
      </c>
      <c r="BF318" s="1" t="s">
        <v>82</v>
      </c>
      <c r="BG318" s="1" t="s">
        <v>82</v>
      </c>
      <c r="BH318" s="1" t="s">
        <v>82</v>
      </c>
      <c r="BI318" s="1" t="s">
        <v>82</v>
      </c>
      <c r="BJ318" s="1" t="s">
        <v>82</v>
      </c>
      <c r="BK318" s="1">
        <v>114540</v>
      </c>
      <c r="BL318" s="1" t="s">
        <v>6247</v>
      </c>
      <c r="BM318" s="1" t="str">
        <f>HYPERLINK("http://dx.doi.org/10.1016/j.jep.2021.114540","http://dx.doi.org/10.1016/j.jep.2021.114540")</f>
        <v>http://dx.doi.org/10.1016/j.jep.2021.114540</v>
      </c>
      <c r="BN318" s="1" t="s">
        <v>82</v>
      </c>
      <c r="BO318" s="1" t="s">
        <v>904</v>
      </c>
      <c r="BP318" s="1">
        <v>95</v>
      </c>
      <c r="BQ318" s="1" t="s">
        <v>2907</v>
      </c>
      <c r="BR318" s="1" t="s">
        <v>104</v>
      </c>
      <c r="BS318" s="1" t="s">
        <v>2908</v>
      </c>
      <c r="BT318" s="1" t="s">
        <v>6248</v>
      </c>
      <c r="BU318" s="1">
        <v>34509604</v>
      </c>
      <c r="BV318" s="1" t="s">
        <v>82</v>
      </c>
      <c r="BW318" s="1" t="s">
        <v>82</v>
      </c>
      <c r="BX318" s="1" t="s">
        <v>82</v>
      </c>
      <c r="BY318" s="1" t="s">
        <v>108</v>
      </c>
      <c r="BZ318" s="1" t="s">
        <v>6249</v>
      </c>
      <c r="CA318" s="1" t="str">
        <f>HYPERLINK("https%3A%2F%2Fwww.webofscience.com%2Fwos%2Fwoscc%2Ffull-record%2FWOS:000718033100003","View Full Record in Web of Science")</f>
        <v>View Full Record in Web of Science</v>
      </c>
    </row>
    <row r="319" s="1" customFormat="1" ht="14.4" spans="1:79">
      <c r="A319">
        <v>318</v>
      </c>
      <c r="B319" s="2" t="s">
        <v>79</v>
      </c>
      <c r="C319" s="1" t="s">
        <v>80</v>
      </c>
      <c r="D319" s="1" t="s">
        <v>6250</v>
      </c>
      <c r="E319" s="1" t="s">
        <v>82</v>
      </c>
      <c r="F319" s="1" t="s">
        <v>82</v>
      </c>
      <c r="G319" s="1" t="s">
        <v>82</v>
      </c>
      <c r="H319" s="1" t="s">
        <v>6251</v>
      </c>
      <c r="I319" s="1" t="s">
        <v>82</v>
      </c>
      <c r="J319" s="1" t="s">
        <v>82</v>
      </c>
      <c r="K319" s="1" t="s">
        <v>6252</v>
      </c>
      <c r="L319" s="1" t="s">
        <v>6253</v>
      </c>
      <c r="M319" s="1">
        <v>5.168</v>
      </c>
      <c r="O319" s="1" t="s">
        <v>82</v>
      </c>
      <c r="P319" s="1" t="s">
        <v>82</v>
      </c>
      <c r="Q319" s="1" t="s">
        <v>87</v>
      </c>
      <c r="R319" s="1" t="s">
        <v>115</v>
      </c>
      <c r="S319" s="1" t="s">
        <v>82</v>
      </c>
      <c r="T319" s="1" t="s">
        <v>82</v>
      </c>
      <c r="U319" s="1" t="s">
        <v>82</v>
      </c>
      <c r="V319" s="1" t="s">
        <v>82</v>
      </c>
      <c r="W319" s="1" t="s">
        <v>82</v>
      </c>
      <c r="X319" s="1" t="s">
        <v>6254</v>
      </c>
      <c r="Y319" s="1" t="s">
        <v>6255</v>
      </c>
      <c r="Z319" s="1" t="s">
        <v>6256</v>
      </c>
      <c r="AB319" s="1" t="s">
        <v>6257</v>
      </c>
      <c r="AC319" s="1" t="s">
        <v>6258</v>
      </c>
      <c r="AD319" s="1" t="s">
        <v>120</v>
      </c>
      <c r="AE319" s="1" t="s">
        <v>6259</v>
      </c>
      <c r="AF319" s="1" t="s">
        <v>6260</v>
      </c>
      <c r="AG319" s="1" t="s">
        <v>6261</v>
      </c>
      <c r="AH319" s="1" t="s">
        <v>82</v>
      </c>
      <c r="AI319" s="1" t="s">
        <v>82</v>
      </c>
      <c r="AJ319" s="1" t="s">
        <v>6262</v>
      </c>
      <c r="AK319" s="1" t="s">
        <v>6263</v>
      </c>
      <c r="AL319" s="1" t="s">
        <v>6264</v>
      </c>
      <c r="AM319" s="1" t="s">
        <v>82</v>
      </c>
      <c r="AN319" s="1">
        <v>73</v>
      </c>
      <c r="AO319" s="1">
        <v>0</v>
      </c>
      <c r="AP319" s="1">
        <v>0</v>
      </c>
      <c r="AQ319" s="1">
        <v>0</v>
      </c>
      <c r="AR319" s="1">
        <v>0</v>
      </c>
      <c r="AS319" s="1" t="s">
        <v>2117</v>
      </c>
      <c r="AT319" s="1" t="s">
        <v>2118</v>
      </c>
      <c r="AU319" s="1" t="s">
        <v>2119</v>
      </c>
      <c r="AV319" s="1" t="s">
        <v>82</v>
      </c>
      <c r="AW319" s="1" t="s">
        <v>6265</v>
      </c>
      <c r="AX319" s="1" t="s">
        <v>82</v>
      </c>
      <c r="AY319" s="1" t="s">
        <v>6253</v>
      </c>
      <c r="AZ319" s="1" t="s">
        <v>6266</v>
      </c>
      <c r="BA319" s="1" t="s">
        <v>2123</v>
      </c>
      <c r="BB319" s="1">
        <v>2022</v>
      </c>
      <c r="BC319" s="1">
        <v>11</v>
      </c>
      <c r="BD319" s="1">
        <v>12</v>
      </c>
      <c r="BE319" s="1" t="s">
        <v>82</v>
      </c>
      <c r="BF319" s="1" t="s">
        <v>82</v>
      </c>
      <c r="BG319" s="1" t="s">
        <v>82</v>
      </c>
      <c r="BH319" s="1" t="s">
        <v>82</v>
      </c>
      <c r="BI319" s="1" t="s">
        <v>82</v>
      </c>
      <c r="BJ319" s="1" t="s">
        <v>82</v>
      </c>
      <c r="BK319" s="1">
        <v>1753</v>
      </c>
      <c r="BL319" s="1" t="s">
        <v>6267</v>
      </c>
      <c r="BM319" s="1" t="str">
        <f>HYPERLINK("http://dx.doi.org/10.3390/biology11121753","http://dx.doi.org/10.3390/biology11121753")</f>
        <v>http://dx.doi.org/10.3390/biology11121753</v>
      </c>
      <c r="BN319" s="1" t="s">
        <v>82</v>
      </c>
      <c r="BO319" s="1" t="s">
        <v>82</v>
      </c>
      <c r="BP319" s="1">
        <v>19</v>
      </c>
      <c r="BQ319" s="1" t="s">
        <v>2317</v>
      </c>
      <c r="BR319" s="1" t="s">
        <v>104</v>
      </c>
      <c r="BS319" s="1" t="s">
        <v>2318</v>
      </c>
      <c r="BT319" s="1" t="s">
        <v>6268</v>
      </c>
      <c r="BU319" s="1">
        <v>36552263</v>
      </c>
      <c r="BV319" s="1" t="s">
        <v>635</v>
      </c>
      <c r="BW319" s="1" t="s">
        <v>82</v>
      </c>
      <c r="BX319" s="1" t="s">
        <v>82</v>
      </c>
      <c r="BY319" s="1" t="s">
        <v>108</v>
      </c>
      <c r="BZ319" s="1" t="s">
        <v>6269</v>
      </c>
      <c r="CA319" s="1" t="str">
        <f>HYPERLINK("https%3A%2F%2Fwww.webofscience.com%2Fwos%2Fwoscc%2Ffull-record%2FWOS:000900586300001","View Full Record in Web of Science")</f>
        <v>View Full Record in Web of Science</v>
      </c>
    </row>
    <row r="320" s="1" customFormat="1" ht="14.4" spans="1:79">
      <c r="A320">
        <v>319</v>
      </c>
      <c r="B320" s="2" t="s">
        <v>79</v>
      </c>
      <c r="C320" s="1" t="s">
        <v>80</v>
      </c>
      <c r="D320" s="1" t="s">
        <v>6270</v>
      </c>
      <c r="E320" s="1" t="s">
        <v>82</v>
      </c>
      <c r="F320" s="1" t="s">
        <v>82</v>
      </c>
      <c r="G320" s="1" t="s">
        <v>82</v>
      </c>
      <c r="H320" s="1" t="s">
        <v>6271</v>
      </c>
      <c r="I320" s="1" t="s">
        <v>82</v>
      </c>
      <c r="J320" s="1" t="s">
        <v>82</v>
      </c>
      <c r="K320" s="1" t="s">
        <v>6272</v>
      </c>
      <c r="L320" s="1" t="s">
        <v>6253</v>
      </c>
      <c r="M320" s="1">
        <v>5.168</v>
      </c>
      <c r="O320" s="1" t="s">
        <v>82</v>
      </c>
      <c r="P320" s="1" t="s">
        <v>82</v>
      </c>
      <c r="Q320" s="1" t="s">
        <v>87</v>
      </c>
      <c r="R320" s="1" t="s">
        <v>115</v>
      </c>
      <c r="S320" s="1" t="s">
        <v>82</v>
      </c>
      <c r="T320" s="1" t="s">
        <v>82</v>
      </c>
      <c r="U320" s="1" t="s">
        <v>82</v>
      </c>
      <c r="V320" s="1" t="s">
        <v>82</v>
      </c>
      <c r="W320" s="1" t="s">
        <v>82</v>
      </c>
      <c r="X320" s="1" t="s">
        <v>6273</v>
      </c>
      <c r="Y320" s="1" t="s">
        <v>6274</v>
      </c>
      <c r="Z320" s="1" t="s">
        <v>6275</v>
      </c>
      <c r="AB320" s="1" t="s">
        <v>6276</v>
      </c>
      <c r="AC320" s="1" t="s">
        <v>6277</v>
      </c>
      <c r="AD320" s="1" t="s">
        <v>206</v>
      </c>
      <c r="AE320" s="1" t="s">
        <v>6278</v>
      </c>
      <c r="AF320" s="1" t="s">
        <v>6279</v>
      </c>
      <c r="AG320" s="1" t="s">
        <v>6280</v>
      </c>
      <c r="AH320" s="1" t="s">
        <v>6281</v>
      </c>
      <c r="AI320" s="1" t="s">
        <v>6282</v>
      </c>
      <c r="AJ320" s="1" t="s">
        <v>6283</v>
      </c>
      <c r="AK320" s="1" t="s">
        <v>6284</v>
      </c>
      <c r="AL320" s="1" t="s">
        <v>6285</v>
      </c>
      <c r="AM320" s="1" t="s">
        <v>82</v>
      </c>
      <c r="AN320" s="1">
        <v>117</v>
      </c>
      <c r="AO320" s="1">
        <v>0</v>
      </c>
      <c r="AP320" s="1">
        <v>0</v>
      </c>
      <c r="AQ320" s="1">
        <v>0</v>
      </c>
      <c r="AR320" s="1">
        <v>0</v>
      </c>
      <c r="AS320" s="1" t="s">
        <v>2117</v>
      </c>
      <c r="AT320" s="1" t="s">
        <v>2118</v>
      </c>
      <c r="AU320" s="1" t="s">
        <v>2119</v>
      </c>
      <c r="AV320" s="1" t="s">
        <v>82</v>
      </c>
      <c r="AW320" s="1" t="s">
        <v>6265</v>
      </c>
      <c r="AX320" s="1" t="s">
        <v>82</v>
      </c>
      <c r="AY320" s="1" t="s">
        <v>6253</v>
      </c>
      <c r="AZ320" s="1" t="s">
        <v>6266</v>
      </c>
      <c r="BA320" s="1" t="s">
        <v>486</v>
      </c>
      <c r="BB320" s="1">
        <v>2022</v>
      </c>
      <c r="BC320" s="1">
        <v>11</v>
      </c>
      <c r="BD320" s="1">
        <v>11</v>
      </c>
      <c r="BE320" s="1" t="s">
        <v>82</v>
      </c>
      <c r="BF320" s="1" t="s">
        <v>82</v>
      </c>
      <c r="BG320" s="1" t="s">
        <v>82</v>
      </c>
      <c r="BH320" s="1" t="s">
        <v>82</v>
      </c>
      <c r="BI320" s="1" t="s">
        <v>82</v>
      </c>
      <c r="BJ320" s="1" t="s">
        <v>82</v>
      </c>
      <c r="BK320" s="1">
        <v>1660</v>
      </c>
      <c r="BL320" s="1" t="s">
        <v>6286</v>
      </c>
      <c r="BM320" s="1" t="str">
        <f>HYPERLINK("http://dx.doi.org/10.3390/biology11111660","http://dx.doi.org/10.3390/biology11111660")</f>
        <v>http://dx.doi.org/10.3390/biology11111660</v>
      </c>
      <c r="BN320" s="1" t="s">
        <v>82</v>
      </c>
      <c r="BO320" s="1" t="s">
        <v>82</v>
      </c>
      <c r="BP320" s="1">
        <v>29</v>
      </c>
      <c r="BQ320" s="1" t="s">
        <v>2317</v>
      </c>
      <c r="BR320" s="1" t="s">
        <v>104</v>
      </c>
      <c r="BS320" s="1" t="s">
        <v>2318</v>
      </c>
      <c r="BT320" s="1" t="s">
        <v>6287</v>
      </c>
      <c r="BU320" s="1">
        <v>36421373</v>
      </c>
      <c r="BV320" s="1" t="s">
        <v>635</v>
      </c>
      <c r="BW320" s="1" t="s">
        <v>82</v>
      </c>
      <c r="BX320" s="1" t="s">
        <v>82</v>
      </c>
      <c r="BY320" s="1" t="s">
        <v>108</v>
      </c>
      <c r="BZ320" s="1" t="s">
        <v>6288</v>
      </c>
      <c r="CA320" s="1" t="str">
        <f>HYPERLINK("https%3A%2F%2Fwww.webofscience.com%2Fwos%2Fwoscc%2Ffull-record%2FWOS:000894682400001","View Full Record in Web of Science")</f>
        <v>View Full Record in Web of Science</v>
      </c>
    </row>
    <row r="321" s="1" customFormat="1" ht="14.4" spans="1:79">
      <c r="A321">
        <v>320</v>
      </c>
      <c r="B321" s="2" t="s">
        <v>110</v>
      </c>
      <c r="C321" s="1" t="s">
        <v>80</v>
      </c>
      <c r="D321" s="1" t="s">
        <v>6289</v>
      </c>
      <c r="E321" s="1" t="s">
        <v>82</v>
      </c>
      <c r="F321" s="1" t="s">
        <v>82</v>
      </c>
      <c r="G321" s="1" t="s">
        <v>82</v>
      </c>
      <c r="H321" s="1" t="s">
        <v>6290</v>
      </c>
      <c r="I321" s="1" t="s">
        <v>82</v>
      </c>
      <c r="J321" s="1" t="s">
        <v>82</v>
      </c>
      <c r="K321" s="1" t="s">
        <v>6291</v>
      </c>
      <c r="L321" s="1" t="s">
        <v>6292</v>
      </c>
      <c r="M321" s="1">
        <v>5.168</v>
      </c>
      <c r="O321" s="1" t="s">
        <v>82</v>
      </c>
      <c r="P321" s="1" t="s">
        <v>82</v>
      </c>
      <c r="Q321" s="1" t="s">
        <v>87</v>
      </c>
      <c r="R321" s="1" t="s">
        <v>115</v>
      </c>
      <c r="S321" s="1" t="s">
        <v>82</v>
      </c>
      <c r="T321" s="1" t="s">
        <v>82</v>
      </c>
      <c r="U321" s="1" t="s">
        <v>82</v>
      </c>
      <c r="V321" s="1" t="s">
        <v>82</v>
      </c>
      <c r="W321" s="1" t="s">
        <v>82</v>
      </c>
      <c r="X321" s="1" t="s">
        <v>6293</v>
      </c>
      <c r="Y321" s="1" t="s">
        <v>6294</v>
      </c>
      <c r="Z321" s="1" t="s">
        <v>6295</v>
      </c>
      <c r="AB321" s="1" t="s">
        <v>6296</v>
      </c>
      <c r="AC321" s="1" t="s">
        <v>6297</v>
      </c>
      <c r="AD321" s="1" t="s">
        <v>120</v>
      </c>
      <c r="AE321" s="1" t="s">
        <v>6298</v>
      </c>
      <c r="AF321" s="1" t="s">
        <v>6299</v>
      </c>
      <c r="AG321" s="1" t="s">
        <v>6300</v>
      </c>
      <c r="AH321" s="1" t="s">
        <v>82</v>
      </c>
      <c r="AI321" s="1" t="s">
        <v>82</v>
      </c>
      <c r="AJ321" s="1" t="s">
        <v>6301</v>
      </c>
      <c r="AK321" s="1" t="s">
        <v>6302</v>
      </c>
      <c r="AL321" s="1" t="s">
        <v>6303</v>
      </c>
      <c r="AM321" s="1" t="s">
        <v>82</v>
      </c>
      <c r="AN321" s="1">
        <v>39</v>
      </c>
      <c r="AO321" s="1">
        <v>0</v>
      </c>
      <c r="AP321" s="1">
        <v>0</v>
      </c>
      <c r="AQ321" s="1">
        <v>14</v>
      </c>
      <c r="AR321" s="1">
        <v>14</v>
      </c>
      <c r="AS321" s="1" t="s">
        <v>5746</v>
      </c>
      <c r="AT321" s="1" t="s">
        <v>5747</v>
      </c>
      <c r="AU321" s="1" t="s">
        <v>5748</v>
      </c>
      <c r="AV321" s="1" t="s">
        <v>6304</v>
      </c>
      <c r="AW321" s="1" t="s">
        <v>6305</v>
      </c>
      <c r="AX321" s="1" t="s">
        <v>82</v>
      </c>
      <c r="AY321" s="1" t="s">
        <v>6306</v>
      </c>
      <c r="AZ321" s="1" t="s">
        <v>6307</v>
      </c>
      <c r="BA321" s="1" t="s">
        <v>1276</v>
      </c>
      <c r="BB321" s="1">
        <v>2022</v>
      </c>
      <c r="BC321" s="1">
        <v>367</v>
      </c>
      <c r="BD321" s="1" t="s">
        <v>82</v>
      </c>
      <c r="BE321" s="1" t="s">
        <v>82</v>
      </c>
      <c r="BF321" s="1" t="s">
        <v>82</v>
      </c>
      <c r="BG321" s="1" t="s">
        <v>82</v>
      </c>
      <c r="BH321" s="1" t="s">
        <v>82</v>
      </c>
      <c r="BI321" s="1" t="s">
        <v>82</v>
      </c>
      <c r="BJ321" s="1" t="s">
        <v>82</v>
      </c>
      <c r="BK321" s="1">
        <v>110199</v>
      </c>
      <c r="BL321" s="1" t="s">
        <v>6308</v>
      </c>
      <c r="BM321" s="1" t="str">
        <f>HYPERLINK("http://dx.doi.org/10.1016/j.cbi.2022.110199","http://dx.doi.org/10.1016/j.cbi.2022.110199")</f>
        <v>http://dx.doi.org/10.1016/j.cbi.2022.110199</v>
      </c>
      <c r="BN321" s="1" t="s">
        <v>82</v>
      </c>
      <c r="BO321" s="1" t="s">
        <v>82</v>
      </c>
      <c r="BP321" s="1">
        <v>8</v>
      </c>
      <c r="BQ321" s="1" t="s">
        <v>6309</v>
      </c>
      <c r="BR321" s="1" t="s">
        <v>104</v>
      </c>
      <c r="BS321" s="1" t="s">
        <v>6309</v>
      </c>
      <c r="BT321" s="1" t="s">
        <v>6310</v>
      </c>
      <c r="BU321" s="1">
        <v>36174740</v>
      </c>
      <c r="BV321" s="1" t="s">
        <v>82</v>
      </c>
      <c r="BW321" s="1" t="s">
        <v>82</v>
      </c>
      <c r="BX321" s="1" t="s">
        <v>82</v>
      </c>
      <c r="BY321" s="1" t="s">
        <v>108</v>
      </c>
      <c r="BZ321" s="1" t="s">
        <v>6311</v>
      </c>
      <c r="CA321" s="1" t="str">
        <f>HYPERLINK("https%3A%2F%2Fwww.webofscience.com%2Fwos%2Fwoscc%2Ffull-record%2FWOS:000868332500002","View Full Record in Web of Science")</f>
        <v>View Full Record in Web of Science</v>
      </c>
    </row>
    <row r="322" s="1" customFormat="1" ht="14.4" spans="1:79">
      <c r="A322">
        <v>321</v>
      </c>
      <c r="B322" s="2" t="s">
        <v>79</v>
      </c>
      <c r="C322" s="1" t="s">
        <v>80</v>
      </c>
      <c r="D322" s="1" t="s">
        <v>6312</v>
      </c>
      <c r="E322" s="1" t="s">
        <v>82</v>
      </c>
      <c r="F322" s="1" t="s">
        <v>82</v>
      </c>
      <c r="G322" s="1" t="s">
        <v>82</v>
      </c>
      <c r="H322" s="1" t="s">
        <v>6313</v>
      </c>
      <c r="I322" s="1" t="s">
        <v>82</v>
      </c>
      <c r="J322" s="1" t="s">
        <v>82</v>
      </c>
      <c r="K322" s="1" t="s">
        <v>6314</v>
      </c>
      <c r="L322" s="1" t="s">
        <v>6253</v>
      </c>
      <c r="M322" s="1">
        <v>5.168</v>
      </c>
      <c r="O322" s="1" t="s">
        <v>82</v>
      </c>
      <c r="P322" s="1" t="s">
        <v>82</v>
      </c>
      <c r="Q322" s="1" t="s">
        <v>87</v>
      </c>
      <c r="R322" s="1" t="s">
        <v>115</v>
      </c>
      <c r="S322" s="1" t="s">
        <v>82</v>
      </c>
      <c r="T322" s="1" t="s">
        <v>82</v>
      </c>
      <c r="U322" s="1" t="s">
        <v>82</v>
      </c>
      <c r="V322" s="1" t="s">
        <v>82</v>
      </c>
      <c r="W322" s="1" t="s">
        <v>82</v>
      </c>
      <c r="X322" s="1" t="s">
        <v>6315</v>
      </c>
      <c r="Y322" s="1" t="s">
        <v>6316</v>
      </c>
      <c r="Z322" s="1" t="s">
        <v>6317</v>
      </c>
      <c r="AA322" s="1">
        <v>1</v>
      </c>
      <c r="AB322" s="1" t="s">
        <v>4481</v>
      </c>
      <c r="AC322" s="1" t="s">
        <v>6318</v>
      </c>
      <c r="AD322" s="1" t="s">
        <v>93</v>
      </c>
      <c r="AE322" s="1" t="s">
        <v>1959</v>
      </c>
      <c r="AF322" s="1" t="s">
        <v>6319</v>
      </c>
      <c r="AG322" s="1" t="s">
        <v>6320</v>
      </c>
      <c r="AH322" s="1" t="s">
        <v>801</v>
      </c>
      <c r="AI322" s="1" t="s">
        <v>802</v>
      </c>
      <c r="AJ322" s="1" t="s">
        <v>6321</v>
      </c>
      <c r="AK322" s="1" t="s">
        <v>6322</v>
      </c>
      <c r="AL322" s="1" t="s">
        <v>6323</v>
      </c>
      <c r="AM322" s="1" t="s">
        <v>82</v>
      </c>
      <c r="AN322" s="1">
        <v>71</v>
      </c>
      <c r="AO322" s="1">
        <v>0</v>
      </c>
      <c r="AP322" s="1">
        <v>0</v>
      </c>
      <c r="AQ322" s="1">
        <v>2</v>
      </c>
      <c r="AR322" s="1">
        <v>2</v>
      </c>
      <c r="AS322" s="1" t="s">
        <v>2117</v>
      </c>
      <c r="AT322" s="1" t="s">
        <v>2118</v>
      </c>
      <c r="AU322" s="1" t="s">
        <v>2119</v>
      </c>
      <c r="AV322" s="1" t="s">
        <v>82</v>
      </c>
      <c r="AW322" s="1" t="s">
        <v>6265</v>
      </c>
      <c r="AX322" s="1" t="s">
        <v>82</v>
      </c>
      <c r="AY322" s="1" t="s">
        <v>6253</v>
      </c>
      <c r="AZ322" s="1" t="s">
        <v>6266</v>
      </c>
      <c r="BA322" s="1" t="s">
        <v>1146</v>
      </c>
      <c r="BB322" s="1">
        <v>2022</v>
      </c>
      <c r="BC322" s="1">
        <v>11</v>
      </c>
      <c r="BD322" s="1">
        <v>6</v>
      </c>
      <c r="BE322" s="1" t="s">
        <v>82</v>
      </c>
      <c r="BF322" s="1" t="s">
        <v>82</v>
      </c>
      <c r="BG322" s="1" t="s">
        <v>82</v>
      </c>
      <c r="BH322" s="1" t="s">
        <v>82</v>
      </c>
      <c r="BI322" s="1" t="s">
        <v>82</v>
      </c>
      <c r="BJ322" s="1" t="s">
        <v>82</v>
      </c>
      <c r="BK322" s="1">
        <v>889</v>
      </c>
      <c r="BL322" s="1" t="s">
        <v>6324</v>
      </c>
      <c r="BM322" s="1" t="str">
        <f>HYPERLINK("http://dx.doi.org/10.3390/biology11060889","http://dx.doi.org/10.3390/biology11060889")</f>
        <v>http://dx.doi.org/10.3390/biology11060889</v>
      </c>
      <c r="BN322" s="1" t="s">
        <v>82</v>
      </c>
      <c r="BO322" s="1" t="s">
        <v>82</v>
      </c>
      <c r="BP322" s="1">
        <v>18</v>
      </c>
      <c r="BQ322" s="1" t="s">
        <v>2317</v>
      </c>
      <c r="BR322" s="1" t="s">
        <v>104</v>
      </c>
      <c r="BS322" s="1" t="s">
        <v>2318</v>
      </c>
      <c r="BT322" s="1" t="s">
        <v>6325</v>
      </c>
      <c r="BU322" s="1">
        <v>35741409</v>
      </c>
      <c r="BV322" s="1" t="s">
        <v>592</v>
      </c>
      <c r="BW322" s="1" t="s">
        <v>82</v>
      </c>
      <c r="BX322" s="1" t="s">
        <v>82</v>
      </c>
      <c r="BY322" s="1" t="s">
        <v>108</v>
      </c>
      <c r="BZ322" s="1" t="s">
        <v>6326</v>
      </c>
      <c r="CA322" s="1" t="str">
        <f>HYPERLINK("https%3A%2F%2Fwww.webofscience.com%2Fwos%2Fwoscc%2Ffull-record%2FWOS:000818200200001","View Full Record in Web of Science")</f>
        <v>View Full Record in Web of Science</v>
      </c>
    </row>
    <row r="323" s="1" customFormat="1" ht="14.4" spans="1:79">
      <c r="A323">
        <v>322</v>
      </c>
      <c r="B323" s="2" t="s">
        <v>79</v>
      </c>
      <c r="C323" s="1" t="s">
        <v>80</v>
      </c>
      <c r="D323" s="1" t="s">
        <v>6327</v>
      </c>
      <c r="E323" s="1" t="s">
        <v>82</v>
      </c>
      <c r="F323" s="1" t="s">
        <v>82</v>
      </c>
      <c r="G323" s="1" t="s">
        <v>82</v>
      </c>
      <c r="H323" s="1" t="s">
        <v>6328</v>
      </c>
      <c r="I323" s="1" t="s">
        <v>82</v>
      </c>
      <c r="J323" s="1" t="s">
        <v>82</v>
      </c>
      <c r="K323" s="1" t="s">
        <v>6329</v>
      </c>
      <c r="L323" s="1" t="s">
        <v>6330</v>
      </c>
      <c r="M323" s="1">
        <v>5.152</v>
      </c>
      <c r="O323" s="1" t="s">
        <v>82</v>
      </c>
      <c r="P323" s="1" t="s">
        <v>82</v>
      </c>
      <c r="Q323" s="1" t="s">
        <v>87</v>
      </c>
      <c r="R323" s="1" t="s">
        <v>115</v>
      </c>
      <c r="S323" s="1" t="s">
        <v>82</v>
      </c>
      <c r="T323" s="1" t="s">
        <v>82</v>
      </c>
      <c r="U323" s="1" t="s">
        <v>82</v>
      </c>
      <c r="V323" s="1" t="s">
        <v>82</v>
      </c>
      <c r="W323" s="1" t="s">
        <v>82</v>
      </c>
      <c r="X323" s="1" t="s">
        <v>6331</v>
      </c>
      <c r="Y323" s="1" t="s">
        <v>6332</v>
      </c>
      <c r="Z323" s="1" t="s">
        <v>6333</v>
      </c>
      <c r="AB323" s="1" t="s">
        <v>6334</v>
      </c>
      <c r="AC323" s="1" t="s">
        <v>6335</v>
      </c>
      <c r="AD323" s="1" t="s">
        <v>120</v>
      </c>
      <c r="AE323" s="1" t="s">
        <v>6336</v>
      </c>
      <c r="AF323" s="1" t="s">
        <v>6337</v>
      </c>
      <c r="AG323" s="1" t="s">
        <v>6338</v>
      </c>
      <c r="AH323" s="1" t="s">
        <v>82</v>
      </c>
      <c r="AI323" s="1" t="s">
        <v>82</v>
      </c>
      <c r="AJ323" s="1" t="s">
        <v>82</v>
      </c>
      <c r="AK323" s="1" t="s">
        <v>82</v>
      </c>
      <c r="AL323" s="1" t="s">
        <v>82</v>
      </c>
      <c r="AM323" s="1" t="s">
        <v>82</v>
      </c>
      <c r="AN323" s="1">
        <v>70</v>
      </c>
      <c r="AO323" s="1">
        <v>0</v>
      </c>
      <c r="AP323" s="1">
        <v>0</v>
      </c>
      <c r="AQ323" s="1">
        <v>1</v>
      </c>
      <c r="AR323" s="1">
        <v>1</v>
      </c>
      <c r="AS323" s="1" t="s">
        <v>2958</v>
      </c>
      <c r="AT323" s="1" t="s">
        <v>2959</v>
      </c>
      <c r="AU323" s="1" t="s">
        <v>2960</v>
      </c>
      <c r="AV323" s="1" t="s">
        <v>82</v>
      </c>
      <c r="AW323" s="1" t="s">
        <v>6339</v>
      </c>
      <c r="AX323" s="1" t="s">
        <v>82</v>
      </c>
      <c r="AY323" s="1" t="s">
        <v>6340</v>
      </c>
      <c r="AZ323" s="1" t="s">
        <v>6341</v>
      </c>
      <c r="BA323" s="1" t="s">
        <v>1193</v>
      </c>
      <c r="BB323" s="1">
        <v>2022</v>
      </c>
      <c r="BC323" s="1">
        <v>16</v>
      </c>
      <c r="BD323" s="1" t="s">
        <v>82</v>
      </c>
      <c r="BE323" s="1" t="s">
        <v>82</v>
      </c>
      <c r="BF323" s="1" t="s">
        <v>82</v>
      </c>
      <c r="BG323" s="1" t="s">
        <v>82</v>
      </c>
      <c r="BH323" s="1" t="s">
        <v>82</v>
      </c>
      <c r="BI323" s="1" t="s">
        <v>82</v>
      </c>
      <c r="BJ323" s="1" t="s">
        <v>82</v>
      </c>
      <c r="BK323" s="1">
        <v>1071068</v>
      </c>
      <c r="BL323" s="1" t="s">
        <v>6342</v>
      </c>
      <c r="BM323" s="1" t="str">
        <f>HYPERLINK("http://dx.doi.org/10.3389/fnins.2022.1071068","http://dx.doi.org/10.3389/fnins.2022.1071068")</f>
        <v>http://dx.doi.org/10.3389/fnins.2022.1071068</v>
      </c>
      <c r="BN323" s="1" t="s">
        <v>82</v>
      </c>
      <c r="BO323" s="1" t="s">
        <v>82</v>
      </c>
      <c r="BP323" s="1">
        <v>13</v>
      </c>
      <c r="BQ323" s="1" t="s">
        <v>6343</v>
      </c>
      <c r="BR323" s="1" t="s">
        <v>104</v>
      </c>
      <c r="BS323" s="1" t="s">
        <v>6344</v>
      </c>
      <c r="BT323" s="1" t="s">
        <v>6345</v>
      </c>
      <c r="BU323" s="1">
        <v>36590289</v>
      </c>
      <c r="BV323" s="1" t="s">
        <v>635</v>
      </c>
      <c r="BW323" s="1" t="s">
        <v>82</v>
      </c>
      <c r="BX323" s="1" t="s">
        <v>82</v>
      </c>
      <c r="BY323" s="1" t="s">
        <v>108</v>
      </c>
      <c r="BZ323" s="1" t="s">
        <v>6346</v>
      </c>
      <c r="CA323" s="1" t="str">
        <f>HYPERLINK("https%3A%2F%2Fwww.webofscience.com%2Fwos%2Fwoscc%2Ffull-record%2FWOS:000905494700001","View Full Record in Web of Science")</f>
        <v>View Full Record in Web of Science</v>
      </c>
    </row>
    <row r="324" s="1" customFormat="1" ht="14.4" spans="1:79">
      <c r="A324">
        <v>323</v>
      </c>
      <c r="B324" s="2" t="s">
        <v>79</v>
      </c>
      <c r="C324" s="1" t="s">
        <v>80</v>
      </c>
      <c r="D324" s="1" t="s">
        <v>6347</v>
      </c>
      <c r="E324" s="1" t="s">
        <v>82</v>
      </c>
      <c r="F324" s="1" t="s">
        <v>82</v>
      </c>
      <c r="G324" s="1" t="s">
        <v>82</v>
      </c>
      <c r="H324" s="1" t="s">
        <v>6348</v>
      </c>
      <c r="I324" s="1" t="s">
        <v>82</v>
      </c>
      <c r="J324" s="1" t="s">
        <v>82</v>
      </c>
      <c r="K324" s="1" t="s">
        <v>6349</v>
      </c>
      <c r="L324" s="1" t="s">
        <v>6350</v>
      </c>
      <c r="M324" s="1">
        <v>5.092</v>
      </c>
      <c r="O324" s="1" t="s">
        <v>82</v>
      </c>
      <c r="P324" s="1" t="s">
        <v>82</v>
      </c>
      <c r="Q324" s="1" t="s">
        <v>87</v>
      </c>
      <c r="R324" s="1" t="s">
        <v>115</v>
      </c>
      <c r="S324" s="1" t="s">
        <v>82</v>
      </c>
      <c r="T324" s="1" t="s">
        <v>82</v>
      </c>
      <c r="U324" s="1" t="s">
        <v>82</v>
      </c>
      <c r="V324" s="1" t="s">
        <v>82</v>
      </c>
      <c r="W324" s="1" t="s">
        <v>82</v>
      </c>
      <c r="X324" s="1" t="s">
        <v>82</v>
      </c>
      <c r="Y324" s="1" t="s">
        <v>6351</v>
      </c>
      <c r="Z324" s="1" t="s">
        <v>6352</v>
      </c>
      <c r="AA324" s="1">
        <v>1</v>
      </c>
      <c r="AB324" s="1" t="s">
        <v>6353</v>
      </c>
      <c r="AC324" s="1" t="s">
        <v>6354</v>
      </c>
      <c r="AD324" s="1" t="s">
        <v>93</v>
      </c>
      <c r="AE324" s="1" t="s">
        <v>6355</v>
      </c>
      <c r="AF324" s="1" t="s">
        <v>6356</v>
      </c>
      <c r="AG324" s="1" t="s">
        <v>6357</v>
      </c>
      <c r="AH324" s="1" t="s">
        <v>6358</v>
      </c>
      <c r="AI324" s="1" t="s">
        <v>6359</v>
      </c>
      <c r="AJ324" s="1" t="s">
        <v>6360</v>
      </c>
      <c r="AK324" s="1" t="s">
        <v>6361</v>
      </c>
      <c r="AL324" s="1" t="s">
        <v>6362</v>
      </c>
      <c r="AM324" s="1" t="s">
        <v>82</v>
      </c>
      <c r="AN324" s="1">
        <v>55</v>
      </c>
      <c r="AO324" s="1">
        <v>0</v>
      </c>
      <c r="AP324" s="1">
        <v>0</v>
      </c>
      <c r="AQ324" s="1">
        <v>20</v>
      </c>
      <c r="AR324" s="1">
        <v>20</v>
      </c>
      <c r="AS324" s="1" t="s">
        <v>6363</v>
      </c>
      <c r="AT324" s="1" t="s">
        <v>6364</v>
      </c>
      <c r="AU324" s="1" t="s">
        <v>6365</v>
      </c>
      <c r="AV324" s="1" t="s">
        <v>6366</v>
      </c>
      <c r="AW324" s="1" t="s">
        <v>6367</v>
      </c>
      <c r="AX324" s="1" t="s">
        <v>82</v>
      </c>
      <c r="AY324" s="1" t="s">
        <v>6350</v>
      </c>
      <c r="AZ324" s="1" t="s">
        <v>6368</v>
      </c>
      <c r="BA324" s="1" t="s">
        <v>6369</v>
      </c>
      <c r="BB324" s="1">
        <v>2022</v>
      </c>
      <c r="BC324" s="1">
        <v>19</v>
      </c>
      <c r="BD324" s="1">
        <v>19</v>
      </c>
      <c r="BE324" s="1" t="s">
        <v>82</v>
      </c>
      <c r="BF324" s="1" t="s">
        <v>82</v>
      </c>
      <c r="BG324" s="1" t="s">
        <v>82</v>
      </c>
      <c r="BH324" s="1" t="s">
        <v>82</v>
      </c>
      <c r="BI324" s="1">
        <v>4801</v>
      </c>
      <c r="BJ324" s="1">
        <v>4810</v>
      </c>
      <c r="BK324" s="1" t="s">
        <v>82</v>
      </c>
      <c r="BL324" s="1" t="s">
        <v>6370</v>
      </c>
      <c r="BM324" s="1" t="str">
        <f>HYPERLINK("http://dx.doi.org/10.5194/bg-19-4801-2022","http://dx.doi.org/10.5194/bg-19-4801-2022")</f>
        <v>http://dx.doi.org/10.5194/bg-19-4801-2022</v>
      </c>
      <c r="BN324" s="1" t="s">
        <v>82</v>
      </c>
      <c r="BO324" s="1" t="s">
        <v>82</v>
      </c>
      <c r="BP324" s="1">
        <v>10</v>
      </c>
      <c r="BQ324" s="1" t="s">
        <v>6371</v>
      </c>
      <c r="BR324" s="1" t="s">
        <v>104</v>
      </c>
      <c r="BS324" s="1" t="s">
        <v>6372</v>
      </c>
      <c r="BT324" s="1" t="s">
        <v>6373</v>
      </c>
      <c r="BU324" s="1" t="s">
        <v>82</v>
      </c>
      <c r="BV324" s="1" t="s">
        <v>6374</v>
      </c>
      <c r="BW324" s="1" t="s">
        <v>82</v>
      </c>
      <c r="BX324" s="1" t="s">
        <v>82</v>
      </c>
      <c r="BY324" s="1" t="s">
        <v>108</v>
      </c>
      <c r="BZ324" s="1" t="s">
        <v>6375</v>
      </c>
      <c r="CA324" s="1" t="str">
        <f>HYPERLINK("https%3A%2F%2Fwww.webofscience.com%2Fwos%2Fwoscc%2Ffull-record%2FWOS:000866153900001","View Full Record in Web of Science")</f>
        <v>View Full Record in Web of Science</v>
      </c>
    </row>
    <row r="325" s="1" customFormat="1" ht="14.4" spans="1:79">
      <c r="A325">
        <v>324</v>
      </c>
      <c r="B325" s="2" t="s">
        <v>110</v>
      </c>
      <c r="C325" s="1" t="s">
        <v>80</v>
      </c>
      <c r="D325" s="1" t="s">
        <v>6376</v>
      </c>
      <c r="E325" s="1" t="s">
        <v>82</v>
      </c>
      <c r="F325" s="1" t="s">
        <v>82</v>
      </c>
      <c r="G325" s="1" t="s">
        <v>82</v>
      </c>
      <c r="H325" s="1" t="s">
        <v>6377</v>
      </c>
      <c r="I325" s="1" t="s">
        <v>82</v>
      </c>
      <c r="J325" s="1" t="s">
        <v>82</v>
      </c>
      <c r="K325" s="1" t="s">
        <v>6378</v>
      </c>
      <c r="L325" s="1" t="s">
        <v>6379</v>
      </c>
      <c r="M325" s="1">
        <v>5.058</v>
      </c>
      <c r="O325" s="1" t="s">
        <v>82</v>
      </c>
      <c r="P325" s="1" t="s">
        <v>82</v>
      </c>
      <c r="Q325" s="1" t="s">
        <v>87</v>
      </c>
      <c r="R325" s="1" t="s">
        <v>200</v>
      </c>
      <c r="S325" s="1" t="s">
        <v>82</v>
      </c>
      <c r="T325" s="1" t="s">
        <v>82</v>
      </c>
      <c r="U325" s="1" t="s">
        <v>82</v>
      </c>
      <c r="V325" s="1" t="s">
        <v>82</v>
      </c>
      <c r="W325" s="1" t="s">
        <v>82</v>
      </c>
      <c r="X325" s="1" t="s">
        <v>6380</v>
      </c>
      <c r="Y325" s="1" t="s">
        <v>6381</v>
      </c>
      <c r="Z325" s="1" t="s">
        <v>6382</v>
      </c>
      <c r="AB325" s="1" t="s">
        <v>4012</v>
      </c>
      <c r="AC325" s="1" t="s">
        <v>6383</v>
      </c>
      <c r="AD325" s="1" t="s">
        <v>120</v>
      </c>
      <c r="AE325" s="1" t="s">
        <v>6384</v>
      </c>
      <c r="AF325" s="1" t="s">
        <v>6385</v>
      </c>
      <c r="AG325" s="1" t="s">
        <v>4016</v>
      </c>
      <c r="AH325" s="1" t="s">
        <v>4017</v>
      </c>
      <c r="AI325" s="1" t="s">
        <v>6386</v>
      </c>
      <c r="AJ325" s="1" t="s">
        <v>6387</v>
      </c>
      <c r="AK325" s="1" t="s">
        <v>6387</v>
      </c>
      <c r="AL325" s="1" t="s">
        <v>6388</v>
      </c>
      <c r="AM325" s="1" t="s">
        <v>82</v>
      </c>
      <c r="AN325" s="1">
        <v>173</v>
      </c>
      <c r="AO325" s="1">
        <v>3</v>
      </c>
      <c r="AP325" s="1">
        <v>3</v>
      </c>
      <c r="AQ325" s="1">
        <v>13</v>
      </c>
      <c r="AR325" s="1">
        <v>31</v>
      </c>
      <c r="AS325" s="1" t="s">
        <v>2958</v>
      </c>
      <c r="AT325" s="1" t="s">
        <v>2959</v>
      </c>
      <c r="AU325" s="1" t="s">
        <v>2960</v>
      </c>
      <c r="AV325" s="1" t="s">
        <v>82</v>
      </c>
      <c r="AW325" s="1" t="s">
        <v>6389</v>
      </c>
      <c r="AX325" s="1" t="s">
        <v>82</v>
      </c>
      <c r="AY325" s="1" t="s">
        <v>6390</v>
      </c>
      <c r="AZ325" s="1" t="s">
        <v>6391</v>
      </c>
      <c r="BA325" s="1" t="s">
        <v>6392</v>
      </c>
      <c r="BB325" s="1">
        <v>2022</v>
      </c>
      <c r="BC325" s="1">
        <v>8</v>
      </c>
      <c r="BD325" s="1" t="s">
        <v>82</v>
      </c>
      <c r="BE325" s="1" t="s">
        <v>82</v>
      </c>
      <c r="BF325" s="1" t="s">
        <v>82</v>
      </c>
      <c r="BG325" s="1" t="s">
        <v>82</v>
      </c>
      <c r="BH325" s="1" t="s">
        <v>82</v>
      </c>
      <c r="BI325" s="1" t="s">
        <v>82</v>
      </c>
      <c r="BJ325" s="1" t="s">
        <v>82</v>
      </c>
      <c r="BK325" s="1">
        <v>815075</v>
      </c>
      <c r="BL325" s="1" t="s">
        <v>6393</v>
      </c>
      <c r="BM325" s="1" t="str">
        <f>HYPERLINK("http://dx.doi.org/10.3389/fmed.2021.815075","http://dx.doi.org/10.3389/fmed.2021.815075")</f>
        <v>http://dx.doi.org/10.3389/fmed.2021.815075</v>
      </c>
      <c r="BN325" s="1" t="s">
        <v>82</v>
      </c>
      <c r="BO325" s="1" t="s">
        <v>82</v>
      </c>
      <c r="BP325" s="1">
        <v>14</v>
      </c>
      <c r="BQ325" s="1" t="s">
        <v>6394</v>
      </c>
      <c r="BR325" s="1" t="s">
        <v>104</v>
      </c>
      <c r="BS325" s="1" t="s">
        <v>6395</v>
      </c>
      <c r="BT325" s="1" t="s">
        <v>6396</v>
      </c>
      <c r="BU325" s="1">
        <v>35111787</v>
      </c>
      <c r="BV325" s="1" t="s">
        <v>635</v>
      </c>
      <c r="BW325" s="1" t="s">
        <v>82</v>
      </c>
      <c r="BX325" s="1" t="s">
        <v>82</v>
      </c>
      <c r="BY325" s="1" t="s">
        <v>108</v>
      </c>
      <c r="BZ325" s="1" t="s">
        <v>6397</v>
      </c>
      <c r="CA325" s="1" t="str">
        <f>HYPERLINK("https%3A%2F%2Fwww.webofscience.com%2Fwos%2Fwoscc%2Ffull-record%2FWOS:000749877100001","View Full Record in Web of Science")</f>
        <v>View Full Record in Web of Science</v>
      </c>
    </row>
    <row r="326" s="1" customFormat="1" ht="14.4" spans="1:79">
      <c r="A326">
        <v>325</v>
      </c>
      <c r="B326" s="2" t="s">
        <v>79</v>
      </c>
      <c r="C326" s="1" t="s">
        <v>80</v>
      </c>
      <c r="D326" s="1" t="s">
        <v>6398</v>
      </c>
      <c r="E326" s="1" t="s">
        <v>82</v>
      </c>
      <c r="F326" s="1" t="s">
        <v>82</v>
      </c>
      <c r="G326" s="1" t="s">
        <v>82</v>
      </c>
      <c r="H326" s="1" t="s">
        <v>6399</v>
      </c>
      <c r="I326" s="1" t="s">
        <v>82</v>
      </c>
      <c r="J326" s="1" t="s">
        <v>82</v>
      </c>
      <c r="K326" s="1" t="s">
        <v>6400</v>
      </c>
      <c r="L326" s="1" t="s">
        <v>6401</v>
      </c>
      <c r="M326" s="1">
        <v>5.04</v>
      </c>
      <c r="O326" s="1" t="s">
        <v>82</v>
      </c>
      <c r="P326" s="1" t="s">
        <v>82</v>
      </c>
      <c r="Q326" s="1" t="s">
        <v>87</v>
      </c>
      <c r="R326" s="1" t="s">
        <v>1624</v>
      </c>
      <c r="S326" s="1" t="s">
        <v>82</v>
      </c>
      <c r="T326" s="1" t="s">
        <v>82</v>
      </c>
      <c r="U326" s="1" t="s">
        <v>82</v>
      </c>
      <c r="V326" s="1" t="s">
        <v>82</v>
      </c>
      <c r="W326" s="1" t="s">
        <v>82</v>
      </c>
      <c r="X326" s="1" t="s">
        <v>6402</v>
      </c>
      <c r="Y326" s="1" t="s">
        <v>6403</v>
      </c>
      <c r="Z326" s="1" t="s">
        <v>6404</v>
      </c>
      <c r="AA326" s="1">
        <v>1</v>
      </c>
      <c r="AB326" s="1" t="s">
        <v>3403</v>
      </c>
      <c r="AC326" s="1" t="s">
        <v>6405</v>
      </c>
      <c r="AD326" s="1" t="s">
        <v>93</v>
      </c>
      <c r="AE326" s="1" t="s">
        <v>6406</v>
      </c>
      <c r="AF326" s="1" t="s">
        <v>6407</v>
      </c>
      <c r="AG326" s="1" t="s">
        <v>6408</v>
      </c>
      <c r="AH326" s="1" t="s">
        <v>82</v>
      </c>
      <c r="AI326" s="1" t="s">
        <v>82</v>
      </c>
      <c r="AJ326" s="1" t="s">
        <v>82</v>
      </c>
      <c r="AK326" s="1" t="s">
        <v>82</v>
      </c>
      <c r="AL326" s="1" t="s">
        <v>82</v>
      </c>
      <c r="AM326" s="1" t="s">
        <v>82</v>
      </c>
      <c r="AN326" s="1">
        <v>83</v>
      </c>
      <c r="AO326" s="1">
        <v>0</v>
      </c>
      <c r="AP326" s="1">
        <v>0</v>
      </c>
      <c r="AQ326" s="1">
        <v>6</v>
      </c>
      <c r="AR326" s="1">
        <v>6</v>
      </c>
      <c r="AS326" s="1" t="s">
        <v>328</v>
      </c>
      <c r="AT326" s="1" t="s">
        <v>329</v>
      </c>
      <c r="AU326" s="1" t="s">
        <v>330</v>
      </c>
      <c r="AV326" s="1" t="s">
        <v>6409</v>
      </c>
      <c r="AW326" s="1" t="s">
        <v>6410</v>
      </c>
      <c r="AX326" s="1" t="s">
        <v>82</v>
      </c>
      <c r="AY326" s="1" t="s">
        <v>6411</v>
      </c>
      <c r="AZ326" s="1" t="s">
        <v>6412</v>
      </c>
      <c r="BA326" s="1" t="s">
        <v>82</v>
      </c>
      <c r="BB326" s="1" t="s">
        <v>82</v>
      </c>
      <c r="BC326" s="1" t="s">
        <v>82</v>
      </c>
      <c r="BD326" s="1" t="s">
        <v>82</v>
      </c>
      <c r="BE326" s="1" t="s">
        <v>82</v>
      </c>
      <c r="BF326" s="1" t="s">
        <v>82</v>
      </c>
      <c r="BG326" s="1" t="s">
        <v>82</v>
      </c>
      <c r="BH326" s="1" t="s">
        <v>82</v>
      </c>
      <c r="BI326" s="1" t="s">
        <v>82</v>
      </c>
      <c r="BJ326" s="1" t="s">
        <v>82</v>
      </c>
      <c r="BK326" s="1" t="s">
        <v>82</v>
      </c>
      <c r="BL326" s="1" t="s">
        <v>6413</v>
      </c>
      <c r="BM326" s="1" t="str">
        <f>HYPERLINK("http://dx.doi.org/10.1093/aob/mcac144","http://dx.doi.org/10.1093/aob/mcac144")</f>
        <v>http://dx.doi.org/10.1093/aob/mcac144</v>
      </c>
      <c r="BN326" s="1" t="s">
        <v>82</v>
      </c>
      <c r="BO326" s="1" t="s">
        <v>870</v>
      </c>
      <c r="BP326" s="1">
        <v>12</v>
      </c>
      <c r="BQ326" s="1" t="s">
        <v>378</v>
      </c>
      <c r="BR326" s="1" t="s">
        <v>104</v>
      </c>
      <c r="BS326" s="1" t="s">
        <v>378</v>
      </c>
      <c r="BT326" s="1" t="s">
        <v>6414</v>
      </c>
      <c r="BU326" s="1">
        <v>36434782</v>
      </c>
      <c r="BV326" s="1" t="s">
        <v>82</v>
      </c>
      <c r="BW326" s="1" t="s">
        <v>82</v>
      </c>
      <c r="BX326" s="1" t="s">
        <v>82</v>
      </c>
      <c r="BY326" s="1" t="s">
        <v>108</v>
      </c>
      <c r="BZ326" s="1" t="s">
        <v>6415</v>
      </c>
      <c r="CA326" s="1" t="str">
        <f>HYPERLINK("https%3A%2F%2Fwww.webofscience.com%2Fwos%2Fwoscc%2Ffull-record%2FWOS:000905249200001","View Full Record in Web of Science")</f>
        <v>View Full Record in Web of Science</v>
      </c>
    </row>
    <row r="327" s="1" customFormat="1" ht="14.4" spans="1:79">
      <c r="A327">
        <v>326</v>
      </c>
      <c r="B327" s="2" t="s">
        <v>79</v>
      </c>
      <c r="C327" s="1" t="s">
        <v>80</v>
      </c>
      <c r="D327" s="1" t="s">
        <v>6416</v>
      </c>
      <c r="E327" s="1" t="s">
        <v>82</v>
      </c>
      <c r="F327" s="1" t="s">
        <v>82</v>
      </c>
      <c r="G327" s="1" t="s">
        <v>82</v>
      </c>
      <c r="H327" s="1" t="s">
        <v>6417</v>
      </c>
      <c r="I327" s="1" t="s">
        <v>82</v>
      </c>
      <c r="J327" s="1" t="s">
        <v>82</v>
      </c>
      <c r="K327" s="1" t="s">
        <v>6418</v>
      </c>
      <c r="L327" s="1" t="s">
        <v>6401</v>
      </c>
      <c r="M327" s="1">
        <v>5.04</v>
      </c>
      <c r="O327" s="1" t="s">
        <v>82</v>
      </c>
      <c r="P327" s="1" t="s">
        <v>82</v>
      </c>
      <c r="Q327" s="1" t="s">
        <v>87</v>
      </c>
      <c r="R327" s="1" t="s">
        <v>115</v>
      </c>
      <c r="S327" s="1" t="s">
        <v>82</v>
      </c>
      <c r="T327" s="1" t="s">
        <v>82</v>
      </c>
      <c r="U327" s="1" t="s">
        <v>82</v>
      </c>
      <c r="V327" s="1" t="s">
        <v>82</v>
      </c>
      <c r="W327" s="1" t="s">
        <v>82</v>
      </c>
      <c r="X327" s="1" t="s">
        <v>6419</v>
      </c>
      <c r="Y327" s="1" t="s">
        <v>6420</v>
      </c>
      <c r="Z327" s="1" t="s">
        <v>6421</v>
      </c>
      <c r="AA327" s="1">
        <v>1</v>
      </c>
      <c r="AB327" s="1" t="s">
        <v>6422</v>
      </c>
      <c r="AC327" s="1" t="s">
        <v>6423</v>
      </c>
      <c r="AD327" s="1" t="s">
        <v>93</v>
      </c>
      <c r="AE327" s="1" t="s">
        <v>3356</v>
      </c>
      <c r="AF327" s="1" t="s">
        <v>6424</v>
      </c>
      <c r="AG327" s="1" t="s">
        <v>6425</v>
      </c>
      <c r="AH327" s="1" t="s">
        <v>2307</v>
      </c>
      <c r="AI327" s="1" t="s">
        <v>3486</v>
      </c>
      <c r="AJ327" s="1" t="s">
        <v>6426</v>
      </c>
      <c r="AK327" s="1" t="s">
        <v>6427</v>
      </c>
      <c r="AL327" s="1" t="s">
        <v>6428</v>
      </c>
      <c r="AM327" s="1" t="s">
        <v>82</v>
      </c>
      <c r="AN327" s="1">
        <v>90</v>
      </c>
      <c r="AO327" s="1">
        <v>0</v>
      </c>
      <c r="AP327" s="1">
        <v>0</v>
      </c>
      <c r="AQ327" s="1">
        <v>55</v>
      </c>
      <c r="AR327" s="1">
        <v>55</v>
      </c>
      <c r="AS327" s="1" t="s">
        <v>328</v>
      </c>
      <c r="AT327" s="1" t="s">
        <v>329</v>
      </c>
      <c r="AU327" s="1" t="s">
        <v>330</v>
      </c>
      <c r="AV327" s="1" t="s">
        <v>6409</v>
      </c>
      <c r="AW327" s="1" t="s">
        <v>6410</v>
      </c>
      <c r="AX327" s="1" t="s">
        <v>82</v>
      </c>
      <c r="AY327" s="1" t="s">
        <v>6411</v>
      </c>
      <c r="AZ327" s="1" t="s">
        <v>6412</v>
      </c>
      <c r="BA327" s="1" t="s">
        <v>4407</v>
      </c>
      <c r="BB327" s="1">
        <v>2022</v>
      </c>
      <c r="BC327" s="1">
        <v>130</v>
      </c>
      <c r="BD327" s="1">
        <v>5</v>
      </c>
      <c r="BE327" s="1" t="s">
        <v>82</v>
      </c>
      <c r="BF327" s="1" t="s">
        <v>82</v>
      </c>
      <c r="BG327" s="1" t="s">
        <v>82</v>
      </c>
      <c r="BH327" s="1" t="s">
        <v>82</v>
      </c>
      <c r="BI327" s="1">
        <v>687</v>
      </c>
      <c r="BJ327" s="1">
        <v>701</v>
      </c>
      <c r="BK327" s="1" t="s">
        <v>82</v>
      </c>
      <c r="BL327" s="1" t="s">
        <v>6429</v>
      </c>
      <c r="BM327" s="1" t="str">
        <f>HYPERLINK("http://dx.doi.org/10.1093/aob/mcac114","http://dx.doi.org/10.1093/aob/mcac114")</f>
        <v>http://dx.doi.org/10.1093/aob/mcac114</v>
      </c>
      <c r="BN327" s="1" t="s">
        <v>82</v>
      </c>
      <c r="BO327" s="1" t="s">
        <v>224</v>
      </c>
      <c r="BP327" s="1">
        <v>15</v>
      </c>
      <c r="BQ327" s="1" t="s">
        <v>378</v>
      </c>
      <c r="BR327" s="1" t="s">
        <v>104</v>
      </c>
      <c r="BS327" s="1" t="s">
        <v>378</v>
      </c>
      <c r="BT327" s="1" t="s">
        <v>6430</v>
      </c>
      <c r="BU327" s="1">
        <v>36087101</v>
      </c>
      <c r="BV327" s="1" t="s">
        <v>353</v>
      </c>
      <c r="BW327" s="1" t="s">
        <v>82</v>
      </c>
      <c r="BX327" s="1" t="s">
        <v>82</v>
      </c>
      <c r="BY327" s="1" t="s">
        <v>108</v>
      </c>
      <c r="BZ327" s="1" t="s">
        <v>6431</v>
      </c>
      <c r="CA327" s="1" t="str">
        <f>HYPERLINK("https%3A%2F%2Fwww.webofscience.com%2Fwos%2Fwoscc%2Ffull-record%2FWOS:000864758400001","View Full Record in Web of Science")</f>
        <v>View Full Record in Web of Science</v>
      </c>
    </row>
    <row r="328" s="1" customFormat="1" ht="14.4" spans="1:79">
      <c r="A328">
        <v>327</v>
      </c>
      <c r="B328" s="2" t="s">
        <v>79</v>
      </c>
      <c r="C328" s="1" t="s">
        <v>80</v>
      </c>
      <c r="D328" s="1" t="s">
        <v>6432</v>
      </c>
      <c r="E328" s="1" t="s">
        <v>82</v>
      </c>
      <c r="F328" s="1" t="s">
        <v>82</v>
      </c>
      <c r="G328" s="1" t="s">
        <v>82</v>
      </c>
      <c r="H328" s="1" t="s">
        <v>6433</v>
      </c>
      <c r="I328" s="1" t="s">
        <v>82</v>
      </c>
      <c r="J328" s="1" t="s">
        <v>82</v>
      </c>
      <c r="K328" s="1" t="s">
        <v>6434</v>
      </c>
      <c r="L328" s="1" t="s">
        <v>6401</v>
      </c>
      <c r="M328" s="1">
        <v>5.04</v>
      </c>
      <c r="O328" s="1" t="s">
        <v>82</v>
      </c>
      <c r="P328" s="1" t="s">
        <v>82</v>
      </c>
      <c r="Q328" s="1" t="s">
        <v>87</v>
      </c>
      <c r="R328" s="1" t="s">
        <v>1624</v>
      </c>
      <c r="S328" s="1" t="s">
        <v>82</v>
      </c>
      <c r="T328" s="1" t="s">
        <v>82</v>
      </c>
      <c r="U328" s="1" t="s">
        <v>82</v>
      </c>
      <c r="V328" s="1" t="s">
        <v>82</v>
      </c>
      <c r="W328" s="1" t="s">
        <v>82</v>
      </c>
      <c r="X328" s="1" t="s">
        <v>6435</v>
      </c>
      <c r="Y328" s="1" t="s">
        <v>6436</v>
      </c>
      <c r="Z328" s="1" t="s">
        <v>6437</v>
      </c>
      <c r="AA328" s="1">
        <v>1</v>
      </c>
      <c r="AB328" s="1" t="s">
        <v>6438</v>
      </c>
      <c r="AC328" s="1" t="s">
        <v>6439</v>
      </c>
      <c r="AD328" s="1" t="s">
        <v>93</v>
      </c>
      <c r="AE328" s="1" t="s">
        <v>6440</v>
      </c>
      <c r="AF328" s="1" t="s">
        <v>6441</v>
      </c>
      <c r="AG328" s="1" t="s">
        <v>6442</v>
      </c>
      <c r="AH328" s="1" t="s">
        <v>2307</v>
      </c>
      <c r="AI328" s="1" t="s">
        <v>6443</v>
      </c>
      <c r="AJ328" s="1" t="s">
        <v>6444</v>
      </c>
      <c r="AK328" s="1" t="s">
        <v>6445</v>
      </c>
      <c r="AL328" s="1" t="s">
        <v>6446</v>
      </c>
      <c r="AM328" s="1" t="s">
        <v>82</v>
      </c>
      <c r="AN328" s="1">
        <v>111</v>
      </c>
      <c r="AO328" s="1">
        <v>1</v>
      </c>
      <c r="AP328" s="1">
        <v>1</v>
      </c>
      <c r="AQ328" s="1">
        <v>21</v>
      </c>
      <c r="AR328" s="1">
        <v>27</v>
      </c>
      <c r="AS328" s="1" t="s">
        <v>328</v>
      </c>
      <c r="AT328" s="1" t="s">
        <v>329</v>
      </c>
      <c r="AU328" s="1" t="s">
        <v>330</v>
      </c>
      <c r="AV328" s="1" t="s">
        <v>6409</v>
      </c>
      <c r="AW328" s="1" t="s">
        <v>6410</v>
      </c>
      <c r="AX328" s="1" t="s">
        <v>82</v>
      </c>
      <c r="AY328" s="1" t="s">
        <v>6411</v>
      </c>
      <c r="AZ328" s="1" t="s">
        <v>6412</v>
      </c>
      <c r="BA328" s="1" t="s">
        <v>82</v>
      </c>
      <c r="BB328" s="1" t="s">
        <v>82</v>
      </c>
      <c r="BC328" s="1" t="s">
        <v>82</v>
      </c>
      <c r="BD328" s="1" t="s">
        <v>82</v>
      </c>
      <c r="BE328" s="1" t="s">
        <v>82</v>
      </c>
      <c r="BF328" s="1" t="s">
        <v>82</v>
      </c>
      <c r="BG328" s="1" t="s">
        <v>82</v>
      </c>
      <c r="BH328" s="1" t="s">
        <v>82</v>
      </c>
      <c r="BI328" s="1" t="s">
        <v>82</v>
      </c>
      <c r="BJ328" s="1" t="s">
        <v>82</v>
      </c>
      <c r="BK328" s="1" t="s">
        <v>82</v>
      </c>
      <c r="BL328" s="1" t="s">
        <v>6447</v>
      </c>
      <c r="BM328" s="1" t="str">
        <f>HYPERLINK("http://dx.doi.org/10.1093/aob/mcac062","http://dx.doi.org/10.1093/aob/mcac062")</f>
        <v>http://dx.doi.org/10.1093/aob/mcac062</v>
      </c>
      <c r="BN328" s="1" t="s">
        <v>82</v>
      </c>
      <c r="BO328" s="1" t="s">
        <v>1298</v>
      </c>
      <c r="BP328" s="1">
        <v>15</v>
      </c>
      <c r="BQ328" s="1" t="s">
        <v>378</v>
      </c>
      <c r="BR328" s="1" t="s">
        <v>104</v>
      </c>
      <c r="BS328" s="1" t="s">
        <v>378</v>
      </c>
      <c r="BT328" s="1" t="s">
        <v>6448</v>
      </c>
      <c r="BU328" s="1">
        <v>35671385</v>
      </c>
      <c r="BV328" s="1" t="s">
        <v>82</v>
      </c>
      <c r="BW328" s="1" t="s">
        <v>82</v>
      </c>
      <c r="BX328" s="1" t="s">
        <v>82</v>
      </c>
      <c r="BY328" s="1" t="s">
        <v>108</v>
      </c>
      <c r="BZ328" s="1" t="s">
        <v>6449</v>
      </c>
      <c r="CA328" s="1" t="str">
        <f>HYPERLINK("https%3A%2F%2Fwww.webofscience.com%2Fwos%2Fwoscc%2Ffull-record%2FWOS:000827117200001","View Full Record in Web of Science")</f>
        <v>View Full Record in Web of Science</v>
      </c>
    </row>
    <row r="329" s="1" customFormat="1" ht="14.4" spans="1:79">
      <c r="A329">
        <v>328</v>
      </c>
      <c r="B329" s="2" t="s">
        <v>79</v>
      </c>
      <c r="C329" s="1" t="s">
        <v>80</v>
      </c>
      <c r="D329" s="1" t="s">
        <v>6450</v>
      </c>
      <c r="E329" s="1" t="s">
        <v>82</v>
      </c>
      <c r="F329" s="1" t="s">
        <v>82</v>
      </c>
      <c r="G329" s="1" t="s">
        <v>82</v>
      </c>
      <c r="H329" s="1" t="s">
        <v>6451</v>
      </c>
      <c r="I329" s="1" t="s">
        <v>82</v>
      </c>
      <c r="J329" s="1" t="s">
        <v>82</v>
      </c>
      <c r="K329" s="1" t="s">
        <v>6452</v>
      </c>
      <c r="L329" s="1" t="s">
        <v>6401</v>
      </c>
      <c r="M329" s="1">
        <v>5.04</v>
      </c>
      <c r="O329" s="1" t="s">
        <v>82</v>
      </c>
      <c r="P329" s="1" t="s">
        <v>82</v>
      </c>
      <c r="Q329" s="1" t="s">
        <v>87</v>
      </c>
      <c r="R329" s="1" t="s">
        <v>115</v>
      </c>
      <c r="S329" s="1" t="s">
        <v>82</v>
      </c>
      <c r="T329" s="1" t="s">
        <v>82</v>
      </c>
      <c r="U329" s="1" t="s">
        <v>82</v>
      </c>
      <c r="V329" s="1" t="s">
        <v>82</v>
      </c>
      <c r="W329" s="1" t="s">
        <v>82</v>
      </c>
      <c r="X329" s="1" t="s">
        <v>6453</v>
      </c>
      <c r="Y329" s="1" t="s">
        <v>6454</v>
      </c>
      <c r="Z329" s="1" t="s">
        <v>6455</v>
      </c>
      <c r="AA329" s="1">
        <v>1</v>
      </c>
      <c r="AB329" s="1" t="s">
        <v>6053</v>
      </c>
      <c r="AC329" s="1" t="s">
        <v>6456</v>
      </c>
      <c r="AD329" s="1" t="s">
        <v>93</v>
      </c>
      <c r="AE329" s="1" t="s">
        <v>6457</v>
      </c>
      <c r="AF329" s="1" t="s">
        <v>6458</v>
      </c>
      <c r="AG329" s="1" t="s">
        <v>6459</v>
      </c>
      <c r="AH329" s="1" t="s">
        <v>82</v>
      </c>
      <c r="AI329" s="1" t="s">
        <v>6460</v>
      </c>
      <c r="AJ329" s="1" t="s">
        <v>6461</v>
      </c>
      <c r="AK329" s="1" t="s">
        <v>6462</v>
      </c>
      <c r="AL329" s="1" t="s">
        <v>6463</v>
      </c>
      <c r="AM329" s="1" t="s">
        <v>82</v>
      </c>
      <c r="AN329" s="1">
        <v>89</v>
      </c>
      <c r="AO329" s="1">
        <v>3</v>
      </c>
      <c r="AP329" s="1">
        <v>3</v>
      </c>
      <c r="AQ329" s="1">
        <v>3</v>
      </c>
      <c r="AR329" s="1">
        <v>4</v>
      </c>
      <c r="AS329" s="1" t="s">
        <v>328</v>
      </c>
      <c r="AT329" s="1" t="s">
        <v>329</v>
      </c>
      <c r="AU329" s="1" t="s">
        <v>330</v>
      </c>
      <c r="AV329" s="1" t="s">
        <v>6409</v>
      </c>
      <c r="AW329" s="1" t="s">
        <v>6410</v>
      </c>
      <c r="AX329" s="1" t="s">
        <v>82</v>
      </c>
      <c r="AY329" s="1" t="s">
        <v>6411</v>
      </c>
      <c r="AZ329" s="1" t="s">
        <v>6412</v>
      </c>
      <c r="BA329" s="1" t="s">
        <v>6464</v>
      </c>
      <c r="BB329" s="1">
        <v>2022</v>
      </c>
      <c r="BC329" s="1">
        <v>129</v>
      </c>
      <c r="BD329" s="1">
        <v>2</v>
      </c>
      <c r="BE329" s="1" t="s">
        <v>82</v>
      </c>
      <c r="BF329" s="1" t="s">
        <v>82</v>
      </c>
      <c r="BG329" s="1" t="s">
        <v>82</v>
      </c>
      <c r="BH329" s="1" t="s">
        <v>82</v>
      </c>
      <c r="BI329" s="1">
        <v>217</v>
      </c>
      <c r="BJ329" s="1">
        <v>230</v>
      </c>
      <c r="BK329" s="1" t="s">
        <v>82</v>
      </c>
      <c r="BL329" s="1" t="s">
        <v>6465</v>
      </c>
      <c r="BM329" s="1" t="str">
        <f>HYPERLINK("http://dx.doi.org/10.1093/aob/mcab118","http://dx.doi.org/10.1093/aob/mcab118")</f>
        <v>http://dx.doi.org/10.1093/aob/mcab118</v>
      </c>
      <c r="BN329" s="1" t="s">
        <v>82</v>
      </c>
      <c r="BO329" s="1" t="s">
        <v>82</v>
      </c>
      <c r="BP329" s="1">
        <v>14</v>
      </c>
      <c r="BQ329" s="1" t="s">
        <v>378</v>
      </c>
      <c r="BR329" s="1" t="s">
        <v>104</v>
      </c>
      <c r="BS329" s="1" t="s">
        <v>378</v>
      </c>
      <c r="BT329" s="1" t="s">
        <v>6466</v>
      </c>
      <c r="BU329" s="1">
        <v>34520529</v>
      </c>
      <c r="BV329" s="1" t="s">
        <v>316</v>
      </c>
      <c r="BW329" s="1" t="s">
        <v>82</v>
      </c>
      <c r="BX329" s="1" t="s">
        <v>82</v>
      </c>
      <c r="BY329" s="1" t="s">
        <v>108</v>
      </c>
      <c r="BZ329" s="1" t="s">
        <v>6467</v>
      </c>
      <c r="CA329" s="1" t="str">
        <f>HYPERLINK("https%3A%2F%2Fwww.webofscience.com%2Fwos%2Fwoscc%2Ffull-record%2FWOS:000822064600010","View Full Record in Web of Science")</f>
        <v>View Full Record in Web of Science</v>
      </c>
    </row>
    <row r="330" s="1" customFormat="1" ht="14.4" spans="1:79">
      <c r="A330">
        <v>329</v>
      </c>
      <c r="B330" s="2" t="s">
        <v>79</v>
      </c>
      <c r="C330" s="1" t="s">
        <v>80</v>
      </c>
      <c r="D330" s="1" t="s">
        <v>6468</v>
      </c>
      <c r="E330" s="1" t="s">
        <v>82</v>
      </c>
      <c r="F330" s="1" t="s">
        <v>82</v>
      </c>
      <c r="G330" s="1" t="s">
        <v>82</v>
      </c>
      <c r="H330" s="1" t="s">
        <v>6469</v>
      </c>
      <c r="I330" s="1" t="s">
        <v>82</v>
      </c>
      <c r="J330" s="1" t="s">
        <v>82</v>
      </c>
      <c r="K330" s="1" t="s">
        <v>6470</v>
      </c>
      <c r="L330" s="1" t="s">
        <v>6401</v>
      </c>
      <c r="M330" s="1">
        <v>5.04</v>
      </c>
      <c r="O330" s="1" t="s">
        <v>82</v>
      </c>
      <c r="P330" s="1" t="s">
        <v>82</v>
      </c>
      <c r="Q330" s="1" t="s">
        <v>87</v>
      </c>
      <c r="R330" s="1" t="s">
        <v>115</v>
      </c>
      <c r="S330" s="1" t="s">
        <v>82</v>
      </c>
      <c r="T330" s="1" t="s">
        <v>82</v>
      </c>
      <c r="U330" s="1" t="s">
        <v>82</v>
      </c>
      <c r="V330" s="1" t="s">
        <v>82</v>
      </c>
      <c r="W330" s="1" t="s">
        <v>82</v>
      </c>
      <c r="X330" s="1" t="s">
        <v>6471</v>
      </c>
      <c r="Y330" s="1" t="s">
        <v>6472</v>
      </c>
      <c r="Z330" s="1" t="s">
        <v>6473</v>
      </c>
      <c r="AA330" s="1">
        <v>1</v>
      </c>
      <c r="AB330" s="1" t="s">
        <v>6474</v>
      </c>
      <c r="AC330" s="1" t="s">
        <v>6475</v>
      </c>
      <c r="AD330" s="1" t="s">
        <v>93</v>
      </c>
      <c r="AE330" s="1" t="s">
        <v>6476</v>
      </c>
      <c r="AF330" s="1" t="s">
        <v>6477</v>
      </c>
      <c r="AG330" s="1" t="s">
        <v>6478</v>
      </c>
      <c r="AH330" s="1" t="s">
        <v>6479</v>
      </c>
      <c r="AI330" s="1" t="s">
        <v>6480</v>
      </c>
      <c r="AJ330" s="1" t="s">
        <v>6481</v>
      </c>
      <c r="AK330" s="1" t="s">
        <v>6482</v>
      </c>
      <c r="AL330" s="1" t="s">
        <v>6483</v>
      </c>
      <c r="AM330" s="1" t="s">
        <v>82</v>
      </c>
      <c r="AN330" s="1">
        <v>63</v>
      </c>
      <c r="AO330" s="1">
        <v>2</v>
      </c>
      <c r="AP330" s="1">
        <v>2</v>
      </c>
      <c r="AQ330" s="1">
        <v>6</v>
      </c>
      <c r="AR330" s="1">
        <v>10</v>
      </c>
      <c r="AS330" s="1" t="s">
        <v>328</v>
      </c>
      <c r="AT330" s="1" t="s">
        <v>329</v>
      </c>
      <c r="AU330" s="1" t="s">
        <v>330</v>
      </c>
      <c r="AV330" s="1" t="s">
        <v>6409</v>
      </c>
      <c r="AW330" s="1" t="s">
        <v>6410</v>
      </c>
      <c r="AX330" s="1" t="s">
        <v>82</v>
      </c>
      <c r="AY330" s="1" t="s">
        <v>6411</v>
      </c>
      <c r="AZ330" s="1" t="s">
        <v>6412</v>
      </c>
      <c r="BA330" s="1" t="s">
        <v>6484</v>
      </c>
      <c r="BB330" s="1">
        <v>2022</v>
      </c>
      <c r="BC330" s="1">
        <v>129</v>
      </c>
      <c r="BD330" s="1">
        <v>7</v>
      </c>
      <c r="BE330" s="1" t="s">
        <v>82</v>
      </c>
      <c r="BF330" s="1" t="s">
        <v>82</v>
      </c>
      <c r="BG330" s="1" t="s">
        <v>170</v>
      </c>
      <c r="BH330" s="1" t="s">
        <v>82</v>
      </c>
      <c r="BI330" s="1">
        <v>869</v>
      </c>
      <c r="BJ330" s="1">
        <v>911</v>
      </c>
      <c r="BK330" s="1" t="s">
        <v>82</v>
      </c>
      <c r="BL330" s="1" t="s">
        <v>6485</v>
      </c>
      <c r="BM330" s="1" t="str">
        <f>HYPERLINK("http://dx.doi.org/10.1093/aob/mcac067","http://dx.doi.org/10.1093/aob/mcac067")</f>
        <v>http://dx.doi.org/10.1093/aob/mcac067</v>
      </c>
      <c r="BN330" s="1" t="s">
        <v>82</v>
      </c>
      <c r="BO330" s="1" t="s">
        <v>1298</v>
      </c>
      <c r="BP330" s="1">
        <v>43</v>
      </c>
      <c r="BQ330" s="1" t="s">
        <v>378</v>
      </c>
      <c r="BR330" s="1" t="s">
        <v>104</v>
      </c>
      <c r="BS330" s="1" t="s">
        <v>378</v>
      </c>
      <c r="BT330" s="1" t="s">
        <v>6486</v>
      </c>
      <c r="BU330" s="1">
        <v>35696666</v>
      </c>
      <c r="BV330" s="1" t="s">
        <v>107</v>
      </c>
      <c r="BW330" s="1" t="s">
        <v>82</v>
      </c>
      <c r="BX330" s="1" t="s">
        <v>82</v>
      </c>
      <c r="BY330" s="1" t="s">
        <v>108</v>
      </c>
      <c r="BZ330" s="1" t="s">
        <v>6487</v>
      </c>
      <c r="CA330" s="1" t="str">
        <f>HYPERLINK("https%3A%2F%2Fwww.webofscience.com%2Fwos%2Fwoscc%2Ffull-record%2FWOS:000819527400001","View Full Record in Web of Science")</f>
        <v>View Full Record in Web of Science</v>
      </c>
    </row>
    <row r="331" s="1" customFormat="1" ht="14.4" spans="1:79">
      <c r="A331">
        <v>330</v>
      </c>
      <c r="B331" s="2" t="s">
        <v>79</v>
      </c>
      <c r="C331" s="1" t="s">
        <v>80</v>
      </c>
      <c r="D331" s="1" t="s">
        <v>6488</v>
      </c>
      <c r="E331" s="1" t="s">
        <v>82</v>
      </c>
      <c r="F331" s="1" t="s">
        <v>82</v>
      </c>
      <c r="G331" s="1" t="s">
        <v>82</v>
      </c>
      <c r="H331" s="1" t="s">
        <v>6489</v>
      </c>
      <c r="I331" s="1" t="s">
        <v>82</v>
      </c>
      <c r="J331" s="1" t="s">
        <v>82</v>
      </c>
      <c r="K331" s="1" t="s">
        <v>6490</v>
      </c>
      <c r="L331" s="1" t="s">
        <v>6401</v>
      </c>
      <c r="M331" s="1">
        <v>5.04</v>
      </c>
      <c r="O331" s="1" t="s">
        <v>82</v>
      </c>
      <c r="P331" s="1" t="s">
        <v>82</v>
      </c>
      <c r="Q331" s="1" t="s">
        <v>87</v>
      </c>
      <c r="R331" s="1" t="s">
        <v>115</v>
      </c>
      <c r="S331" s="1" t="s">
        <v>82</v>
      </c>
      <c r="T331" s="1" t="s">
        <v>82</v>
      </c>
      <c r="U331" s="1" t="s">
        <v>82</v>
      </c>
      <c r="V331" s="1" t="s">
        <v>82</v>
      </c>
      <c r="W331" s="1" t="s">
        <v>82</v>
      </c>
      <c r="X331" s="1" t="s">
        <v>6491</v>
      </c>
      <c r="Y331" s="1" t="s">
        <v>6492</v>
      </c>
      <c r="Z331" s="1" t="s">
        <v>6493</v>
      </c>
      <c r="AA331" s="1">
        <v>1</v>
      </c>
      <c r="AB331" s="1" t="s">
        <v>6494</v>
      </c>
      <c r="AC331" s="1" t="s">
        <v>6495</v>
      </c>
      <c r="AD331" s="1" t="s">
        <v>93</v>
      </c>
      <c r="AE331" s="1" t="s">
        <v>6496</v>
      </c>
      <c r="AF331" s="1" t="s">
        <v>6497</v>
      </c>
      <c r="AG331" s="1" t="s">
        <v>6498</v>
      </c>
      <c r="AH331" s="1" t="s">
        <v>6499</v>
      </c>
      <c r="AI331" s="1" t="s">
        <v>6500</v>
      </c>
      <c r="AJ331" s="1" t="s">
        <v>6501</v>
      </c>
      <c r="AK331" s="1" t="s">
        <v>6502</v>
      </c>
      <c r="AL331" s="1" t="s">
        <v>6503</v>
      </c>
      <c r="AM331" s="1" t="s">
        <v>82</v>
      </c>
      <c r="AN331" s="1">
        <v>133</v>
      </c>
      <c r="AO331" s="1">
        <v>9</v>
      </c>
      <c r="AP331" s="1">
        <v>9</v>
      </c>
      <c r="AQ331" s="1">
        <v>23</v>
      </c>
      <c r="AR331" s="1">
        <v>43</v>
      </c>
      <c r="AS331" s="1" t="s">
        <v>328</v>
      </c>
      <c r="AT331" s="1" t="s">
        <v>329</v>
      </c>
      <c r="AU331" s="1" t="s">
        <v>330</v>
      </c>
      <c r="AV331" s="1" t="s">
        <v>6409</v>
      </c>
      <c r="AW331" s="1" t="s">
        <v>6410</v>
      </c>
      <c r="AX331" s="1" t="s">
        <v>82</v>
      </c>
      <c r="AY331" s="1" t="s">
        <v>6411</v>
      </c>
      <c r="AZ331" s="1" t="s">
        <v>6412</v>
      </c>
      <c r="BA331" s="1" t="s">
        <v>6504</v>
      </c>
      <c r="BB331" s="1">
        <v>2022</v>
      </c>
      <c r="BC331" s="1">
        <v>129</v>
      </c>
      <c r="BD331" s="1">
        <v>4</v>
      </c>
      <c r="BE331" s="1" t="s">
        <v>82</v>
      </c>
      <c r="BF331" s="1" t="s">
        <v>82</v>
      </c>
      <c r="BG331" s="1" t="s">
        <v>82</v>
      </c>
      <c r="BH331" s="1" t="s">
        <v>82</v>
      </c>
      <c r="BI331" s="1">
        <v>457</v>
      </c>
      <c r="BJ331" s="1">
        <v>471</v>
      </c>
      <c r="BK331" s="1" t="s">
        <v>82</v>
      </c>
      <c r="BL331" s="1" t="s">
        <v>6505</v>
      </c>
      <c r="BM331" s="1" t="str">
        <f>HYPERLINK("http://dx.doi.org/10.1093/aob/mcac007","http://dx.doi.org/10.1093/aob/mcac007")</f>
        <v>http://dx.doi.org/10.1093/aob/mcac007</v>
      </c>
      <c r="BN331" s="1" t="s">
        <v>82</v>
      </c>
      <c r="BO331" s="1" t="s">
        <v>82</v>
      </c>
      <c r="BP331" s="1">
        <v>15</v>
      </c>
      <c r="BQ331" s="1" t="s">
        <v>378</v>
      </c>
      <c r="BR331" s="1" t="s">
        <v>104</v>
      </c>
      <c r="BS331" s="1" t="s">
        <v>378</v>
      </c>
      <c r="BT331" s="1" t="s">
        <v>6506</v>
      </c>
      <c r="BU331" s="1">
        <v>35037017</v>
      </c>
      <c r="BV331" s="1" t="s">
        <v>316</v>
      </c>
      <c r="BW331" s="1" t="s">
        <v>82</v>
      </c>
      <c r="BX331" s="1" t="s">
        <v>82</v>
      </c>
      <c r="BY331" s="1" t="s">
        <v>108</v>
      </c>
      <c r="BZ331" s="1" t="s">
        <v>6507</v>
      </c>
      <c r="CA331" s="1" t="str">
        <f>HYPERLINK("https%3A%2F%2Fwww.webofscience.com%2Fwos%2Fwoscc%2Ffull-record%2FWOS:000772592900008","View Full Record in Web of Science")</f>
        <v>View Full Record in Web of Science</v>
      </c>
    </row>
    <row r="332" s="1" customFormat="1" ht="14.4" spans="1:79">
      <c r="A332">
        <v>331</v>
      </c>
      <c r="B332" s="2" t="s">
        <v>79</v>
      </c>
      <c r="C332" s="1" t="s">
        <v>80</v>
      </c>
      <c r="D332" s="1" t="s">
        <v>6508</v>
      </c>
      <c r="E332" s="1" t="s">
        <v>82</v>
      </c>
      <c r="F332" s="1" t="s">
        <v>82</v>
      </c>
      <c r="G332" s="1" t="s">
        <v>82</v>
      </c>
      <c r="H332" s="1" t="s">
        <v>6509</v>
      </c>
      <c r="I332" s="1" t="s">
        <v>82</v>
      </c>
      <c r="J332" s="1" t="s">
        <v>82</v>
      </c>
      <c r="K332" s="1" t="s">
        <v>6510</v>
      </c>
      <c r="L332" s="1" t="s">
        <v>6401</v>
      </c>
      <c r="M332" s="1">
        <v>5.04</v>
      </c>
      <c r="O332" s="1" t="s">
        <v>82</v>
      </c>
      <c r="P332" s="1" t="s">
        <v>82</v>
      </c>
      <c r="Q332" s="1" t="s">
        <v>87</v>
      </c>
      <c r="R332" s="1" t="s">
        <v>1624</v>
      </c>
      <c r="S332" s="1" t="s">
        <v>82</v>
      </c>
      <c r="T332" s="1" t="s">
        <v>82</v>
      </c>
      <c r="U332" s="1" t="s">
        <v>82</v>
      </c>
      <c r="V332" s="1" t="s">
        <v>82</v>
      </c>
      <c r="W332" s="1" t="s">
        <v>82</v>
      </c>
      <c r="X332" s="1" t="s">
        <v>6511</v>
      </c>
      <c r="Y332" s="1" t="s">
        <v>6512</v>
      </c>
      <c r="Z332" s="1" t="s">
        <v>6513</v>
      </c>
      <c r="AA332" s="1">
        <v>1</v>
      </c>
      <c r="AB332" s="1" t="s">
        <v>6001</v>
      </c>
      <c r="AC332" s="1" t="s">
        <v>6514</v>
      </c>
      <c r="AD332" s="1" t="s">
        <v>93</v>
      </c>
      <c r="AE332" s="1" t="s">
        <v>6003</v>
      </c>
      <c r="AF332" s="1" t="s">
        <v>6515</v>
      </c>
      <c r="AG332" s="1" t="s">
        <v>6516</v>
      </c>
      <c r="AH332" s="1" t="s">
        <v>82</v>
      </c>
      <c r="AI332" s="1" t="s">
        <v>82</v>
      </c>
      <c r="AJ332" s="1" t="s">
        <v>6517</v>
      </c>
      <c r="AK332" s="1" t="s">
        <v>6518</v>
      </c>
      <c r="AL332" s="1" t="s">
        <v>6519</v>
      </c>
      <c r="AM332" s="1" t="s">
        <v>82</v>
      </c>
      <c r="AN332" s="1">
        <v>100</v>
      </c>
      <c r="AO332" s="1">
        <v>0</v>
      </c>
      <c r="AP332" s="1">
        <v>0</v>
      </c>
      <c r="AQ332" s="1">
        <v>11</v>
      </c>
      <c r="AR332" s="1">
        <v>31</v>
      </c>
      <c r="AS332" s="1" t="s">
        <v>328</v>
      </c>
      <c r="AT332" s="1" t="s">
        <v>329</v>
      </c>
      <c r="AU332" s="1" t="s">
        <v>330</v>
      </c>
      <c r="AV332" s="1" t="s">
        <v>6409</v>
      </c>
      <c r="AW332" s="1" t="s">
        <v>6410</v>
      </c>
      <c r="AX332" s="1" t="s">
        <v>82</v>
      </c>
      <c r="AY332" s="1" t="s">
        <v>6411</v>
      </c>
      <c r="AZ332" s="1" t="s">
        <v>6412</v>
      </c>
      <c r="BA332" s="1" t="s">
        <v>82</v>
      </c>
      <c r="BB332" s="1" t="s">
        <v>82</v>
      </c>
      <c r="BC332" s="1" t="s">
        <v>82</v>
      </c>
      <c r="BD332" s="1" t="s">
        <v>82</v>
      </c>
      <c r="BE332" s="1" t="s">
        <v>82</v>
      </c>
      <c r="BF332" s="1" t="s">
        <v>82</v>
      </c>
      <c r="BG332" s="1" t="s">
        <v>82</v>
      </c>
      <c r="BH332" s="1" t="s">
        <v>82</v>
      </c>
      <c r="BI332" s="1" t="s">
        <v>82</v>
      </c>
      <c r="BJ332" s="1" t="s">
        <v>82</v>
      </c>
      <c r="BK332" s="1" t="s">
        <v>82</v>
      </c>
      <c r="BL332" s="1" t="s">
        <v>6520</v>
      </c>
      <c r="BM332" s="1" t="str">
        <f>HYPERLINK("http://dx.doi.org/10.1093/aob/mcab155","http://dx.doi.org/10.1093/aob/mcab155")</f>
        <v>http://dx.doi.org/10.1093/aob/mcab155</v>
      </c>
      <c r="BN332" s="1" t="s">
        <v>82</v>
      </c>
      <c r="BO332" s="1" t="s">
        <v>282</v>
      </c>
      <c r="BP332" s="1">
        <v>13</v>
      </c>
      <c r="BQ332" s="1" t="s">
        <v>378</v>
      </c>
      <c r="BR332" s="1" t="s">
        <v>104</v>
      </c>
      <c r="BS332" s="1" t="s">
        <v>378</v>
      </c>
      <c r="BT332" s="1" t="s">
        <v>6521</v>
      </c>
      <c r="BU332" s="1">
        <v>34932785</v>
      </c>
      <c r="BV332" s="1" t="s">
        <v>82</v>
      </c>
      <c r="BW332" s="1" t="s">
        <v>82</v>
      </c>
      <c r="BX332" s="1" t="s">
        <v>82</v>
      </c>
      <c r="BY332" s="1" t="s">
        <v>108</v>
      </c>
      <c r="BZ332" s="1" t="s">
        <v>6522</v>
      </c>
      <c r="CA332" s="1" t="str">
        <f>HYPERLINK("https%3A%2F%2Fwww.webofscience.com%2Fwos%2Fwoscc%2Ffull-record%2FWOS:000767464600001","View Full Record in Web of Science")</f>
        <v>View Full Record in Web of Science</v>
      </c>
    </row>
    <row r="333" s="1" customFormat="1" ht="14.4" spans="1:79">
      <c r="A333">
        <v>332</v>
      </c>
      <c r="B333" s="2" t="s">
        <v>79</v>
      </c>
      <c r="C333" s="1" t="s">
        <v>80</v>
      </c>
      <c r="D333" s="1" t="s">
        <v>6523</v>
      </c>
      <c r="E333" s="1" t="s">
        <v>82</v>
      </c>
      <c r="F333" s="1" t="s">
        <v>82</v>
      </c>
      <c r="G333" s="1" t="s">
        <v>82</v>
      </c>
      <c r="H333" s="1" t="s">
        <v>6524</v>
      </c>
      <c r="I333" s="1" t="s">
        <v>82</v>
      </c>
      <c r="J333" s="1" t="s">
        <v>82</v>
      </c>
      <c r="K333" s="1" t="s">
        <v>6525</v>
      </c>
      <c r="L333" s="1" t="s">
        <v>6526</v>
      </c>
      <c r="M333" s="1">
        <v>5.019</v>
      </c>
      <c r="O333" s="1" t="s">
        <v>82</v>
      </c>
      <c r="P333" s="1" t="s">
        <v>82</v>
      </c>
      <c r="Q333" s="1" t="s">
        <v>87</v>
      </c>
      <c r="R333" s="1" t="s">
        <v>115</v>
      </c>
      <c r="S333" s="1" t="s">
        <v>82</v>
      </c>
      <c r="T333" s="1" t="s">
        <v>82</v>
      </c>
      <c r="U333" s="1" t="s">
        <v>82</v>
      </c>
      <c r="V333" s="1" t="s">
        <v>82</v>
      </c>
      <c r="W333" s="1" t="s">
        <v>82</v>
      </c>
      <c r="X333" s="1" t="s">
        <v>6527</v>
      </c>
      <c r="Y333" s="1" t="s">
        <v>6528</v>
      </c>
      <c r="Z333" s="1" t="s">
        <v>6529</v>
      </c>
      <c r="AA333" s="1">
        <v>1</v>
      </c>
      <c r="AB333" s="1" t="s">
        <v>6530</v>
      </c>
      <c r="AC333" s="1" t="s">
        <v>6531</v>
      </c>
      <c r="AD333" s="1" t="s">
        <v>93</v>
      </c>
      <c r="AE333" s="1" t="s">
        <v>6532</v>
      </c>
      <c r="AF333" s="1" t="s">
        <v>6533</v>
      </c>
      <c r="AG333" s="1" t="s">
        <v>6534</v>
      </c>
      <c r="AH333" s="1" t="s">
        <v>82</v>
      </c>
      <c r="AI333" s="1" t="s">
        <v>82</v>
      </c>
      <c r="AJ333" s="1" t="s">
        <v>6535</v>
      </c>
      <c r="AK333" s="1" t="s">
        <v>6536</v>
      </c>
      <c r="AL333" s="1" t="s">
        <v>6537</v>
      </c>
      <c r="AM333" s="1" t="s">
        <v>82</v>
      </c>
      <c r="AN333" s="1">
        <v>80</v>
      </c>
      <c r="AO333" s="1">
        <v>0</v>
      </c>
      <c r="AP333" s="1">
        <v>0</v>
      </c>
      <c r="AQ333" s="1">
        <v>13</v>
      </c>
      <c r="AR333" s="1">
        <v>13</v>
      </c>
      <c r="AS333" s="1" t="s">
        <v>2514</v>
      </c>
      <c r="AT333" s="1" t="s">
        <v>2515</v>
      </c>
      <c r="AU333" s="1" t="s">
        <v>2516</v>
      </c>
      <c r="AV333" s="1" t="s">
        <v>6538</v>
      </c>
      <c r="AW333" s="1" t="s">
        <v>6539</v>
      </c>
      <c r="AX333" s="1" t="s">
        <v>82</v>
      </c>
      <c r="AY333" s="1" t="s">
        <v>6540</v>
      </c>
      <c r="AZ333" s="1" t="s">
        <v>6541</v>
      </c>
      <c r="BA333" s="1" t="s">
        <v>2123</v>
      </c>
      <c r="BB333" s="1">
        <v>2022</v>
      </c>
      <c r="BC333" s="1">
        <v>177</v>
      </c>
      <c r="BD333" s="1" t="s">
        <v>82</v>
      </c>
      <c r="BE333" s="1" t="s">
        <v>82</v>
      </c>
      <c r="BF333" s="1" t="s">
        <v>82</v>
      </c>
      <c r="BG333" s="1" t="s">
        <v>82</v>
      </c>
      <c r="BH333" s="1" t="s">
        <v>82</v>
      </c>
      <c r="BI333" s="1" t="s">
        <v>82</v>
      </c>
      <c r="BJ333" s="1" t="s">
        <v>82</v>
      </c>
      <c r="BK333" s="1">
        <v>107628</v>
      </c>
      <c r="BL333" s="1" t="s">
        <v>6542</v>
      </c>
      <c r="BM333" s="1" t="str">
        <f>HYPERLINK("http://dx.doi.org/10.1016/j.ympev.2022.107628","http://dx.doi.org/10.1016/j.ympev.2022.107628")</f>
        <v>http://dx.doi.org/10.1016/j.ympev.2022.107628</v>
      </c>
      <c r="BN333" s="1" t="s">
        <v>82</v>
      </c>
      <c r="BO333" s="1" t="s">
        <v>224</v>
      </c>
      <c r="BP333" s="1">
        <v>11</v>
      </c>
      <c r="BQ333" s="1" t="s">
        <v>6543</v>
      </c>
      <c r="BR333" s="1" t="s">
        <v>104</v>
      </c>
      <c r="BS333" s="1" t="s">
        <v>6543</v>
      </c>
      <c r="BT333" s="1" t="s">
        <v>6544</v>
      </c>
      <c r="BU333" s="1">
        <v>36096462</v>
      </c>
      <c r="BV333" s="1" t="s">
        <v>82</v>
      </c>
      <c r="BW333" s="1" t="s">
        <v>82</v>
      </c>
      <c r="BX333" s="1" t="s">
        <v>82</v>
      </c>
      <c r="BY333" s="1" t="s">
        <v>108</v>
      </c>
      <c r="BZ333" s="1" t="s">
        <v>6545</v>
      </c>
      <c r="CA333" s="1" t="str">
        <f>HYPERLINK("https%3A%2F%2Fwww.webofscience.com%2Fwos%2Fwoscc%2Ffull-record%2FWOS:000874960500001","View Full Record in Web of Science")</f>
        <v>View Full Record in Web of Science</v>
      </c>
    </row>
    <row r="334" s="1" customFormat="1" ht="14.4" spans="1:79">
      <c r="A334">
        <v>333</v>
      </c>
      <c r="B334" s="2" t="s">
        <v>79</v>
      </c>
      <c r="C334" s="1" t="s">
        <v>80</v>
      </c>
      <c r="D334" s="1" t="s">
        <v>6546</v>
      </c>
      <c r="E334" s="1" t="s">
        <v>82</v>
      </c>
      <c r="F334" s="1" t="s">
        <v>82</v>
      </c>
      <c r="G334" s="1" t="s">
        <v>82</v>
      </c>
      <c r="H334" s="1" t="s">
        <v>6547</v>
      </c>
      <c r="I334" s="1" t="s">
        <v>82</v>
      </c>
      <c r="J334" s="1" t="s">
        <v>82</v>
      </c>
      <c r="K334" s="1" t="s">
        <v>6548</v>
      </c>
      <c r="L334" s="1" t="s">
        <v>6526</v>
      </c>
      <c r="M334" s="1">
        <v>5.019</v>
      </c>
      <c r="O334" s="1" t="s">
        <v>82</v>
      </c>
      <c r="P334" s="1" t="s">
        <v>82</v>
      </c>
      <c r="Q334" s="1" t="s">
        <v>87</v>
      </c>
      <c r="R334" s="1" t="s">
        <v>115</v>
      </c>
      <c r="S334" s="1" t="s">
        <v>82</v>
      </c>
      <c r="T334" s="1" t="s">
        <v>82</v>
      </c>
      <c r="U334" s="1" t="s">
        <v>82</v>
      </c>
      <c r="V334" s="1" t="s">
        <v>82</v>
      </c>
      <c r="W334" s="1" t="s">
        <v>82</v>
      </c>
      <c r="X334" s="1" t="s">
        <v>6549</v>
      </c>
      <c r="Y334" s="1" t="s">
        <v>6550</v>
      </c>
      <c r="Z334" s="1" t="s">
        <v>6551</v>
      </c>
      <c r="AA334" s="1">
        <v>1</v>
      </c>
      <c r="AB334" s="1" t="s">
        <v>6552</v>
      </c>
      <c r="AC334" s="1" t="s">
        <v>6553</v>
      </c>
      <c r="AD334" s="1" t="s">
        <v>93</v>
      </c>
      <c r="AE334" s="1" t="s">
        <v>6554</v>
      </c>
      <c r="AF334" s="1" t="s">
        <v>6555</v>
      </c>
      <c r="AG334" s="1" t="s">
        <v>1609</v>
      </c>
      <c r="AH334" s="1" t="s">
        <v>6556</v>
      </c>
      <c r="AI334" s="1" t="s">
        <v>6557</v>
      </c>
      <c r="AJ334" s="1" t="s">
        <v>6558</v>
      </c>
      <c r="AK334" s="1" t="s">
        <v>6559</v>
      </c>
      <c r="AL334" s="1" t="s">
        <v>6560</v>
      </c>
      <c r="AM334" s="1" t="s">
        <v>82</v>
      </c>
      <c r="AN334" s="1">
        <v>96</v>
      </c>
      <c r="AO334" s="1">
        <v>0</v>
      </c>
      <c r="AP334" s="1">
        <v>0</v>
      </c>
      <c r="AQ334" s="1">
        <v>28</v>
      </c>
      <c r="AR334" s="1">
        <v>32</v>
      </c>
      <c r="AS334" s="1" t="s">
        <v>2514</v>
      </c>
      <c r="AT334" s="1" t="s">
        <v>2515</v>
      </c>
      <c r="AU334" s="1" t="s">
        <v>2516</v>
      </c>
      <c r="AV334" s="1" t="s">
        <v>6538</v>
      </c>
      <c r="AW334" s="1" t="s">
        <v>6539</v>
      </c>
      <c r="AX334" s="1" t="s">
        <v>82</v>
      </c>
      <c r="AY334" s="1" t="s">
        <v>6540</v>
      </c>
      <c r="AZ334" s="1" t="s">
        <v>6541</v>
      </c>
      <c r="BA334" s="1" t="s">
        <v>1340</v>
      </c>
      <c r="BB334" s="1">
        <v>2022</v>
      </c>
      <c r="BC334" s="1">
        <v>175</v>
      </c>
      <c r="BD334" s="1" t="s">
        <v>82</v>
      </c>
      <c r="BE334" s="1" t="s">
        <v>82</v>
      </c>
      <c r="BF334" s="1" t="s">
        <v>82</v>
      </c>
      <c r="BG334" s="1" t="s">
        <v>82</v>
      </c>
      <c r="BH334" s="1" t="s">
        <v>82</v>
      </c>
      <c r="BI334" s="1" t="s">
        <v>82</v>
      </c>
      <c r="BJ334" s="1" t="s">
        <v>82</v>
      </c>
      <c r="BK334" s="1">
        <v>107555</v>
      </c>
      <c r="BL334" s="1" t="s">
        <v>6561</v>
      </c>
      <c r="BM334" s="1" t="str">
        <f>HYPERLINK("http://dx.doi.org/10.1016/j.ympev.2022.107555","http://dx.doi.org/10.1016/j.ympev.2022.107555")</f>
        <v>http://dx.doi.org/10.1016/j.ympev.2022.107555</v>
      </c>
      <c r="BN334" s="1" t="s">
        <v>82</v>
      </c>
      <c r="BO334" s="1" t="s">
        <v>1257</v>
      </c>
      <c r="BP334" s="1">
        <v>15</v>
      </c>
      <c r="BQ334" s="1" t="s">
        <v>6543</v>
      </c>
      <c r="BR334" s="1" t="s">
        <v>104</v>
      </c>
      <c r="BS334" s="1" t="s">
        <v>6543</v>
      </c>
      <c r="BT334" s="1" t="s">
        <v>6562</v>
      </c>
      <c r="BU334" s="1">
        <v>35724818</v>
      </c>
      <c r="BV334" s="1" t="s">
        <v>82</v>
      </c>
      <c r="BW334" s="1" t="s">
        <v>82</v>
      </c>
      <c r="BX334" s="1" t="s">
        <v>82</v>
      </c>
      <c r="BY334" s="1" t="s">
        <v>108</v>
      </c>
      <c r="BZ334" s="1" t="s">
        <v>6563</v>
      </c>
      <c r="CA334" s="1" t="str">
        <f>HYPERLINK("https%3A%2F%2Fwww.webofscience.com%2Fwos%2Fwoscc%2Ffull-record%2FWOS:000841086300001","View Full Record in Web of Science")</f>
        <v>View Full Record in Web of Science</v>
      </c>
    </row>
    <row r="335" s="1" customFormat="1" ht="14.4" spans="1:79">
      <c r="A335">
        <v>334</v>
      </c>
      <c r="B335" s="2" t="s">
        <v>79</v>
      </c>
      <c r="C335" s="1" t="s">
        <v>80</v>
      </c>
      <c r="D335" s="1" t="s">
        <v>6564</v>
      </c>
      <c r="E335" s="1" t="s">
        <v>82</v>
      </c>
      <c r="F335" s="1" t="s">
        <v>82</v>
      </c>
      <c r="G335" s="1" t="s">
        <v>82</v>
      </c>
      <c r="H335" s="1" t="s">
        <v>6565</v>
      </c>
      <c r="I335" s="1" t="s">
        <v>82</v>
      </c>
      <c r="J335" s="1" t="s">
        <v>82</v>
      </c>
      <c r="K335" s="1" t="s">
        <v>6566</v>
      </c>
      <c r="L335" s="1" t="s">
        <v>6526</v>
      </c>
      <c r="M335" s="1">
        <v>5.019</v>
      </c>
      <c r="O335" s="1" t="s">
        <v>82</v>
      </c>
      <c r="P335" s="1" t="s">
        <v>82</v>
      </c>
      <c r="Q335" s="1" t="s">
        <v>87</v>
      </c>
      <c r="R335" s="1" t="s">
        <v>115</v>
      </c>
      <c r="S335" s="1" t="s">
        <v>82</v>
      </c>
      <c r="T335" s="1" t="s">
        <v>82</v>
      </c>
      <c r="U335" s="1" t="s">
        <v>82</v>
      </c>
      <c r="V335" s="1" t="s">
        <v>82</v>
      </c>
      <c r="W335" s="1" t="s">
        <v>82</v>
      </c>
      <c r="X335" s="1" t="s">
        <v>6567</v>
      </c>
      <c r="Y335" s="1" t="s">
        <v>6568</v>
      </c>
      <c r="Z335" s="1" t="s">
        <v>6569</v>
      </c>
      <c r="AA335" s="1">
        <v>1</v>
      </c>
      <c r="AB335" s="1" t="s">
        <v>6570</v>
      </c>
      <c r="AC335" s="1" t="s">
        <v>6571</v>
      </c>
      <c r="AD335" s="1" t="s">
        <v>93</v>
      </c>
      <c r="AE335" s="1" t="s">
        <v>6572</v>
      </c>
      <c r="AF335" s="1" t="s">
        <v>6573</v>
      </c>
      <c r="AG335" s="1" t="s">
        <v>6574</v>
      </c>
      <c r="AH335" s="1" t="s">
        <v>82</v>
      </c>
      <c r="AI335" s="1" t="s">
        <v>82</v>
      </c>
      <c r="AJ335" s="1" t="s">
        <v>6575</v>
      </c>
      <c r="AK335" s="1" t="s">
        <v>6576</v>
      </c>
      <c r="AL335" s="1" t="s">
        <v>6577</v>
      </c>
      <c r="AM335" s="1" t="s">
        <v>82</v>
      </c>
      <c r="AN335" s="1">
        <v>127</v>
      </c>
      <c r="AO335" s="1">
        <v>1</v>
      </c>
      <c r="AP335" s="1">
        <v>1</v>
      </c>
      <c r="AQ335" s="1">
        <v>7</v>
      </c>
      <c r="AR335" s="1">
        <v>11</v>
      </c>
      <c r="AS335" s="1" t="s">
        <v>2514</v>
      </c>
      <c r="AT335" s="1" t="s">
        <v>2515</v>
      </c>
      <c r="AU335" s="1" t="s">
        <v>2516</v>
      </c>
      <c r="AV335" s="1" t="s">
        <v>6538</v>
      </c>
      <c r="AW335" s="1" t="s">
        <v>6539</v>
      </c>
      <c r="AX335" s="1" t="s">
        <v>82</v>
      </c>
      <c r="AY335" s="1" t="s">
        <v>6540</v>
      </c>
      <c r="AZ335" s="1" t="s">
        <v>6541</v>
      </c>
      <c r="BA335" s="1" t="s">
        <v>2521</v>
      </c>
      <c r="BB335" s="1">
        <v>2022</v>
      </c>
      <c r="BC335" s="1">
        <v>173</v>
      </c>
      <c r="BD335" s="1" t="s">
        <v>82</v>
      </c>
      <c r="BE335" s="1" t="s">
        <v>82</v>
      </c>
      <c r="BF335" s="1" t="s">
        <v>82</v>
      </c>
      <c r="BG335" s="1" t="s">
        <v>82</v>
      </c>
      <c r="BH335" s="1" t="s">
        <v>82</v>
      </c>
      <c r="BI335" s="1" t="s">
        <v>82</v>
      </c>
      <c r="BJ335" s="1" t="s">
        <v>82</v>
      </c>
      <c r="BK335" s="1">
        <v>107512</v>
      </c>
      <c r="BL335" s="1" t="s">
        <v>6578</v>
      </c>
      <c r="BM335" s="1" t="str">
        <f>HYPERLINK("http://dx.doi.org/10.1016/j.ympev.2022.107512","http://dx.doi.org/10.1016/j.ympev.2022.107512")</f>
        <v>http://dx.doi.org/10.1016/j.ympev.2022.107512</v>
      </c>
      <c r="BN335" s="1" t="s">
        <v>82</v>
      </c>
      <c r="BO335" s="1" t="s">
        <v>247</v>
      </c>
      <c r="BP335" s="1">
        <v>30</v>
      </c>
      <c r="BQ335" s="1" t="s">
        <v>6543</v>
      </c>
      <c r="BR335" s="1" t="s">
        <v>104</v>
      </c>
      <c r="BS335" s="1" t="s">
        <v>6543</v>
      </c>
      <c r="BT335" s="1" t="s">
        <v>6579</v>
      </c>
      <c r="BU335" s="1">
        <v>35595007</v>
      </c>
      <c r="BV335" s="1" t="s">
        <v>82</v>
      </c>
      <c r="BW335" s="1" t="s">
        <v>82</v>
      </c>
      <c r="BX335" s="1" t="s">
        <v>82</v>
      </c>
      <c r="BY335" s="1" t="s">
        <v>108</v>
      </c>
      <c r="BZ335" s="1" t="s">
        <v>6580</v>
      </c>
      <c r="CA335" s="1" t="str">
        <f>HYPERLINK("https%3A%2F%2Fwww.webofscience.com%2Fwos%2Fwoscc%2Ffull-record%2FWOS:000830351700004","View Full Record in Web of Science")</f>
        <v>View Full Record in Web of Science</v>
      </c>
    </row>
    <row r="336" s="1" customFormat="1" ht="14.4" spans="1:79">
      <c r="A336">
        <v>335</v>
      </c>
      <c r="B336" s="2" t="s">
        <v>79</v>
      </c>
      <c r="C336" s="1" t="s">
        <v>80</v>
      </c>
      <c r="D336" s="1" t="s">
        <v>6581</v>
      </c>
      <c r="E336" s="1" t="s">
        <v>82</v>
      </c>
      <c r="F336" s="1" t="s">
        <v>82</v>
      </c>
      <c r="G336" s="1" t="s">
        <v>82</v>
      </c>
      <c r="H336" s="1" t="s">
        <v>6582</v>
      </c>
      <c r="I336" s="1" t="s">
        <v>82</v>
      </c>
      <c r="J336" s="1" t="s">
        <v>82</v>
      </c>
      <c r="K336" s="1" t="s">
        <v>6583</v>
      </c>
      <c r="L336" s="1" t="s">
        <v>6526</v>
      </c>
      <c r="M336" s="1">
        <v>5.019</v>
      </c>
      <c r="O336" s="1" t="s">
        <v>82</v>
      </c>
      <c r="P336" s="1" t="s">
        <v>82</v>
      </c>
      <c r="Q336" s="1" t="s">
        <v>87</v>
      </c>
      <c r="R336" s="1" t="s">
        <v>115</v>
      </c>
      <c r="S336" s="1" t="s">
        <v>82</v>
      </c>
      <c r="T336" s="1" t="s">
        <v>82</v>
      </c>
      <c r="U336" s="1" t="s">
        <v>82</v>
      </c>
      <c r="V336" s="1" t="s">
        <v>82</v>
      </c>
      <c r="W336" s="1" t="s">
        <v>82</v>
      </c>
      <c r="X336" s="1" t="s">
        <v>6584</v>
      </c>
      <c r="Y336" s="1" t="s">
        <v>6585</v>
      </c>
      <c r="Z336" s="1" t="s">
        <v>6586</v>
      </c>
      <c r="AB336" s="1" t="s">
        <v>6587</v>
      </c>
      <c r="AC336" s="1" t="s">
        <v>6588</v>
      </c>
      <c r="AD336" s="1" t="s">
        <v>120</v>
      </c>
      <c r="AE336" s="1" t="s">
        <v>6589</v>
      </c>
      <c r="AF336" s="1" t="s">
        <v>6590</v>
      </c>
      <c r="AG336" s="1" t="s">
        <v>6591</v>
      </c>
      <c r="AH336" s="1" t="s">
        <v>82</v>
      </c>
      <c r="AI336" s="1" t="s">
        <v>6592</v>
      </c>
      <c r="AJ336" s="1" t="s">
        <v>6593</v>
      </c>
      <c r="AK336" s="1" t="s">
        <v>6594</v>
      </c>
      <c r="AL336" s="1" t="s">
        <v>6595</v>
      </c>
      <c r="AM336" s="1" t="s">
        <v>82</v>
      </c>
      <c r="AN336" s="1">
        <v>78</v>
      </c>
      <c r="AO336" s="1">
        <v>2</v>
      </c>
      <c r="AP336" s="1">
        <v>3</v>
      </c>
      <c r="AQ336" s="1">
        <v>10</v>
      </c>
      <c r="AR336" s="1">
        <v>14</v>
      </c>
      <c r="AS336" s="1" t="s">
        <v>2514</v>
      </c>
      <c r="AT336" s="1" t="s">
        <v>2515</v>
      </c>
      <c r="AU336" s="1" t="s">
        <v>2516</v>
      </c>
      <c r="AV336" s="1" t="s">
        <v>6538</v>
      </c>
      <c r="AW336" s="1" t="s">
        <v>6539</v>
      </c>
      <c r="AX336" s="1" t="s">
        <v>82</v>
      </c>
      <c r="AY336" s="1" t="s">
        <v>6540</v>
      </c>
      <c r="AZ336" s="1" t="s">
        <v>6541</v>
      </c>
      <c r="BA336" s="1" t="s">
        <v>657</v>
      </c>
      <c r="BB336" s="1">
        <v>2022</v>
      </c>
      <c r="BC336" s="1">
        <v>169</v>
      </c>
      <c r="BD336" s="1" t="s">
        <v>82</v>
      </c>
      <c r="BE336" s="1" t="s">
        <v>82</v>
      </c>
      <c r="BF336" s="1" t="s">
        <v>82</v>
      </c>
      <c r="BG336" s="1" t="s">
        <v>82</v>
      </c>
      <c r="BH336" s="1" t="s">
        <v>82</v>
      </c>
      <c r="BI336" s="1" t="s">
        <v>82</v>
      </c>
      <c r="BJ336" s="1" t="s">
        <v>82</v>
      </c>
      <c r="BK336" s="1">
        <v>107410</v>
      </c>
      <c r="BL336" s="1" t="s">
        <v>6596</v>
      </c>
      <c r="BM336" s="1" t="str">
        <f>HYPERLINK("http://dx.doi.org/10.1016/j.ympev.2022.107410","http://dx.doi.org/10.1016/j.ympev.2022.107410")</f>
        <v>http://dx.doi.org/10.1016/j.ympev.2022.107410</v>
      </c>
      <c r="BN336" s="1" t="s">
        <v>82</v>
      </c>
      <c r="BO336" s="1" t="s">
        <v>82</v>
      </c>
      <c r="BP336" s="1">
        <v>15</v>
      </c>
      <c r="BQ336" s="1" t="s">
        <v>6543</v>
      </c>
      <c r="BR336" s="1" t="s">
        <v>104</v>
      </c>
      <c r="BS336" s="1" t="s">
        <v>6543</v>
      </c>
      <c r="BT336" s="1" t="s">
        <v>6597</v>
      </c>
      <c r="BU336" s="1">
        <v>35031459</v>
      </c>
      <c r="BV336" s="1" t="s">
        <v>82</v>
      </c>
      <c r="BW336" s="1" t="s">
        <v>82</v>
      </c>
      <c r="BX336" s="1" t="s">
        <v>82</v>
      </c>
      <c r="BY336" s="1" t="s">
        <v>108</v>
      </c>
      <c r="BZ336" s="1" t="s">
        <v>6598</v>
      </c>
      <c r="CA336" s="1" t="str">
        <f>HYPERLINK("https%3A%2F%2Fwww.webofscience.com%2Fwos%2Fwoscc%2Ffull-record%2FWOS:000820603200001","View Full Record in Web of Science")</f>
        <v>View Full Record in Web of Science</v>
      </c>
    </row>
    <row r="337" s="1" customFormat="1" ht="14.4" spans="1:79">
      <c r="A337">
        <v>336</v>
      </c>
      <c r="B337" s="2" t="s">
        <v>79</v>
      </c>
      <c r="C337" s="1" t="s">
        <v>80</v>
      </c>
      <c r="D337" s="1" t="s">
        <v>6599</v>
      </c>
      <c r="E337" s="1" t="s">
        <v>82</v>
      </c>
      <c r="F337" s="1" t="s">
        <v>82</v>
      </c>
      <c r="G337" s="1" t="s">
        <v>82</v>
      </c>
      <c r="H337" s="1" t="s">
        <v>6600</v>
      </c>
      <c r="I337" s="1" t="s">
        <v>82</v>
      </c>
      <c r="J337" s="1" t="s">
        <v>82</v>
      </c>
      <c r="K337" s="1" t="s">
        <v>6601</v>
      </c>
      <c r="L337" s="1" t="s">
        <v>6526</v>
      </c>
      <c r="M337" s="1">
        <v>5.019</v>
      </c>
      <c r="O337" s="1" t="s">
        <v>82</v>
      </c>
      <c r="P337" s="1" t="s">
        <v>82</v>
      </c>
      <c r="Q337" s="1" t="s">
        <v>87</v>
      </c>
      <c r="R337" s="1" t="s">
        <v>115</v>
      </c>
      <c r="S337" s="1" t="s">
        <v>82</v>
      </c>
      <c r="T337" s="1" t="s">
        <v>82</v>
      </c>
      <c r="U337" s="1" t="s">
        <v>82</v>
      </c>
      <c r="V337" s="1" t="s">
        <v>82</v>
      </c>
      <c r="W337" s="1" t="s">
        <v>82</v>
      </c>
      <c r="X337" s="1" t="s">
        <v>6602</v>
      </c>
      <c r="Y337" s="1" t="s">
        <v>6603</v>
      </c>
      <c r="Z337" s="1" t="s">
        <v>6604</v>
      </c>
      <c r="AB337" s="1" t="s">
        <v>6605</v>
      </c>
      <c r="AC337" s="1" t="s">
        <v>6606</v>
      </c>
      <c r="AD337" s="1" t="s">
        <v>120</v>
      </c>
      <c r="AE337" s="1" t="s">
        <v>6607</v>
      </c>
      <c r="AF337" s="1" t="s">
        <v>6608</v>
      </c>
      <c r="AG337" s="1" t="s">
        <v>6609</v>
      </c>
      <c r="AH337" s="1" t="s">
        <v>6610</v>
      </c>
      <c r="AI337" s="1" t="s">
        <v>82</v>
      </c>
      <c r="AJ337" s="1" t="s">
        <v>6611</v>
      </c>
      <c r="AK337" s="1" t="s">
        <v>6612</v>
      </c>
      <c r="AL337" s="1" t="s">
        <v>6613</v>
      </c>
      <c r="AM337" s="1" t="s">
        <v>82</v>
      </c>
      <c r="AN337" s="1">
        <v>101</v>
      </c>
      <c r="AO337" s="1">
        <v>4</v>
      </c>
      <c r="AP337" s="1">
        <v>4</v>
      </c>
      <c r="AQ337" s="1">
        <v>15</v>
      </c>
      <c r="AR337" s="1">
        <v>27</v>
      </c>
      <c r="AS337" s="1" t="s">
        <v>2514</v>
      </c>
      <c r="AT337" s="1" t="s">
        <v>2515</v>
      </c>
      <c r="AU337" s="1" t="s">
        <v>2516</v>
      </c>
      <c r="AV337" s="1" t="s">
        <v>6538</v>
      </c>
      <c r="AW337" s="1" t="s">
        <v>6539</v>
      </c>
      <c r="AX337" s="1" t="s">
        <v>82</v>
      </c>
      <c r="AY337" s="1" t="s">
        <v>6540</v>
      </c>
      <c r="AZ337" s="1" t="s">
        <v>6541</v>
      </c>
      <c r="BA337" s="1" t="s">
        <v>1146</v>
      </c>
      <c r="BB337" s="1">
        <v>2022</v>
      </c>
      <c r="BC337" s="1">
        <v>171</v>
      </c>
      <c r="BD337" s="1" t="s">
        <v>82</v>
      </c>
      <c r="BE337" s="1" t="s">
        <v>82</v>
      </c>
      <c r="BF337" s="1" t="s">
        <v>82</v>
      </c>
      <c r="BG337" s="1" t="s">
        <v>82</v>
      </c>
      <c r="BH337" s="1" t="s">
        <v>82</v>
      </c>
      <c r="BI337" s="1" t="s">
        <v>82</v>
      </c>
      <c r="BJ337" s="1" t="s">
        <v>82</v>
      </c>
      <c r="BK337" s="1">
        <v>107458</v>
      </c>
      <c r="BL337" s="1" t="s">
        <v>6614</v>
      </c>
      <c r="BM337" s="1" t="str">
        <f>HYPERLINK("http://dx.doi.org/10.1016/j.ympev.2022.107458","http://dx.doi.org/10.1016/j.ympev.2022.107458")</f>
        <v>http://dx.doi.org/10.1016/j.ympev.2022.107458</v>
      </c>
      <c r="BN337" s="1" t="s">
        <v>82</v>
      </c>
      <c r="BO337" s="1" t="s">
        <v>267</v>
      </c>
      <c r="BP337" s="1">
        <v>14</v>
      </c>
      <c r="BQ337" s="1" t="s">
        <v>6543</v>
      </c>
      <c r="BR337" s="1" t="s">
        <v>104</v>
      </c>
      <c r="BS337" s="1" t="s">
        <v>6543</v>
      </c>
      <c r="BT337" s="1" t="s">
        <v>6615</v>
      </c>
      <c r="BU337" s="1">
        <v>35351637</v>
      </c>
      <c r="BV337" s="1" t="s">
        <v>82</v>
      </c>
      <c r="BW337" s="1" t="s">
        <v>82</v>
      </c>
      <c r="BX337" s="1" t="s">
        <v>82</v>
      </c>
      <c r="BY337" s="1" t="s">
        <v>108</v>
      </c>
      <c r="BZ337" s="1" t="s">
        <v>6616</v>
      </c>
      <c r="CA337" s="1" t="str">
        <f>HYPERLINK("https%3A%2F%2Fwww.webofscience.com%2Fwos%2Fwoscc%2Ffull-record%2FWOS:000792529000002","View Full Record in Web of Science")</f>
        <v>View Full Record in Web of Science</v>
      </c>
    </row>
    <row r="338" s="1" customFormat="1" ht="14.4" spans="1:79">
      <c r="A338">
        <v>337</v>
      </c>
      <c r="B338" s="2" t="s">
        <v>79</v>
      </c>
      <c r="C338" s="1" t="s">
        <v>80</v>
      </c>
      <c r="D338" s="1" t="s">
        <v>6617</v>
      </c>
      <c r="E338" s="1" t="s">
        <v>82</v>
      </c>
      <c r="F338" s="1" t="s">
        <v>82</v>
      </c>
      <c r="G338" s="1" t="s">
        <v>82</v>
      </c>
      <c r="H338" s="1" t="s">
        <v>6618</v>
      </c>
      <c r="I338" s="1" t="s">
        <v>82</v>
      </c>
      <c r="J338" s="1" t="s">
        <v>82</v>
      </c>
      <c r="K338" s="1" t="s">
        <v>6619</v>
      </c>
      <c r="L338" s="1" t="s">
        <v>6526</v>
      </c>
      <c r="M338" s="1">
        <v>5.019</v>
      </c>
      <c r="O338" s="1" t="s">
        <v>82</v>
      </c>
      <c r="P338" s="1" t="s">
        <v>82</v>
      </c>
      <c r="Q338" s="1" t="s">
        <v>87</v>
      </c>
      <c r="R338" s="1" t="s">
        <v>115</v>
      </c>
      <c r="S338" s="1" t="s">
        <v>82</v>
      </c>
      <c r="T338" s="1" t="s">
        <v>82</v>
      </c>
      <c r="U338" s="1" t="s">
        <v>82</v>
      </c>
      <c r="V338" s="1" t="s">
        <v>82</v>
      </c>
      <c r="W338" s="1" t="s">
        <v>82</v>
      </c>
      <c r="X338" s="1" t="s">
        <v>6620</v>
      </c>
      <c r="Y338" s="1" t="s">
        <v>6621</v>
      </c>
      <c r="Z338" s="1" t="s">
        <v>6622</v>
      </c>
      <c r="AB338" s="1" t="s">
        <v>6623</v>
      </c>
      <c r="AC338" s="1" t="s">
        <v>6624</v>
      </c>
      <c r="AD338" s="1" t="s">
        <v>206</v>
      </c>
      <c r="AE338" s="1" t="s">
        <v>6625</v>
      </c>
      <c r="AF338" s="1" t="s">
        <v>6626</v>
      </c>
      <c r="AG338" s="1" t="s">
        <v>6627</v>
      </c>
      <c r="AH338" s="1" t="s">
        <v>6628</v>
      </c>
      <c r="AI338" s="1" t="s">
        <v>82</v>
      </c>
      <c r="AJ338" s="1" t="s">
        <v>6629</v>
      </c>
      <c r="AK338" s="1" t="s">
        <v>6630</v>
      </c>
      <c r="AL338" s="1" t="s">
        <v>6631</v>
      </c>
      <c r="AM338" s="1" t="s">
        <v>82</v>
      </c>
      <c r="AN338" s="1">
        <v>108</v>
      </c>
      <c r="AO338" s="1">
        <v>1</v>
      </c>
      <c r="AP338" s="1">
        <v>2</v>
      </c>
      <c r="AQ338" s="1">
        <v>4</v>
      </c>
      <c r="AR338" s="1">
        <v>24</v>
      </c>
      <c r="AS338" s="1" t="s">
        <v>2514</v>
      </c>
      <c r="AT338" s="1" t="s">
        <v>2515</v>
      </c>
      <c r="AU338" s="1" t="s">
        <v>2516</v>
      </c>
      <c r="AV338" s="1" t="s">
        <v>6538</v>
      </c>
      <c r="AW338" s="1" t="s">
        <v>6539</v>
      </c>
      <c r="AX338" s="1" t="s">
        <v>82</v>
      </c>
      <c r="AY338" s="1" t="s">
        <v>6540</v>
      </c>
      <c r="AZ338" s="1" t="s">
        <v>6541</v>
      </c>
      <c r="BA338" s="1" t="s">
        <v>1826</v>
      </c>
      <c r="BB338" s="1">
        <v>2022</v>
      </c>
      <c r="BC338" s="1">
        <v>166</v>
      </c>
      <c r="BD338" s="1" t="s">
        <v>82</v>
      </c>
      <c r="BE338" s="1" t="s">
        <v>82</v>
      </c>
      <c r="BF338" s="1" t="s">
        <v>82</v>
      </c>
      <c r="BG338" s="1" t="s">
        <v>82</v>
      </c>
      <c r="BH338" s="1" t="s">
        <v>82</v>
      </c>
      <c r="BI338" s="1" t="s">
        <v>82</v>
      </c>
      <c r="BJ338" s="1" t="s">
        <v>82</v>
      </c>
      <c r="BK338" s="1">
        <v>107340</v>
      </c>
      <c r="BL338" s="1" t="s">
        <v>6632</v>
      </c>
      <c r="BM338" s="1" t="str">
        <f>HYPERLINK("http://dx.doi.org/10.1016/j.ympev.2021.107340","http://dx.doi.org/10.1016/j.ympev.2021.107340")</f>
        <v>http://dx.doi.org/10.1016/j.ympev.2021.107340</v>
      </c>
      <c r="BN338" s="1" t="s">
        <v>82</v>
      </c>
      <c r="BO338" s="1" t="s">
        <v>904</v>
      </c>
      <c r="BP338" s="1">
        <v>15</v>
      </c>
      <c r="BQ338" s="1" t="s">
        <v>6543</v>
      </c>
      <c r="BR338" s="1" t="s">
        <v>104</v>
      </c>
      <c r="BS338" s="1" t="s">
        <v>6543</v>
      </c>
      <c r="BT338" s="1" t="s">
        <v>6633</v>
      </c>
      <c r="BU338" s="1">
        <v>34737000</v>
      </c>
      <c r="BV338" s="1" t="s">
        <v>82</v>
      </c>
      <c r="BW338" s="1" t="s">
        <v>82</v>
      </c>
      <c r="BX338" s="1" t="s">
        <v>82</v>
      </c>
      <c r="BY338" s="1" t="s">
        <v>108</v>
      </c>
      <c r="BZ338" s="1" t="s">
        <v>6634</v>
      </c>
      <c r="CA338" s="1" t="str">
        <f>HYPERLINK("https%3A%2F%2Fwww.webofscience.com%2Fwos%2Fwoscc%2Ffull-record%2FWOS:000719791000001","View Full Record in Web of Science")</f>
        <v>View Full Record in Web of Science</v>
      </c>
    </row>
    <row r="339" s="1" customFormat="1" ht="14.4" spans="1:79">
      <c r="A339">
        <v>338</v>
      </c>
      <c r="B339" s="2" t="s">
        <v>79</v>
      </c>
      <c r="C339" s="1" t="s">
        <v>80</v>
      </c>
      <c r="D339" s="1" t="s">
        <v>6635</v>
      </c>
      <c r="E339" s="1" t="s">
        <v>82</v>
      </c>
      <c r="F339" s="1" t="s">
        <v>82</v>
      </c>
      <c r="G339" s="1" t="s">
        <v>82</v>
      </c>
      <c r="H339" s="1" t="s">
        <v>6636</v>
      </c>
      <c r="I339" s="1" t="s">
        <v>82</v>
      </c>
      <c r="J339" s="1" t="s">
        <v>82</v>
      </c>
      <c r="K339" s="1" t="s">
        <v>6637</v>
      </c>
      <c r="L339" s="1" t="s">
        <v>6638</v>
      </c>
      <c r="M339" s="1">
        <v>4.996</v>
      </c>
      <c r="O339" s="1" t="s">
        <v>82</v>
      </c>
      <c r="P339" s="1" t="s">
        <v>82</v>
      </c>
      <c r="Q339" s="1" t="s">
        <v>87</v>
      </c>
      <c r="R339" s="1" t="s">
        <v>115</v>
      </c>
      <c r="S339" s="1" t="s">
        <v>82</v>
      </c>
      <c r="T339" s="1" t="s">
        <v>82</v>
      </c>
      <c r="U339" s="1" t="s">
        <v>82</v>
      </c>
      <c r="V339" s="1" t="s">
        <v>82</v>
      </c>
      <c r="W339" s="1" t="s">
        <v>82</v>
      </c>
      <c r="X339" s="1" t="s">
        <v>82</v>
      </c>
      <c r="Y339" s="1" t="s">
        <v>6639</v>
      </c>
      <c r="Z339" s="1" t="s">
        <v>6640</v>
      </c>
      <c r="AA339" s="1">
        <v>1</v>
      </c>
      <c r="AB339" s="1" t="s">
        <v>6641</v>
      </c>
      <c r="AC339" s="1" t="s">
        <v>6642</v>
      </c>
      <c r="AD339" s="1" t="s">
        <v>93</v>
      </c>
      <c r="AE339" s="1" t="s">
        <v>6643</v>
      </c>
      <c r="AF339" s="1" t="s">
        <v>6644</v>
      </c>
      <c r="AG339" s="1" t="s">
        <v>6645</v>
      </c>
      <c r="AH339" s="1" t="s">
        <v>82</v>
      </c>
      <c r="AI339" s="1" t="s">
        <v>82</v>
      </c>
      <c r="AJ339" s="1" t="s">
        <v>6646</v>
      </c>
      <c r="AK339" s="1" t="s">
        <v>6647</v>
      </c>
      <c r="AL339" s="1" t="s">
        <v>6648</v>
      </c>
      <c r="AM339" s="1" t="s">
        <v>82</v>
      </c>
      <c r="AN339" s="1">
        <v>82</v>
      </c>
      <c r="AO339" s="1">
        <v>0</v>
      </c>
      <c r="AP339" s="1">
        <v>0</v>
      </c>
      <c r="AQ339" s="1">
        <v>13</v>
      </c>
      <c r="AR339" s="1">
        <v>13</v>
      </c>
      <c r="AS339" s="1" t="s">
        <v>95</v>
      </c>
      <c r="AT339" s="1" t="s">
        <v>96</v>
      </c>
      <c r="AU339" s="1" t="s">
        <v>97</v>
      </c>
      <c r="AV339" s="1" t="s">
        <v>6649</v>
      </c>
      <c r="AW339" s="1" t="s">
        <v>82</v>
      </c>
      <c r="AX339" s="1" t="s">
        <v>82</v>
      </c>
      <c r="AY339" s="1" t="s">
        <v>6650</v>
      </c>
      <c r="AZ339" s="1" t="s">
        <v>6651</v>
      </c>
      <c r="BA339" s="1" t="s">
        <v>4442</v>
      </c>
      <c r="BB339" s="1">
        <v>2022</v>
      </c>
      <c r="BC339" s="1">
        <v>12</v>
      </c>
      <c r="BD339" s="1">
        <v>1</v>
      </c>
      <c r="BE339" s="1" t="s">
        <v>82</v>
      </c>
      <c r="BF339" s="1" t="s">
        <v>82</v>
      </c>
      <c r="BG339" s="1" t="s">
        <v>82</v>
      </c>
      <c r="BH339" s="1" t="s">
        <v>82</v>
      </c>
      <c r="BI339" s="1" t="s">
        <v>82</v>
      </c>
      <c r="BJ339" s="1" t="s">
        <v>82</v>
      </c>
      <c r="BK339" s="1">
        <v>14814</v>
      </c>
      <c r="BL339" s="1" t="s">
        <v>6652</v>
      </c>
      <c r="BM339" s="1" t="str">
        <f>HYPERLINK("http://dx.doi.org/10.1038/s41598-022-17628-8","http://dx.doi.org/10.1038/s41598-022-17628-8")</f>
        <v>http://dx.doi.org/10.1038/s41598-022-17628-8</v>
      </c>
      <c r="BN339" s="1" t="s">
        <v>82</v>
      </c>
      <c r="BO339" s="1" t="s">
        <v>82</v>
      </c>
      <c r="BP339" s="1">
        <v>19</v>
      </c>
      <c r="BQ339" s="1" t="s">
        <v>103</v>
      </c>
      <c r="BR339" s="1" t="s">
        <v>104</v>
      </c>
      <c r="BS339" s="1" t="s">
        <v>105</v>
      </c>
      <c r="BT339" s="1" t="s">
        <v>6653</v>
      </c>
      <c r="BU339" s="1">
        <v>36045147</v>
      </c>
      <c r="BV339" s="1" t="s">
        <v>635</v>
      </c>
      <c r="BW339" s="1" t="s">
        <v>82</v>
      </c>
      <c r="BX339" s="1" t="s">
        <v>82</v>
      </c>
      <c r="BY339" s="1" t="s">
        <v>108</v>
      </c>
      <c r="BZ339" s="1" t="s">
        <v>6654</v>
      </c>
      <c r="CA339" s="1" t="str">
        <f>HYPERLINK("https%3A%2F%2Fwww.webofscience.com%2Fwos%2Fwoscc%2Ffull-record%2FWOS:000849359400005","View Full Record in Web of Science")</f>
        <v>View Full Record in Web of Science</v>
      </c>
    </row>
    <row r="340" s="1" customFormat="1" ht="14.4" spans="1:79">
      <c r="A340">
        <v>339</v>
      </c>
      <c r="B340" s="2" t="s">
        <v>79</v>
      </c>
      <c r="C340" s="1" t="s">
        <v>80</v>
      </c>
      <c r="D340" s="1" t="s">
        <v>6655</v>
      </c>
      <c r="E340" s="1" t="s">
        <v>82</v>
      </c>
      <c r="F340" s="1" t="s">
        <v>82</v>
      </c>
      <c r="G340" s="1" t="s">
        <v>82</v>
      </c>
      <c r="H340" s="1" t="s">
        <v>6656</v>
      </c>
      <c r="I340" s="1" t="s">
        <v>82</v>
      </c>
      <c r="J340" s="1" t="s">
        <v>82</v>
      </c>
      <c r="K340" s="1" t="s">
        <v>6657</v>
      </c>
      <c r="L340" s="1" t="s">
        <v>6658</v>
      </c>
      <c r="M340" s="1">
        <v>4.993</v>
      </c>
      <c r="O340" s="1" t="s">
        <v>82</v>
      </c>
      <c r="P340" s="1" t="s">
        <v>82</v>
      </c>
      <c r="Q340" s="1" t="s">
        <v>87</v>
      </c>
      <c r="R340" s="1" t="s">
        <v>1624</v>
      </c>
      <c r="S340" s="1" t="s">
        <v>82</v>
      </c>
      <c r="T340" s="1" t="s">
        <v>82</v>
      </c>
      <c r="U340" s="1" t="s">
        <v>82</v>
      </c>
      <c r="V340" s="1" t="s">
        <v>82</v>
      </c>
      <c r="W340" s="1" t="s">
        <v>82</v>
      </c>
      <c r="X340" s="1" t="s">
        <v>6659</v>
      </c>
      <c r="Y340" s="1" t="s">
        <v>6660</v>
      </c>
      <c r="Z340" s="1" t="s">
        <v>6661</v>
      </c>
      <c r="AB340" s="1" t="s">
        <v>4417</v>
      </c>
      <c r="AC340" s="1" t="s">
        <v>6662</v>
      </c>
      <c r="AD340" s="1" t="s">
        <v>206</v>
      </c>
      <c r="AE340" s="1" t="s">
        <v>6663</v>
      </c>
      <c r="AF340" s="1" t="s">
        <v>6664</v>
      </c>
      <c r="AG340" s="1" t="s">
        <v>6665</v>
      </c>
      <c r="AH340" s="1" t="s">
        <v>4422</v>
      </c>
      <c r="AI340" s="1" t="s">
        <v>4423</v>
      </c>
      <c r="AJ340" s="1" t="s">
        <v>6666</v>
      </c>
      <c r="AK340" s="1" t="s">
        <v>6667</v>
      </c>
      <c r="AL340" s="1" t="s">
        <v>6668</v>
      </c>
      <c r="AM340" s="1" t="s">
        <v>82</v>
      </c>
      <c r="AN340" s="1">
        <v>71</v>
      </c>
      <c r="AO340" s="1">
        <v>2</v>
      </c>
      <c r="AP340" s="1">
        <v>2</v>
      </c>
      <c r="AQ340" s="1">
        <v>31</v>
      </c>
      <c r="AR340" s="1">
        <v>31</v>
      </c>
      <c r="AS340" s="1" t="s">
        <v>215</v>
      </c>
      <c r="AT340" s="1" t="s">
        <v>6669</v>
      </c>
      <c r="AU340" s="1" t="s">
        <v>6670</v>
      </c>
      <c r="AV340" s="1" t="s">
        <v>6671</v>
      </c>
      <c r="AW340" s="1" t="s">
        <v>6672</v>
      </c>
      <c r="AX340" s="1" t="s">
        <v>82</v>
      </c>
      <c r="AY340" s="1" t="s">
        <v>6673</v>
      </c>
      <c r="AZ340" s="1" t="s">
        <v>6674</v>
      </c>
      <c r="BA340" s="1" t="s">
        <v>82</v>
      </c>
      <c r="BB340" s="1" t="s">
        <v>82</v>
      </c>
      <c r="BC340" s="1" t="s">
        <v>82</v>
      </c>
      <c r="BD340" s="1" t="s">
        <v>82</v>
      </c>
      <c r="BE340" s="1" t="s">
        <v>82</v>
      </c>
      <c r="BF340" s="1" t="s">
        <v>82</v>
      </c>
      <c r="BG340" s="1" t="s">
        <v>82</v>
      </c>
      <c r="BH340" s="1" t="s">
        <v>82</v>
      </c>
      <c r="BI340" s="1" t="s">
        <v>82</v>
      </c>
      <c r="BJ340" s="1" t="s">
        <v>82</v>
      </c>
      <c r="BK340" s="1" t="s">
        <v>82</v>
      </c>
      <c r="BL340" s="1" t="s">
        <v>6675</v>
      </c>
      <c r="BM340" s="1" t="str">
        <f>HYPERLINK("http://dx.doi.org/10.1007/s11104-022-05646-4","http://dx.doi.org/10.1007/s11104-022-05646-4")</f>
        <v>http://dx.doi.org/10.1007/s11104-022-05646-4</v>
      </c>
      <c r="BN340" s="1" t="s">
        <v>82</v>
      </c>
      <c r="BO340" s="1" t="s">
        <v>424</v>
      </c>
      <c r="BP340" s="1">
        <v>14</v>
      </c>
      <c r="BQ340" s="1" t="s">
        <v>6676</v>
      </c>
      <c r="BR340" s="1" t="s">
        <v>104</v>
      </c>
      <c r="BS340" s="1" t="s">
        <v>6677</v>
      </c>
      <c r="BT340" s="1" t="s">
        <v>6678</v>
      </c>
      <c r="BU340" s="1" t="s">
        <v>82</v>
      </c>
      <c r="BV340" s="1" t="s">
        <v>82</v>
      </c>
      <c r="BW340" s="1" t="s">
        <v>82</v>
      </c>
      <c r="BX340" s="1" t="s">
        <v>82</v>
      </c>
      <c r="BY340" s="1" t="s">
        <v>108</v>
      </c>
      <c r="BZ340" s="1" t="s">
        <v>6679</v>
      </c>
      <c r="CA340" s="1" t="str">
        <f>HYPERLINK("https%3A%2F%2Fwww.webofscience.com%2Fwos%2Fwoscc%2Ffull-record%2FWOS:000841066700004","View Full Record in Web of Science")</f>
        <v>View Full Record in Web of Science</v>
      </c>
    </row>
    <row r="341" s="1" customFormat="1" ht="14.4" spans="1:79">
      <c r="A341">
        <v>340</v>
      </c>
      <c r="B341" s="2" t="s">
        <v>79</v>
      </c>
      <c r="C341" s="1" t="s">
        <v>80</v>
      </c>
      <c r="D341" s="1" t="s">
        <v>6680</v>
      </c>
      <c r="E341" s="1" t="s">
        <v>82</v>
      </c>
      <c r="F341" s="1" t="s">
        <v>82</v>
      </c>
      <c r="G341" s="1" t="s">
        <v>82</v>
      </c>
      <c r="H341" s="1" t="s">
        <v>6681</v>
      </c>
      <c r="I341" s="1" t="s">
        <v>82</v>
      </c>
      <c r="J341" s="1" t="s">
        <v>82</v>
      </c>
      <c r="K341" s="1" t="s">
        <v>6682</v>
      </c>
      <c r="L341" s="1" t="s">
        <v>6683</v>
      </c>
      <c r="M341" s="1">
        <v>4.964</v>
      </c>
      <c r="O341" s="1" t="s">
        <v>82</v>
      </c>
      <c r="P341" s="1" t="s">
        <v>82</v>
      </c>
      <c r="Q341" s="1" t="s">
        <v>87</v>
      </c>
      <c r="R341" s="1" t="s">
        <v>115</v>
      </c>
      <c r="S341" s="1" t="s">
        <v>82</v>
      </c>
      <c r="T341" s="1" t="s">
        <v>82</v>
      </c>
      <c r="U341" s="1" t="s">
        <v>82</v>
      </c>
      <c r="V341" s="1" t="s">
        <v>82</v>
      </c>
      <c r="W341" s="1" t="s">
        <v>82</v>
      </c>
      <c r="X341" s="1" t="s">
        <v>6684</v>
      </c>
      <c r="Y341" s="1" t="s">
        <v>6685</v>
      </c>
      <c r="Z341" s="1" t="s">
        <v>6686</v>
      </c>
      <c r="AB341" s="1" t="s">
        <v>6687</v>
      </c>
      <c r="AC341" s="1" t="s">
        <v>6688</v>
      </c>
      <c r="AD341" s="1" t="s">
        <v>120</v>
      </c>
      <c r="AE341" s="1" t="s">
        <v>6689</v>
      </c>
      <c r="AF341" s="1" t="s">
        <v>6690</v>
      </c>
      <c r="AG341" s="1" t="s">
        <v>6691</v>
      </c>
      <c r="AH341" s="1" t="s">
        <v>82</v>
      </c>
      <c r="AI341" s="1" t="s">
        <v>6692</v>
      </c>
      <c r="AJ341" s="1" t="s">
        <v>6693</v>
      </c>
      <c r="AK341" s="1" t="s">
        <v>6694</v>
      </c>
      <c r="AL341" s="1" t="s">
        <v>6695</v>
      </c>
      <c r="AM341" s="1" t="s">
        <v>82</v>
      </c>
      <c r="AN341" s="1">
        <v>63</v>
      </c>
      <c r="AO341" s="1">
        <v>1</v>
      </c>
      <c r="AP341" s="1">
        <v>1</v>
      </c>
      <c r="AQ341" s="1">
        <v>3</v>
      </c>
      <c r="AR341" s="1">
        <v>5</v>
      </c>
      <c r="AS341" s="1" t="s">
        <v>215</v>
      </c>
      <c r="AT341" s="1" t="s">
        <v>216</v>
      </c>
      <c r="AU341" s="1" t="s">
        <v>217</v>
      </c>
      <c r="AV341" s="1" t="s">
        <v>6696</v>
      </c>
      <c r="AW341" s="1" t="s">
        <v>6697</v>
      </c>
      <c r="AX341" s="1" t="s">
        <v>82</v>
      </c>
      <c r="AY341" s="1" t="s">
        <v>6698</v>
      </c>
      <c r="AZ341" s="1" t="s">
        <v>6699</v>
      </c>
      <c r="BA341" s="1" t="s">
        <v>2521</v>
      </c>
      <c r="BB341" s="1">
        <v>2022</v>
      </c>
      <c r="BC341" s="1">
        <v>41</v>
      </c>
      <c r="BD341" s="1">
        <v>8</v>
      </c>
      <c r="BE341" s="1" t="s">
        <v>82</v>
      </c>
      <c r="BF341" s="1" t="s">
        <v>82</v>
      </c>
      <c r="BG341" s="1" t="s">
        <v>82</v>
      </c>
      <c r="BH341" s="1" t="s">
        <v>82</v>
      </c>
      <c r="BI341" s="1">
        <v>1751</v>
      </c>
      <c r="BJ341" s="1">
        <v>1761</v>
      </c>
      <c r="BK341" s="1" t="s">
        <v>82</v>
      </c>
      <c r="BL341" s="1" t="s">
        <v>6700</v>
      </c>
      <c r="BM341" s="1" t="str">
        <f>HYPERLINK("http://dx.doi.org/10.1007/s00299-022-02889-4","http://dx.doi.org/10.1007/s00299-022-02889-4")</f>
        <v>http://dx.doi.org/10.1007/s00299-022-02889-4</v>
      </c>
      <c r="BN341" s="1" t="s">
        <v>82</v>
      </c>
      <c r="BO341" s="1" t="s">
        <v>1298</v>
      </c>
      <c r="BP341" s="1">
        <v>11</v>
      </c>
      <c r="BQ341" s="1" t="s">
        <v>378</v>
      </c>
      <c r="BR341" s="1" t="s">
        <v>104</v>
      </c>
      <c r="BS341" s="1" t="s">
        <v>378</v>
      </c>
      <c r="BT341" s="1" t="s">
        <v>6701</v>
      </c>
      <c r="BU341" s="1">
        <v>35748890</v>
      </c>
      <c r="BV341" s="1" t="s">
        <v>427</v>
      </c>
      <c r="BW341" s="1" t="s">
        <v>82</v>
      </c>
      <c r="BX341" s="1" t="s">
        <v>82</v>
      </c>
      <c r="BY341" s="1" t="s">
        <v>108</v>
      </c>
      <c r="BZ341" s="1" t="s">
        <v>6702</v>
      </c>
      <c r="CA341" s="1" t="str">
        <f>HYPERLINK("https%3A%2F%2Fwww.webofscience.com%2Fwos%2Fwoscc%2Ffull-record%2FWOS:000815412600001","View Full Record in Web of Science")</f>
        <v>View Full Record in Web of Science</v>
      </c>
    </row>
    <row r="342" s="1" customFormat="1" ht="14.4" spans="1:79">
      <c r="A342">
        <v>341</v>
      </c>
      <c r="B342" s="2" t="s">
        <v>79</v>
      </c>
      <c r="C342" s="1" t="s">
        <v>80</v>
      </c>
      <c r="D342" s="1" t="s">
        <v>6703</v>
      </c>
      <c r="E342" s="1" t="s">
        <v>82</v>
      </c>
      <c r="F342" s="1" t="s">
        <v>82</v>
      </c>
      <c r="G342" s="1" t="s">
        <v>82</v>
      </c>
      <c r="H342" s="1" t="s">
        <v>6704</v>
      </c>
      <c r="I342" s="1" t="s">
        <v>82</v>
      </c>
      <c r="J342" s="1" t="s">
        <v>82</v>
      </c>
      <c r="K342" s="1" t="s">
        <v>6705</v>
      </c>
      <c r="L342" s="1" t="s">
        <v>6706</v>
      </c>
      <c r="M342" s="1">
        <v>4.956</v>
      </c>
      <c r="O342" s="1" t="s">
        <v>82</v>
      </c>
      <c r="P342" s="1" t="s">
        <v>82</v>
      </c>
      <c r="Q342" s="1" t="s">
        <v>87</v>
      </c>
      <c r="R342" s="1" t="s">
        <v>115</v>
      </c>
      <c r="S342" s="1" t="s">
        <v>82</v>
      </c>
      <c r="T342" s="1" t="s">
        <v>82</v>
      </c>
      <c r="U342" s="1" t="s">
        <v>82</v>
      </c>
      <c r="V342" s="1" t="s">
        <v>82</v>
      </c>
      <c r="W342" s="1" t="s">
        <v>82</v>
      </c>
      <c r="X342" s="1" t="s">
        <v>6707</v>
      </c>
      <c r="Y342" s="1" t="s">
        <v>6708</v>
      </c>
      <c r="Z342" s="1" t="s">
        <v>6709</v>
      </c>
      <c r="AA342" s="1">
        <v>1</v>
      </c>
      <c r="AB342" s="1" t="s">
        <v>6710</v>
      </c>
      <c r="AC342" s="1" t="s">
        <v>6711</v>
      </c>
      <c r="AD342" s="1" t="s">
        <v>93</v>
      </c>
      <c r="AE342" s="1" t="s">
        <v>6712</v>
      </c>
      <c r="AF342" s="1" t="s">
        <v>6713</v>
      </c>
      <c r="AG342" s="1" t="s">
        <v>6357</v>
      </c>
      <c r="AH342" s="1" t="s">
        <v>6714</v>
      </c>
      <c r="AI342" s="1" t="s">
        <v>6715</v>
      </c>
      <c r="AJ342" s="1" t="s">
        <v>6716</v>
      </c>
      <c r="AK342" s="1" t="s">
        <v>6717</v>
      </c>
      <c r="AL342" s="1" t="s">
        <v>6718</v>
      </c>
      <c r="AM342" s="1" t="s">
        <v>82</v>
      </c>
      <c r="AN342" s="1">
        <v>133</v>
      </c>
      <c r="AO342" s="1">
        <v>2</v>
      </c>
      <c r="AP342" s="1">
        <v>2</v>
      </c>
      <c r="AQ342" s="1">
        <v>18</v>
      </c>
      <c r="AR342" s="1">
        <v>18</v>
      </c>
      <c r="AS342" s="1" t="s">
        <v>479</v>
      </c>
      <c r="AT342" s="1" t="s">
        <v>480</v>
      </c>
      <c r="AU342" s="1" t="s">
        <v>481</v>
      </c>
      <c r="AV342" s="1" t="s">
        <v>6719</v>
      </c>
      <c r="AW342" s="1" t="s">
        <v>6720</v>
      </c>
      <c r="AX342" s="1" t="s">
        <v>82</v>
      </c>
      <c r="AY342" s="1" t="s">
        <v>6721</v>
      </c>
      <c r="AZ342" s="1" t="s">
        <v>6722</v>
      </c>
      <c r="BA342" s="1" t="s">
        <v>2521</v>
      </c>
      <c r="BB342" s="1">
        <v>2022</v>
      </c>
      <c r="BC342" s="1">
        <v>215</v>
      </c>
      <c r="BD342" s="1" t="s">
        <v>82</v>
      </c>
      <c r="BE342" s="1" t="s">
        <v>82</v>
      </c>
      <c r="BF342" s="1" t="s">
        <v>82</v>
      </c>
      <c r="BG342" s="1" t="s">
        <v>82</v>
      </c>
      <c r="BH342" s="1" t="s">
        <v>82</v>
      </c>
      <c r="BI342" s="1" t="s">
        <v>82</v>
      </c>
      <c r="BJ342" s="1" t="s">
        <v>82</v>
      </c>
      <c r="BK342" s="1">
        <v>103893</v>
      </c>
      <c r="BL342" s="1" t="s">
        <v>6723</v>
      </c>
      <c r="BM342" s="1" t="str">
        <f>HYPERLINK("http://dx.doi.org/10.1016/j.gloplacha.2022.103893","http://dx.doi.org/10.1016/j.gloplacha.2022.103893")</f>
        <v>http://dx.doi.org/10.1016/j.gloplacha.2022.103893</v>
      </c>
      <c r="BN342" s="1" t="s">
        <v>82</v>
      </c>
      <c r="BO342" s="1" t="s">
        <v>1257</v>
      </c>
      <c r="BP342" s="1">
        <v>15</v>
      </c>
      <c r="BQ342" s="1" t="s">
        <v>6724</v>
      </c>
      <c r="BR342" s="1" t="s">
        <v>104</v>
      </c>
      <c r="BS342" s="1" t="s">
        <v>6725</v>
      </c>
      <c r="BT342" s="1" t="s">
        <v>6726</v>
      </c>
      <c r="BU342" s="1" t="s">
        <v>82</v>
      </c>
      <c r="BV342" s="1" t="s">
        <v>82</v>
      </c>
      <c r="BW342" s="1" t="s">
        <v>82</v>
      </c>
      <c r="BX342" s="1" t="s">
        <v>82</v>
      </c>
      <c r="BY342" s="1" t="s">
        <v>108</v>
      </c>
      <c r="BZ342" s="1" t="s">
        <v>6727</v>
      </c>
      <c r="CA342" s="1" t="str">
        <f>HYPERLINK("https%3A%2F%2Fwww.webofscience.com%2Fwos%2Fwoscc%2Ffull-record%2FWOS:000853336000009","View Full Record in Web of Science")</f>
        <v>View Full Record in Web of Science</v>
      </c>
    </row>
    <row r="343" s="1" customFormat="1" ht="14.4" spans="1:79">
      <c r="A343">
        <v>342</v>
      </c>
      <c r="B343" s="2" t="s">
        <v>79</v>
      </c>
      <c r="C343" s="1" t="s">
        <v>80</v>
      </c>
      <c r="D343" s="1" t="s">
        <v>6728</v>
      </c>
      <c r="E343" s="1" t="s">
        <v>82</v>
      </c>
      <c r="F343" s="1" t="s">
        <v>82</v>
      </c>
      <c r="G343" s="1" t="s">
        <v>82</v>
      </c>
      <c r="H343" s="1" t="s">
        <v>6729</v>
      </c>
      <c r="I343" s="1" t="s">
        <v>82</v>
      </c>
      <c r="J343" s="1" t="s">
        <v>82</v>
      </c>
      <c r="K343" s="1" t="s">
        <v>6730</v>
      </c>
      <c r="L343" s="1" t="s">
        <v>6731</v>
      </c>
      <c r="M343" s="1">
        <v>4.927</v>
      </c>
      <c r="O343" s="1" t="s">
        <v>82</v>
      </c>
      <c r="P343" s="1" t="s">
        <v>82</v>
      </c>
      <c r="Q343" s="1" t="s">
        <v>87</v>
      </c>
      <c r="R343" s="1" t="s">
        <v>115</v>
      </c>
      <c r="S343" s="1" t="s">
        <v>82</v>
      </c>
      <c r="T343" s="1" t="s">
        <v>82</v>
      </c>
      <c r="U343" s="1" t="s">
        <v>82</v>
      </c>
      <c r="V343" s="1" t="s">
        <v>82</v>
      </c>
      <c r="W343" s="1" t="s">
        <v>82</v>
      </c>
      <c r="X343" s="1" t="s">
        <v>6732</v>
      </c>
      <c r="Y343" s="1" t="s">
        <v>6733</v>
      </c>
      <c r="Z343" s="1" t="s">
        <v>6734</v>
      </c>
      <c r="AB343" s="1" t="s">
        <v>6735</v>
      </c>
      <c r="AC343" s="1" t="s">
        <v>6736</v>
      </c>
      <c r="AD343" s="1" t="s">
        <v>120</v>
      </c>
      <c r="AE343" s="1" t="s">
        <v>6737</v>
      </c>
      <c r="AF343" s="1" t="s">
        <v>6738</v>
      </c>
      <c r="AG343" s="1" t="s">
        <v>6739</v>
      </c>
      <c r="AH343" s="1" t="s">
        <v>82</v>
      </c>
      <c r="AI343" s="1" t="s">
        <v>6740</v>
      </c>
      <c r="AJ343" s="1" t="s">
        <v>6741</v>
      </c>
      <c r="AK343" s="1" t="s">
        <v>6742</v>
      </c>
      <c r="AL343" s="1" t="s">
        <v>6743</v>
      </c>
      <c r="AM343" s="1" t="s">
        <v>82</v>
      </c>
      <c r="AN343" s="1">
        <v>55</v>
      </c>
      <c r="AO343" s="1">
        <v>0</v>
      </c>
      <c r="AP343" s="1">
        <v>0</v>
      </c>
      <c r="AQ343" s="1">
        <v>0</v>
      </c>
      <c r="AR343" s="1">
        <v>0</v>
      </c>
      <c r="AS343" s="1" t="s">
        <v>2117</v>
      </c>
      <c r="AT343" s="1" t="s">
        <v>2118</v>
      </c>
      <c r="AU343" s="1" t="s">
        <v>2119</v>
      </c>
      <c r="AV343" s="1" t="s">
        <v>82</v>
      </c>
      <c r="AW343" s="1" t="s">
        <v>6744</v>
      </c>
      <c r="AX343" s="1" t="s">
        <v>82</v>
      </c>
      <c r="AY343" s="1" t="s">
        <v>6731</v>
      </c>
      <c r="AZ343" s="1" t="s">
        <v>6745</v>
      </c>
      <c r="BA343" s="1" t="s">
        <v>2123</v>
      </c>
      <c r="BB343" s="1">
        <v>2022</v>
      </c>
      <c r="BC343" s="1">
        <v>27</v>
      </c>
      <c r="BD343" s="1">
        <v>24</v>
      </c>
      <c r="BE343" s="1" t="s">
        <v>82</v>
      </c>
      <c r="BF343" s="1" t="s">
        <v>82</v>
      </c>
      <c r="BG343" s="1" t="s">
        <v>82</v>
      </c>
      <c r="BH343" s="1" t="s">
        <v>82</v>
      </c>
      <c r="BI343" s="1" t="s">
        <v>82</v>
      </c>
      <c r="BJ343" s="1" t="s">
        <v>82</v>
      </c>
      <c r="BK343" s="1">
        <v>8856</v>
      </c>
      <c r="BL343" s="1" t="s">
        <v>6746</v>
      </c>
      <c r="BM343" s="1" t="str">
        <f>HYPERLINK("http://dx.doi.org/10.3390/molecules27248856","http://dx.doi.org/10.3390/molecules27248856")</f>
        <v>http://dx.doi.org/10.3390/molecules27248856</v>
      </c>
      <c r="BN343" s="1" t="s">
        <v>82</v>
      </c>
      <c r="BO343" s="1" t="s">
        <v>82</v>
      </c>
      <c r="BP343" s="1">
        <v>19</v>
      </c>
      <c r="BQ343" s="1" t="s">
        <v>4026</v>
      </c>
      <c r="BR343" s="1" t="s">
        <v>104</v>
      </c>
      <c r="BS343" s="1" t="s">
        <v>4027</v>
      </c>
      <c r="BT343" s="1" t="s">
        <v>6747</v>
      </c>
      <c r="BU343" s="1">
        <v>36557988</v>
      </c>
      <c r="BV343" s="1" t="s">
        <v>592</v>
      </c>
      <c r="BW343" s="1" t="s">
        <v>82</v>
      </c>
      <c r="BX343" s="1" t="s">
        <v>82</v>
      </c>
      <c r="BY343" s="1" t="s">
        <v>108</v>
      </c>
      <c r="BZ343" s="1" t="s">
        <v>6748</v>
      </c>
      <c r="CA343" s="1" t="str">
        <f>HYPERLINK("https%3A%2F%2Fwww.webofscience.com%2Fwos%2Fwoscc%2Ffull-record%2FWOS:000904277400001","View Full Record in Web of Science")</f>
        <v>View Full Record in Web of Science</v>
      </c>
    </row>
    <row r="344" s="1" customFormat="1" ht="14.4" spans="1:79">
      <c r="A344">
        <v>343</v>
      </c>
      <c r="B344" s="2" t="s">
        <v>110</v>
      </c>
      <c r="C344" s="1" t="s">
        <v>80</v>
      </c>
      <c r="D344" s="1" t="s">
        <v>6749</v>
      </c>
      <c r="E344" s="1" t="s">
        <v>82</v>
      </c>
      <c r="F344" s="1" t="s">
        <v>82</v>
      </c>
      <c r="G344" s="1" t="s">
        <v>82</v>
      </c>
      <c r="H344" s="1" t="s">
        <v>6750</v>
      </c>
      <c r="I344" s="1" t="s">
        <v>82</v>
      </c>
      <c r="J344" s="1" t="s">
        <v>82</v>
      </c>
      <c r="K344" s="1" t="s">
        <v>6751</v>
      </c>
      <c r="L344" s="1" t="s">
        <v>6731</v>
      </c>
      <c r="M344" s="1">
        <v>4.927</v>
      </c>
      <c r="O344" s="1" t="s">
        <v>82</v>
      </c>
      <c r="P344" s="1" t="s">
        <v>82</v>
      </c>
      <c r="Q344" s="1" t="s">
        <v>87</v>
      </c>
      <c r="R344" s="1" t="s">
        <v>115</v>
      </c>
      <c r="S344" s="1" t="s">
        <v>82</v>
      </c>
      <c r="T344" s="1" t="s">
        <v>82</v>
      </c>
      <c r="U344" s="1" t="s">
        <v>82</v>
      </c>
      <c r="V344" s="1" t="s">
        <v>82</v>
      </c>
      <c r="W344" s="1" t="s">
        <v>82</v>
      </c>
      <c r="X344" s="1" t="s">
        <v>6752</v>
      </c>
      <c r="Y344" s="1" t="s">
        <v>6753</v>
      </c>
      <c r="Z344" s="1" t="s">
        <v>6754</v>
      </c>
      <c r="AB344" s="1" t="s">
        <v>6755</v>
      </c>
      <c r="AC344" s="1" t="s">
        <v>6756</v>
      </c>
      <c r="AD344" s="1" t="s">
        <v>206</v>
      </c>
      <c r="AE344" s="1" t="s">
        <v>6757</v>
      </c>
      <c r="AF344" s="1" t="s">
        <v>6758</v>
      </c>
      <c r="AG344" s="1" t="s">
        <v>6759</v>
      </c>
      <c r="AH344" s="1" t="s">
        <v>5915</v>
      </c>
      <c r="AI344" s="1" t="s">
        <v>5916</v>
      </c>
      <c r="AJ344" s="1" t="s">
        <v>6760</v>
      </c>
      <c r="AK344" s="1" t="s">
        <v>6761</v>
      </c>
      <c r="AL344" s="1" t="s">
        <v>6762</v>
      </c>
      <c r="AM344" s="1" t="s">
        <v>82</v>
      </c>
      <c r="AN344" s="1">
        <v>30</v>
      </c>
      <c r="AO344" s="1">
        <v>0</v>
      </c>
      <c r="AP344" s="1">
        <v>0</v>
      </c>
      <c r="AQ344" s="1">
        <v>5</v>
      </c>
      <c r="AR344" s="1">
        <v>5</v>
      </c>
      <c r="AS344" s="1" t="s">
        <v>2117</v>
      </c>
      <c r="AT344" s="1" t="s">
        <v>2118</v>
      </c>
      <c r="AU344" s="1" t="s">
        <v>2119</v>
      </c>
      <c r="AV344" s="1" t="s">
        <v>82</v>
      </c>
      <c r="AW344" s="1" t="s">
        <v>6744</v>
      </c>
      <c r="AX344" s="1" t="s">
        <v>82</v>
      </c>
      <c r="AY344" s="1" t="s">
        <v>6731</v>
      </c>
      <c r="AZ344" s="1" t="s">
        <v>6745</v>
      </c>
      <c r="BA344" s="1" t="s">
        <v>486</v>
      </c>
      <c r="BB344" s="1">
        <v>2022</v>
      </c>
      <c r="BC344" s="1">
        <v>27</v>
      </c>
      <c r="BD344" s="1">
        <v>22</v>
      </c>
      <c r="BE344" s="1" t="s">
        <v>82</v>
      </c>
      <c r="BF344" s="1" t="s">
        <v>82</v>
      </c>
      <c r="BG344" s="1" t="s">
        <v>82</v>
      </c>
      <c r="BH344" s="1" t="s">
        <v>82</v>
      </c>
      <c r="BI344" s="1" t="s">
        <v>82</v>
      </c>
      <c r="BJ344" s="1" t="s">
        <v>82</v>
      </c>
      <c r="BK344" s="1">
        <v>7676</v>
      </c>
      <c r="BL344" s="1" t="s">
        <v>6763</v>
      </c>
      <c r="BM344" s="1" t="str">
        <f>HYPERLINK("http://dx.doi.org/10.3390/molecules27227676","http://dx.doi.org/10.3390/molecules27227676")</f>
        <v>http://dx.doi.org/10.3390/molecules27227676</v>
      </c>
      <c r="BN344" s="1" t="s">
        <v>82</v>
      </c>
      <c r="BO344" s="1" t="s">
        <v>82</v>
      </c>
      <c r="BP344" s="1">
        <v>9</v>
      </c>
      <c r="BQ344" s="1" t="s">
        <v>4026</v>
      </c>
      <c r="BR344" s="1" t="s">
        <v>104</v>
      </c>
      <c r="BS344" s="1" t="s">
        <v>4027</v>
      </c>
      <c r="BT344" s="1" t="s">
        <v>6764</v>
      </c>
      <c r="BU344" s="1">
        <v>36431777</v>
      </c>
      <c r="BV344" s="1" t="s">
        <v>635</v>
      </c>
      <c r="BW344" s="1" t="s">
        <v>82</v>
      </c>
      <c r="BX344" s="1" t="s">
        <v>82</v>
      </c>
      <c r="BY344" s="1" t="s">
        <v>108</v>
      </c>
      <c r="BZ344" s="1" t="s">
        <v>6765</v>
      </c>
      <c r="CA344" s="1" t="str">
        <f>HYPERLINK("https%3A%2F%2Fwww.webofscience.com%2Fwos%2Fwoscc%2Ffull-record%2FWOS:000888118700001","View Full Record in Web of Science")</f>
        <v>View Full Record in Web of Science</v>
      </c>
    </row>
    <row r="345" s="1" customFormat="1" ht="14.4" spans="1:79">
      <c r="A345">
        <v>344</v>
      </c>
      <c r="B345" s="2" t="s">
        <v>79</v>
      </c>
      <c r="C345" s="1" t="s">
        <v>80</v>
      </c>
      <c r="D345" s="1" t="s">
        <v>6766</v>
      </c>
      <c r="E345" s="1" t="s">
        <v>82</v>
      </c>
      <c r="F345" s="1" t="s">
        <v>82</v>
      </c>
      <c r="G345" s="1" t="s">
        <v>82</v>
      </c>
      <c r="H345" s="1" t="s">
        <v>6767</v>
      </c>
      <c r="I345" s="1" t="s">
        <v>82</v>
      </c>
      <c r="J345" s="1" t="s">
        <v>82</v>
      </c>
      <c r="K345" s="1" t="s">
        <v>6768</v>
      </c>
      <c r="L345" s="1" t="s">
        <v>6731</v>
      </c>
      <c r="M345" s="1">
        <v>4.927</v>
      </c>
      <c r="O345" s="1" t="s">
        <v>82</v>
      </c>
      <c r="P345" s="1" t="s">
        <v>82</v>
      </c>
      <c r="Q345" s="1" t="s">
        <v>87</v>
      </c>
      <c r="R345" s="1" t="s">
        <v>115</v>
      </c>
      <c r="S345" s="1" t="s">
        <v>82</v>
      </c>
      <c r="T345" s="1" t="s">
        <v>82</v>
      </c>
      <c r="U345" s="1" t="s">
        <v>82</v>
      </c>
      <c r="V345" s="1" t="s">
        <v>82</v>
      </c>
      <c r="W345" s="1" t="s">
        <v>82</v>
      </c>
      <c r="X345" s="1" t="s">
        <v>6769</v>
      </c>
      <c r="Y345" s="1" t="s">
        <v>6770</v>
      </c>
      <c r="Z345" s="1" t="s">
        <v>6771</v>
      </c>
      <c r="AB345" s="1" t="s">
        <v>6772</v>
      </c>
      <c r="AC345" s="1" t="s">
        <v>6773</v>
      </c>
      <c r="AD345" s="1" t="s">
        <v>120</v>
      </c>
      <c r="AE345" s="1" t="s">
        <v>6774</v>
      </c>
      <c r="AF345" s="1" t="s">
        <v>6775</v>
      </c>
      <c r="AG345" s="1" t="s">
        <v>6198</v>
      </c>
      <c r="AH345" s="1" t="s">
        <v>82</v>
      </c>
      <c r="AI345" s="1" t="s">
        <v>6776</v>
      </c>
      <c r="AJ345" s="1" t="s">
        <v>6777</v>
      </c>
      <c r="AK345" s="1" t="s">
        <v>6778</v>
      </c>
      <c r="AL345" s="1" t="s">
        <v>6779</v>
      </c>
      <c r="AM345" s="1" t="s">
        <v>82</v>
      </c>
      <c r="AN345" s="1">
        <v>28</v>
      </c>
      <c r="AO345" s="1">
        <v>0</v>
      </c>
      <c r="AP345" s="1">
        <v>0</v>
      </c>
      <c r="AQ345" s="1">
        <v>5</v>
      </c>
      <c r="AR345" s="1">
        <v>5</v>
      </c>
      <c r="AS345" s="1" t="s">
        <v>2117</v>
      </c>
      <c r="AT345" s="1" t="s">
        <v>2118</v>
      </c>
      <c r="AU345" s="1" t="s">
        <v>2119</v>
      </c>
      <c r="AV345" s="1" t="s">
        <v>82</v>
      </c>
      <c r="AW345" s="1" t="s">
        <v>6744</v>
      </c>
      <c r="AX345" s="1" t="s">
        <v>82</v>
      </c>
      <c r="AY345" s="1" t="s">
        <v>6731</v>
      </c>
      <c r="AZ345" s="1" t="s">
        <v>6745</v>
      </c>
      <c r="BA345" s="1" t="s">
        <v>486</v>
      </c>
      <c r="BB345" s="1">
        <v>2022</v>
      </c>
      <c r="BC345" s="1">
        <v>27</v>
      </c>
      <c r="BD345" s="1">
        <v>21</v>
      </c>
      <c r="BE345" s="1" t="s">
        <v>82</v>
      </c>
      <c r="BF345" s="1" t="s">
        <v>82</v>
      </c>
      <c r="BG345" s="1" t="s">
        <v>82</v>
      </c>
      <c r="BH345" s="1" t="s">
        <v>82</v>
      </c>
      <c r="BI345" s="1" t="s">
        <v>82</v>
      </c>
      <c r="BJ345" s="1" t="s">
        <v>82</v>
      </c>
      <c r="BK345" s="1">
        <v>7573</v>
      </c>
      <c r="BL345" s="1" t="s">
        <v>6780</v>
      </c>
      <c r="BM345" s="1" t="str">
        <f>HYPERLINK("http://dx.doi.org/10.3390/molecules27217573","http://dx.doi.org/10.3390/molecules27217573")</f>
        <v>http://dx.doi.org/10.3390/molecules27217573</v>
      </c>
      <c r="BN345" s="1" t="s">
        <v>82</v>
      </c>
      <c r="BO345" s="1" t="s">
        <v>82</v>
      </c>
      <c r="BP345" s="1">
        <v>16</v>
      </c>
      <c r="BQ345" s="1" t="s">
        <v>4026</v>
      </c>
      <c r="BR345" s="1" t="s">
        <v>104</v>
      </c>
      <c r="BS345" s="1" t="s">
        <v>4027</v>
      </c>
      <c r="BT345" s="1" t="s">
        <v>6781</v>
      </c>
      <c r="BU345" s="1">
        <v>36364400</v>
      </c>
      <c r="BV345" s="1" t="s">
        <v>592</v>
      </c>
      <c r="BW345" s="1" t="s">
        <v>82</v>
      </c>
      <c r="BX345" s="1" t="s">
        <v>82</v>
      </c>
      <c r="BY345" s="1" t="s">
        <v>108</v>
      </c>
      <c r="BZ345" s="1" t="s">
        <v>6782</v>
      </c>
      <c r="CA345" s="1" t="str">
        <f>HYPERLINK("https%3A%2F%2Fwww.webofscience.com%2Fwos%2Fwoscc%2Ffull-record%2FWOS:000884041700001","View Full Record in Web of Science")</f>
        <v>View Full Record in Web of Science</v>
      </c>
    </row>
    <row r="346" s="1" customFormat="1" ht="14.4" spans="1:79">
      <c r="A346">
        <v>345</v>
      </c>
      <c r="B346" s="2" t="s">
        <v>110</v>
      </c>
      <c r="C346" s="1" t="s">
        <v>80</v>
      </c>
      <c r="D346" s="1" t="s">
        <v>6783</v>
      </c>
      <c r="E346" s="1" t="s">
        <v>82</v>
      </c>
      <c r="F346" s="1" t="s">
        <v>82</v>
      </c>
      <c r="G346" s="1" t="s">
        <v>82</v>
      </c>
      <c r="H346" s="1" t="s">
        <v>6784</v>
      </c>
      <c r="I346" s="1" t="s">
        <v>82</v>
      </c>
      <c r="J346" s="1" t="s">
        <v>82</v>
      </c>
      <c r="K346" s="1" t="s">
        <v>6785</v>
      </c>
      <c r="L346" s="1" t="s">
        <v>6731</v>
      </c>
      <c r="M346" s="1">
        <v>4.927</v>
      </c>
      <c r="O346" s="1" t="s">
        <v>82</v>
      </c>
      <c r="P346" s="1" t="s">
        <v>82</v>
      </c>
      <c r="Q346" s="1" t="s">
        <v>87</v>
      </c>
      <c r="R346" s="1" t="s">
        <v>115</v>
      </c>
      <c r="S346" s="1" t="s">
        <v>82</v>
      </c>
      <c r="T346" s="1" t="s">
        <v>82</v>
      </c>
      <c r="U346" s="1" t="s">
        <v>82</v>
      </c>
      <c r="V346" s="1" t="s">
        <v>82</v>
      </c>
      <c r="W346" s="1" t="s">
        <v>82</v>
      </c>
      <c r="X346" s="1" t="s">
        <v>6786</v>
      </c>
      <c r="Y346" s="1" t="s">
        <v>6787</v>
      </c>
      <c r="Z346" s="1" t="s">
        <v>6788</v>
      </c>
      <c r="AA346" s="1">
        <v>1</v>
      </c>
      <c r="AB346" s="1" t="s">
        <v>6789</v>
      </c>
      <c r="AC346" s="1" t="s">
        <v>6790</v>
      </c>
      <c r="AD346" s="1" t="s">
        <v>93</v>
      </c>
      <c r="AE346" s="1" t="s">
        <v>1630</v>
      </c>
      <c r="AF346" s="1" t="s">
        <v>6791</v>
      </c>
      <c r="AG346" s="1" t="s">
        <v>6792</v>
      </c>
      <c r="AH346" s="1" t="s">
        <v>82</v>
      </c>
      <c r="AI346" s="1" t="s">
        <v>82</v>
      </c>
      <c r="AJ346" s="1" t="s">
        <v>6793</v>
      </c>
      <c r="AK346" s="1" t="s">
        <v>6794</v>
      </c>
      <c r="AL346" s="1" t="s">
        <v>6795</v>
      </c>
      <c r="AM346" s="1" t="s">
        <v>82</v>
      </c>
      <c r="AN346" s="1">
        <v>56</v>
      </c>
      <c r="AO346" s="1">
        <v>0</v>
      </c>
      <c r="AP346" s="1">
        <v>0</v>
      </c>
      <c r="AQ346" s="1">
        <v>3</v>
      </c>
      <c r="AR346" s="1">
        <v>3</v>
      </c>
      <c r="AS346" s="1" t="s">
        <v>2117</v>
      </c>
      <c r="AT346" s="1" t="s">
        <v>2118</v>
      </c>
      <c r="AU346" s="1" t="s">
        <v>2119</v>
      </c>
      <c r="AV346" s="1" t="s">
        <v>82</v>
      </c>
      <c r="AW346" s="1" t="s">
        <v>6744</v>
      </c>
      <c r="AX346" s="1" t="s">
        <v>82</v>
      </c>
      <c r="AY346" s="1" t="s">
        <v>6731</v>
      </c>
      <c r="AZ346" s="1" t="s">
        <v>6745</v>
      </c>
      <c r="BA346" s="1" t="s">
        <v>222</v>
      </c>
      <c r="BB346" s="1">
        <v>2022</v>
      </c>
      <c r="BC346" s="1">
        <v>27</v>
      </c>
      <c r="BD346" s="1">
        <v>17</v>
      </c>
      <c r="BE346" s="1" t="s">
        <v>82</v>
      </c>
      <c r="BF346" s="1" t="s">
        <v>82</v>
      </c>
      <c r="BG346" s="1" t="s">
        <v>82</v>
      </c>
      <c r="BH346" s="1" t="s">
        <v>82</v>
      </c>
      <c r="BI346" s="1" t="s">
        <v>82</v>
      </c>
      <c r="BJ346" s="1" t="s">
        <v>82</v>
      </c>
      <c r="BK346" s="1">
        <v>5691</v>
      </c>
      <c r="BL346" s="1" t="s">
        <v>6796</v>
      </c>
      <c r="BM346" s="1" t="str">
        <f>HYPERLINK("http://dx.doi.org/10.3390/molecules27175691","http://dx.doi.org/10.3390/molecules27175691")</f>
        <v>http://dx.doi.org/10.3390/molecules27175691</v>
      </c>
      <c r="BN346" s="1" t="s">
        <v>82</v>
      </c>
      <c r="BO346" s="1" t="s">
        <v>82</v>
      </c>
      <c r="BP346" s="1">
        <v>16</v>
      </c>
      <c r="BQ346" s="1" t="s">
        <v>4026</v>
      </c>
      <c r="BR346" s="1" t="s">
        <v>104</v>
      </c>
      <c r="BS346" s="1" t="s">
        <v>4027</v>
      </c>
      <c r="BT346" s="1" t="s">
        <v>6797</v>
      </c>
      <c r="BU346" s="1">
        <v>36080458</v>
      </c>
      <c r="BV346" s="1" t="s">
        <v>635</v>
      </c>
      <c r="BW346" s="1" t="s">
        <v>82</v>
      </c>
      <c r="BX346" s="1" t="s">
        <v>82</v>
      </c>
      <c r="BY346" s="1" t="s">
        <v>108</v>
      </c>
      <c r="BZ346" s="1" t="s">
        <v>6798</v>
      </c>
      <c r="CA346" s="1" t="str">
        <f>HYPERLINK("https%3A%2F%2Fwww.webofscience.com%2Fwos%2Fwoscc%2Ffull-record%2FWOS:000851767500001","View Full Record in Web of Science")</f>
        <v>View Full Record in Web of Science</v>
      </c>
    </row>
    <row r="347" s="1" customFormat="1" ht="14.4" spans="1:79">
      <c r="A347">
        <v>346</v>
      </c>
      <c r="B347" s="2" t="s">
        <v>110</v>
      </c>
      <c r="C347" s="1" t="s">
        <v>80</v>
      </c>
      <c r="D347" s="1" t="s">
        <v>6799</v>
      </c>
      <c r="E347" s="1" t="s">
        <v>82</v>
      </c>
      <c r="F347" s="1" t="s">
        <v>82</v>
      </c>
      <c r="G347" s="1" t="s">
        <v>82</v>
      </c>
      <c r="H347" s="1" t="s">
        <v>6800</v>
      </c>
      <c r="I347" s="1" t="s">
        <v>82</v>
      </c>
      <c r="J347" s="1" t="s">
        <v>82</v>
      </c>
      <c r="K347" s="1" t="s">
        <v>6801</v>
      </c>
      <c r="L347" s="1" t="s">
        <v>6731</v>
      </c>
      <c r="M347" s="1">
        <v>4.927</v>
      </c>
      <c r="O347" s="1" t="s">
        <v>82</v>
      </c>
      <c r="P347" s="1" t="s">
        <v>82</v>
      </c>
      <c r="Q347" s="1" t="s">
        <v>87</v>
      </c>
      <c r="R347" s="1" t="s">
        <v>115</v>
      </c>
      <c r="S347" s="1" t="s">
        <v>82</v>
      </c>
      <c r="T347" s="1" t="s">
        <v>82</v>
      </c>
      <c r="U347" s="1" t="s">
        <v>82</v>
      </c>
      <c r="V347" s="1" t="s">
        <v>82</v>
      </c>
      <c r="W347" s="1" t="s">
        <v>82</v>
      </c>
      <c r="X347" s="1" t="s">
        <v>6802</v>
      </c>
      <c r="Y347" s="1" t="s">
        <v>6803</v>
      </c>
      <c r="Z347" s="1" t="s">
        <v>6804</v>
      </c>
      <c r="AB347" s="1" t="s">
        <v>6805</v>
      </c>
      <c r="AC347" s="1" t="s">
        <v>6806</v>
      </c>
      <c r="AD347" s="1" t="s">
        <v>206</v>
      </c>
      <c r="AE347" s="1" t="s">
        <v>6807</v>
      </c>
      <c r="AF347" s="1" t="s">
        <v>6808</v>
      </c>
      <c r="AG347" s="1" t="s">
        <v>6809</v>
      </c>
      <c r="AH347" s="1" t="s">
        <v>82</v>
      </c>
      <c r="AI347" s="1" t="s">
        <v>82</v>
      </c>
      <c r="AJ347" s="1" t="s">
        <v>6810</v>
      </c>
      <c r="AK347" s="1" t="s">
        <v>6811</v>
      </c>
      <c r="AL347" s="1" t="s">
        <v>6812</v>
      </c>
      <c r="AM347" s="1" t="s">
        <v>82</v>
      </c>
      <c r="AN347" s="1">
        <v>54</v>
      </c>
      <c r="AO347" s="1">
        <v>0</v>
      </c>
      <c r="AP347" s="1">
        <v>0</v>
      </c>
      <c r="AQ347" s="1">
        <v>10</v>
      </c>
      <c r="AR347" s="1">
        <v>10</v>
      </c>
      <c r="AS347" s="1" t="s">
        <v>2117</v>
      </c>
      <c r="AT347" s="1" t="s">
        <v>2118</v>
      </c>
      <c r="AU347" s="1" t="s">
        <v>2119</v>
      </c>
      <c r="AV347" s="1" t="s">
        <v>82</v>
      </c>
      <c r="AW347" s="1" t="s">
        <v>6744</v>
      </c>
      <c r="AX347" s="1" t="s">
        <v>82</v>
      </c>
      <c r="AY347" s="1" t="s">
        <v>6731</v>
      </c>
      <c r="AZ347" s="1" t="s">
        <v>6745</v>
      </c>
      <c r="BA347" s="1" t="s">
        <v>2521</v>
      </c>
      <c r="BB347" s="1">
        <v>2022</v>
      </c>
      <c r="BC347" s="1">
        <v>27</v>
      </c>
      <c r="BD347" s="1">
        <v>15</v>
      </c>
      <c r="BE347" s="1" t="s">
        <v>82</v>
      </c>
      <c r="BF347" s="1" t="s">
        <v>82</v>
      </c>
      <c r="BG347" s="1" t="s">
        <v>82</v>
      </c>
      <c r="BH347" s="1" t="s">
        <v>82</v>
      </c>
      <c r="BI347" s="1" t="s">
        <v>82</v>
      </c>
      <c r="BJ347" s="1" t="s">
        <v>82</v>
      </c>
      <c r="BK347" s="1">
        <v>4991</v>
      </c>
      <c r="BL347" s="1" t="s">
        <v>6813</v>
      </c>
      <c r="BM347" s="1" t="str">
        <f>HYPERLINK("http://dx.doi.org/10.3390/molecules27154991","http://dx.doi.org/10.3390/molecules27154991")</f>
        <v>http://dx.doi.org/10.3390/molecules27154991</v>
      </c>
      <c r="BN347" s="1" t="s">
        <v>82</v>
      </c>
      <c r="BO347" s="1" t="s">
        <v>82</v>
      </c>
      <c r="BP347" s="1">
        <v>11</v>
      </c>
      <c r="BQ347" s="1" t="s">
        <v>4026</v>
      </c>
      <c r="BR347" s="1" t="s">
        <v>104</v>
      </c>
      <c r="BS347" s="1" t="s">
        <v>4027</v>
      </c>
      <c r="BT347" s="1" t="s">
        <v>6814</v>
      </c>
      <c r="BU347" s="1">
        <v>35956948</v>
      </c>
      <c r="BV347" s="1" t="s">
        <v>635</v>
      </c>
      <c r="BW347" s="1" t="s">
        <v>82</v>
      </c>
      <c r="BX347" s="1" t="s">
        <v>82</v>
      </c>
      <c r="BY347" s="1" t="s">
        <v>108</v>
      </c>
      <c r="BZ347" s="1" t="s">
        <v>6815</v>
      </c>
      <c r="CA347" s="1" t="str">
        <f>HYPERLINK("https%3A%2F%2Fwww.webofscience.com%2Fwos%2Fwoscc%2Ffull-record%2FWOS:000839948200001","View Full Record in Web of Science")</f>
        <v>View Full Record in Web of Science</v>
      </c>
    </row>
    <row r="348" s="1" customFormat="1" ht="14.4" spans="1:79">
      <c r="A348">
        <v>347</v>
      </c>
      <c r="B348" s="2" t="s">
        <v>110</v>
      </c>
      <c r="C348" s="1" t="s">
        <v>80</v>
      </c>
      <c r="D348" s="1" t="s">
        <v>6816</v>
      </c>
      <c r="E348" s="1" t="s">
        <v>82</v>
      </c>
      <c r="F348" s="1" t="s">
        <v>82</v>
      </c>
      <c r="G348" s="1" t="s">
        <v>82</v>
      </c>
      <c r="H348" s="1" t="s">
        <v>6817</v>
      </c>
      <c r="I348" s="1" t="s">
        <v>82</v>
      </c>
      <c r="J348" s="1" t="s">
        <v>82</v>
      </c>
      <c r="K348" s="1" t="s">
        <v>6818</v>
      </c>
      <c r="L348" s="1" t="s">
        <v>6731</v>
      </c>
      <c r="M348" s="1">
        <v>4.927</v>
      </c>
      <c r="O348" s="1" t="s">
        <v>82</v>
      </c>
      <c r="P348" s="1" t="s">
        <v>82</v>
      </c>
      <c r="Q348" s="1" t="s">
        <v>87</v>
      </c>
      <c r="R348" s="1" t="s">
        <v>115</v>
      </c>
      <c r="S348" s="1" t="s">
        <v>82</v>
      </c>
      <c r="T348" s="1" t="s">
        <v>82</v>
      </c>
      <c r="U348" s="1" t="s">
        <v>82</v>
      </c>
      <c r="V348" s="1" t="s">
        <v>82</v>
      </c>
      <c r="W348" s="1" t="s">
        <v>82</v>
      </c>
      <c r="X348" s="1" t="s">
        <v>6819</v>
      </c>
      <c r="Y348" s="1" t="s">
        <v>6820</v>
      </c>
      <c r="Z348" s="1" t="s">
        <v>6821</v>
      </c>
      <c r="AB348" s="1" t="s">
        <v>6822</v>
      </c>
      <c r="AC348" s="1" t="s">
        <v>6823</v>
      </c>
      <c r="AD348" s="1" t="s">
        <v>120</v>
      </c>
      <c r="AE348" s="1" t="s">
        <v>6824</v>
      </c>
      <c r="AF348" s="1" t="s">
        <v>6825</v>
      </c>
      <c r="AG348" s="1" t="s">
        <v>6826</v>
      </c>
      <c r="AH348" s="1" t="s">
        <v>82</v>
      </c>
      <c r="AI348" s="1" t="s">
        <v>82</v>
      </c>
      <c r="AJ348" s="1" t="s">
        <v>82</v>
      </c>
      <c r="AK348" s="1" t="s">
        <v>82</v>
      </c>
      <c r="AL348" s="1" t="s">
        <v>82</v>
      </c>
      <c r="AM348" s="1" t="s">
        <v>82</v>
      </c>
      <c r="AN348" s="1">
        <v>17</v>
      </c>
      <c r="AO348" s="1">
        <v>0</v>
      </c>
      <c r="AP348" s="1">
        <v>0</v>
      </c>
      <c r="AQ348" s="1">
        <v>4</v>
      </c>
      <c r="AR348" s="1">
        <v>4</v>
      </c>
      <c r="AS348" s="1" t="s">
        <v>2117</v>
      </c>
      <c r="AT348" s="1" t="s">
        <v>2118</v>
      </c>
      <c r="AU348" s="1" t="s">
        <v>2119</v>
      </c>
      <c r="AV348" s="1" t="s">
        <v>82</v>
      </c>
      <c r="AW348" s="1" t="s">
        <v>6744</v>
      </c>
      <c r="AX348" s="1" t="s">
        <v>82</v>
      </c>
      <c r="AY348" s="1" t="s">
        <v>6731</v>
      </c>
      <c r="AZ348" s="1" t="s">
        <v>6745</v>
      </c>
      <c r="BA348" s="1" t="s">
        <v>2521</v>
      </c>
      <c r="BB348" s="1">
        <v>2022</v>
      </c>
      <c r="BC348" s="1">
        <v>27</v>
      </c>
      <c r="BD348" s="1">
        <v>15</v>
      </c>
      <c r="BE348" s="1" t="s">
        <v>82</v>
      </c>
      <c r="BF348" s="1" t="s">
        <v>82</v>
      </c>
      <c r="BG348" s="1" t="s">
        <v>82</v>
      </c>
      <c r="BH348" s="1" t="s">
        <v>82</v>
      </c>
      <c r="BI348" s="1" t="s">
        <v>82</v>
      </c>
      <c r="BJ348" s="1" t="s">
        <v>82</v>
      </c>
      <c r="BK348" s="1">
        <v>4957</v>
      </c>
      <c r="BL348" s="1" t="s">
        <v>6827</v>
      </c>
      <c r="BM348" s="1" t="str">
        <f>HYPERLINK("http://dx.doi.org/10.3390/molecules27154957","http://dx.doi.org/10.3390/molecules27154957")</f>
        <v>http://dx.doi.org/10.3390/molecules27154957</v>
      </c>
      <c r="BN348" s="1" t="s">
        <v>82</v>
      </c>
      <c r="BO348" s="1" t="s">
        <v>82</v>
      </c>
      <c r="BP348" s="1">
        <v>9</v>
      </c>
      <c r="BQ348" s="1" t="s">
        <v>4026</v>
      </c>
      <c r="BR348" s="1" t="s">
        <v>104</v>
      </c>
      <c r="BS348" s="1" t="s">
        <v>4027</v>
      </c>
      <c r="BT348" s="1" t="s">
        <v>6828</v>
      </c>
      <c r="BU348" s="1">
        <v>35956907</v>
      </c>
      <c r="BV348" s="1" t="s">
        <v>635</v>
      </c>
      <c r="BW348" s="1" t="s">
        <v>82</v>
      </c>
      <c r="BX348" s="1" t="s">
        <v>82</v>
      </c>
      <c r="BY348" s="1" t="s">
        <v>108</v>
      </c>
      <c r="BZ348" s="1" t="s">
        <v>6829</v>
      </c>
      <c r="CA348" s="1" t="str">
        <f>HYPERLINK("https%3A%2F%2Fwww.webofscience.com%2Fwos%2Fwoscc%2Ffull-record%2FWOS:000839828500001","View Full Record in Web of Science")</f>
        <v>View Full Record in Web of Science</v>
      </c>
    </row>
    <row r="349" s="1" customFormat="1" ht="14.4" spans="1:79">
      <c r="A349">
        <v>348</v>
      </c>
      <c r="B349" s="2" t="s">
        <v>110</v>
      </c>
      <c r="C349" s="1" t="s">
        <v>80</v>
      </c>
      <c r="D349" s="1" t="s">
        <v>6830</v>
      </c>
      <c r="E349" s="1" t="s">
        <v>82</v>
      </c>
      <c r="F349" s="1" t="s">
        <v>82</v>
      </c>
      <c r="G349" s="1" t="s">
        <v>82</v>
      </c>
      <c r="H349" s="1" t="s">
        <v>6831</v>
      </c>
      <c r="I349" s="1" t="s">
        <v>82</v>
      </c>
      <c r="J349" s="1" t="s">
        <v>82</v>
      </c>
      <c r="K349" s="1" t="s">
        <v>6832</v>
      </c>
      <c r="L349" s="1" t="s">
        <v>6731</v>
      </c>
      <c r="M349" s="1">
        <v>4.927</v>
      </c>
      <c r="O349" s="1" t="s">
        <v>82</v>
      </c>
      <c r="P349" s="1" t="s">
        <v>82</v>
      </c>
      <c r="Q349" s="1" t="s">
        <v>87</v>
      </c>
      <c r="R349" s="1" t="s">
        <v>115</v>
      </c>
      <c r="S349" s="1" t="s">
        <v>82</v>
      </c>
      <c r="T349" s="1" t="s">
        <v>82</v>
      </c>
      <c r="U349" s="1" t="s">
        <v>82</v>
      </c>
      <c r="V349" s="1" t="s">
        <v>82</v>
      </c>
      <c r="W349" s="1" t="s">
        <v>82</v>
      </c>
      <c r="X349" s="1" t="s">
        <v>6833</v>
      </c>
      <c r="Y349" s="1" t="s">
        <v>6834</v>
      </c>
      <c r="Z349" s="1" t="s">
        <v>6835</v>
      </c>
      <c r="AB349" s="1" t="s">
        <v>6836</v>
      </c>
      <c r="AC349" s="1" t="s">
        <v>6837</v>
      </c>
      <c r="AD349" s="1" t="s">
        <v>206</v>
      </c>
      <c r="AE349" s="1" t="s">
        <v>6838</v>
      </c>
      <c r="AF349" s="1" t="s">
        <v>6839</v>
      </c>
      <c r="AG349" s="1" t="s">
        <v>6840</v>
      </c>
      <c r="AH349" s="1" t="s">
        <v>82</v>
      </c>
      <c r="AI349" s="1" t="s">
        <v>82</v>
      </c>
      <c r="AJ349" s="1" t="s">
        <v>6841</v>
      </c>
      <c r="AK349" s="1" t="s">
        <v>6842</v>
      </c>
      <c r="AL349" s="1" t="s">
        <v>6843</v>
      </c>
      <c r="AM349" s="1" t="s">
        <v>82</v>
      </c>
      <c r="AN349" s="1">
        <v>33</v>
      </c>
      <c r="AO349" s="1">
        <v>0</v>
      </c>
      <c r="AP349" s="1">
        <v>0</v>
      </c>
      <c r="AQ349" s="1">
        <v>6</v>
      </c>
      <c r="AR349" s="1">
        <v>6</v>
      </c>
      <c r="AS349" s="1" t="s">
        <v>2117</v>
      </c>
      <c r="AT349" s="1" t="s">
        <v>2118</v>
      </c>
      <c r="AU349" s="1" t="s">
        <v>2119</v>
      </c>
      <c r="AV349" s="1" t="s">
        <v>82</v>
      </c>
      <c r="AW349" s="1" t="s">
        <v>6744</v>
      </c>
      <c r="AX349" s="1" t="s">
        <v>82</v>
      </c>
      <c r="AY349" s="1" t="s">
        <v>6731</v>
      </c>
      <c r="AZ349" s="1" t="s">
        <v>6745</v>
      </c>
      <c r="BA349" s="1" t="s">
        <v>1403</v>
      </c>
      <c r="BB349" s="1">
        <v>2022</v>
      </c>
      <c r="BC349" s="1">
        <v>27</v>
      </c>
      <c r="BD349" s="1">
        <v>14</v>
      </c>
      <c r="BE349" s="1" t="s">
        <v>82</v>
      </c>
      <c r="BF349" s="1" t="s">
        <v>82</v>
      </c>
      <c r="BG349" s="1" t="s">
        <v>82</v>
      </c>
      <c r="BH349" s="1" t="s">
        <v>82</v>
      </c>
      <c r="BI349" s="1" t="s">
        <v>82</v>
      </c>
      <c r="BJ349" s="1" t="s">
        <v>82</v>
      </c>
      <c r="BK349" s="1">
        <v>4464</v>
      </c>
      <c r="BL349" s="1" t="s">
        <v>6844</v>
      </c>
      <c r="BM349" s="1" t="str">
        <f>HYPERLINK("http://dx.doi.org/10.3390/molecules27144464","http://dx.doi.org/10.3390/molecules27144464")</f>
        <v>http://dx.doi.org/10.3390/molecules27144464</v>
      </c>
      <c r="BN349" s="1" t="s">
        <v>82</v>
      </c>
      <c r="BO349" s="1" t="s">
        <v>82</v>
      </c>
      <c r="BP349" s="1">
        <v>15</v>
      </c>
      <c r="BQ349" s="1" t="s">
        <v>4026</v>
      </c>
      <c r="BR349" s="1" t="s">
        <v>104</v>
      </c>
      <c r="BS349" s="1" t="s">
        <v>4027</v>
      </c>
      <c r="BT349" s="1" t="s">
        <v>6845</v>
      </c>
      <c r="BU349" s="1">
        <v>35889337</v>
      </c>
      <c r="BV349" s="1" t="s">
        <v>592</v>
      </c>
      <c r="BW349" s="1" t="s">
        <v>82</v>
      </c>
      <c r="BX349" s="1" t="s">
        <v>82</v>
      </c>
      <c r="BY349" s="1" t="s">
        <v>108</v>
      </c>
      <c r="BZ349" s="1" t="s">
        <v>6846</v>
      </c>
      <c r="CA349" s="1" t="str">
        <f>HYPERLINK("https%3A%2F%2Fwww.webofscience.com%2Fwos%2Fwoscc%2Ffull-record%2FWOS:000833603700001","View Full Record in Web of Science")</f>
        <v>View Full Record in Web of Science</v>
      </c>
    </row>
    <row r="350" s="1" customFormat="1" ht="14.4" spans="1:79">
      <c r="A350">
        <v>349</v>
      </c>
      <c r="B350" s="2" t="s">
        <v>110</v>
      </c>
      <c r="C350" s="1" t="s">
        <v>80</v>
      </c>
      <c r="D350" s="1" t="s">
        <v>6847</v>
      </c>
      <c r="E350" s="1" t="s">
        <v>82</v>
      </c>
      <c r="F350" s="1" t="s">
        <v>82</v>
      </c>
      <c r="G350" s="1" t="s">
        <v>82</v>
      </c>
      <c r="H350" s="1" t="s">
        <v>6848</v>
      </c>
      <c r="I350" s="1" t="s">
        <v>82</v>
      </c>
      <c r="J350" s="1" t="s">
        <v>82</v>
      </c>
      <c r="K350" s="1" t="s">
        <v>6849</v>
      </c>
      <c r="L350" s="1" t="s">
        <v>6731</v>
      </c>
      <c r="M350" s="1">
        <v>4.927</v>
      </c>
      <c r="O350" s="1" t="s">
        <v>82</v>
      </c>
      <c r="P350" s="1" t="s">
        <v>82</v>
      </c>
      <c r="Q350" s="1" t="s">
        <v>87</v>
      </c>
      <c r="R350" s="1" t="s">
        <v>115</v>
      </c>
      <c r="S350" s="1" t="s">
        <v>82</v>
      </c>
      <c r="T350" s="1" t="s">
        <v>82</v>
      </c>
      <c r="U350" s="1" t="s">
        <v>82</v>
      </c>
      <c r="V350" s="1" t="s">
        <v>82</v>
      </c>
      <c r="W350" s="1" t="s">
        <v>82</v>
      </c>
      <c r="X350" s="1" t="s">
        <v>6850</v>
      </c>
      <c r="Y350" s="1" t="s">
        <v>6851</v>
      </c>
      <c r="Z350" s="1" t="s">
        <v>6852</v>
      </c>
      <c r="AB350" s="1" t="s">
        <v>6853</v>
      </c>
      <c r="AC350" s="1" t="s">
        <v>6854</v>
      </c>
      <c r="AD350" s="1" t="s">
        <v>206</v>
      </c>
      <c r="AE350" s="1" t="s">
        <v>6855</v>
      </c>
      <c r="AF350" s="1" t="s">
        <v>6856</v>
      </c>
      <c r="AG350" s="1" t="s">
        <v>6857</v>
      </c>
      <c r="AH350" s="1" t="s">
        <v>82</v>
      </c>
      <c r="AI350" s="1" t="s">
        <v>1503</v>
      </c>
      <c r="AJ350" s="1" t="s">
        <v>6858</v>
      </c>
      <c r="AK350" s="1" t="s">
        <v>6859</v>
      </c>
      <c r="AL350" s="1" t="s">
        <v>6860</v>
      </c>
      <c r="AM350" s="1" t="s">
        <v>82</v>
      </c>
      <c r="AN350" s="1">
        <v>45</v>
      </c>
      <c r="AO350" s="1">
        <v>1</v>
      </c>
      <c r="AP350" s="1">
        <v>1</v>
      </c>
      <c r="AQ350" s="1">
        <v>2</v>
      </c>
      <c r="AR350" s="1">
        <v>7</v>
      </c>
      <c r="AS350" s="1" t="s">
        <v>2117</v>
      </c>
      <c r="AT350" s="1" t="s">
        <v>2118</v>
      </c>
      <c r="AU350" s="1" t="s">
        <v>2119</v>
      </c>
      <c r="AV350" s="1" t="s">
        <v>82</v>
      </c>
      <c r="AW350" s="1" t="s">
        <v>6744</v>
      </c>
      <c r="AX350" s="1" t="s">
        <v>82</v>
      </c>
      <c r="AY350" s="1" t="s">
        <v>6731</v>
      </c>
      <c r="AZ350" s="1" t="s">
        <v>6745</v>
      </c>
      <c r="BA350" s="1" t="s">
        <v>2145</v>
      </c>
      <c r="BB350" s="1">
        <v>2022</v>
      </c>
      <c r="BC350" s="1">
        <v>27</v>
      </c>
      <c r="BD350" s="1">
        <v>5</v>
      </c>
      <c r="BE350" s="1" t="s">
        <v>82</v>
      </c>
      <c r="BF350" s="1" t="s">
        <v>82</v>
      </c>
      <c r="BG350" s="1" t="s">
        <v>82</v>
      </c>
      <c r="BH350" s="1" t="s">
        <v>82</v>
      </c>
      <c r="BI350" s="1" t="s">
        <v>82</v>
      </c>
      <c r="BJ350" s="1" t="s">
        <v>82</v>
      </c>
      <c r="BK350" s="1">
        <v>1730</v>
      </c>
      <c r="BL350" s="1" t="s">
        <v>6861</v>
      </c>
      <c r="BM350" s="1" t="str">
        <f>HYPERLINK("http://dx.doi.org/10.3390/molecules27051730","http://dx.doi.org/10.3390/molecules27051730")</f>
        <v>http://dx.doi.org/10.3390/molecules27051730</v>
      </c>
      <c r="BN350" s="1" t="s">
        <v>82</v>
      </c>
      <c r="BO350" s="1" t="s">
        <v>82</v>
      </c>
      <c r="BP350" s="1">
        <v>12</v>
      </c>
      <c r="BQ350" s="1" t="s">
        <v>4026</v>
      </c>
      <c r="BR350" s="1" t="s">
        <v>104</v>
      </c>
      <c r="BS350" s="1" t="s">
        <v>4027</v>
      </c>
      <c r="BT350" s="1" t="s">
        <v>6862</v>
      </c>
      <c r="BU350" s="1">
        <v>35268830</v>
      </c>
      <c r="BV350" s="1" t="s">
        <v>592</v>
      </c>
      <c r="BW350" s="1" t="s">
        <v>82</v>
      </c>
      <c r="BX350" s="1" t="s">
        <v>82</v>
      </c>
      <c r="BY350" s="1" t="s">
        <v>108</v>
      </c>
      <c r="BZ350" s="1" t="s">
        <v>6863</v>
      </c>
      <c r="CA350" s="1" t="str">
        <f>HYPERLINK("https%3A%2F%2Fwww.webofscience.com%2Fwos%2Fwoscc%2Ffull-record%2FWOS:000814406700001","View Full Record in Web of Science")</f>
        <v>View Full Record in Web of Science</v>
      </c>
    </row>
    <row r="351" s="1" customFormat="1" ht="14.4" spans="1:79">
      <c r="A351">
        <v>350</v>
      </c>
      <c r="B351" s="2" t="s">
        <v>79</v>
      </c>
      <c r="C351" s="1" t="s">
        <v>80</v>
      </c>
      <c r="D351" s="1" t="s">
        <v>6864</v>
      </c>
      <c r="E351" s="1" t="s">
        <v>82</v>
      </c>
      <c r="F351" s="1" t="s">
        <v>82</v>
      </c>
      <c r="G351" s="1" t="s">
        <v>82</v>
      </c>
      <c r="H351" s="1" t="s">
        <v>6865</v>
      </c>
      <c r="I351" s="1" t="s">
        <v>82</v>
      </c>
      <c r="J351" s="1" t="s">
        <v>82</v>
      </c>
      <c r="K351" s="1" t="s">
        <v>6866</v>
      </c>
      <c r="L351" s="1" t="s">
        <v>6731</v>
      </c>
      <c r="M351" s="1">
        <v>4.927</v>
      </c>
      <c r="O351" s="1" t="s">
        <v>82</v>
      </c>
      <c r="P351" s="1" t="s">
        <v>82</v>
      </c>
      <c r="Q351" s="1" t="s">
        <v>87</v>
      </c>
      <c r="R351" s="1" t="s">
        <v>115</v>
      </c>
      <c r="S351" s="1" t="s">
        <v>82</v>
      </c>
      <c r="T351" s="1" t="s">
        <v>82</v>
      </c>
      <c r="U351" s="1" t="s">
        <v>82</v>
      </c>
      <c r="V351" s="1" t="s">
        <v>82</v>
      </c>
      <c r="W351" s="1" t="s">
        <v>82</v>
      </c>
      <c r="X351" s="1" t="s">
        <v>6867</v>
      </c>
      <c r="Y351" s="1" t="s">
        <v>82</v>
      </c>
      <c r="Z351" s="1" t="s">
        <v>6868</v>
      </c>
      <c r="AB351" s="1" t="s">
        <v>6869</v>
      </c>
      <c r="AC351" s="1" t="s">
        <v>6870</v>
      </c>
      <c r="AD351" s="1" t="s">
        <v>120</v>
      </c>
      <c r="AE351" s="1" t="s">
        <v>6871</v>
      </c>
      <c r="AF351" s="1" t="s">
        <v>6872</v>
      </c>
      <c r="AG351" s="1" t="s">
        <v>6873</v>
      </c>
      <c r="AH351" s="1" t="s">
        <v>82</v>
      </c>
      <c r="AI351" s="1" t="s">
        <v>82</v>
      </c>
      <c r="AJ351" s="1" t="s">
        <v>6874</v>
      </c>
      <c r="AK351" s="1" t="s">
        <v>6875</v>
      </c>
      <c r="AL351" s="1" t="s">
        <v>6876</v>
      </c>
      <c r="AM351" s="1" t="s">
        <v>82</v>
      </c>
      <c r="AN351" s="1">
        <v>24</v>
      </c>
      <c r="AO351" s="1">
        <v>0</v>
      </c>
      <c r="AP351" s="1">
        <v>0</v>
      </c>
      <c r="AQ351" s="1">
        <v>4</v>
      </c>
      <c r="AR351" s="1">
        <v>7</v>
      </c>
      <c r="AS351" s="1" t="s">
        <v>2117</v>
      </c>
      <c r="AT351" s="1" t="s">
        <v>2118</v>
      </c>
      <c r="AU351" s="1" t="s">
        <v>2119</v>
      </c>
      <c r="AV351" s="1" t="s">
        <v>82</v>
      </c>
      <c r="AW351" s="1" t="s">
        <v>6744</v>
      </c>
      <c r="AX351" s="1" t="s">
        <v>82</v>
      </c>
      <c r="AY351" s="1" t="s">
        <v>6731</v>
      </c>
      <c r="AZ351" s="1" t="s">
        <v>6745</v>
      </c>
      <c r="BA351" s="1" t="s">
        <v>657</v>
      </c>
      <c r="BB351" s="1">
        <v>2022</v>
      </c>
      <c r="BC351" s="1">
        <v>27</v>
      </c>
      <c r="BD351" s="1">
        <v>7</v>
      </c>
      <c r="BE351" s="1" t="s">
        <v>82</v>
      </c>
      <c r="BF351" s="1" t="s">
        <v>82</v>
      </c>
      <c r="BG351" s="1" t="s">
        <v>82</v>
      </c>
      <c r="BH351" s="1" t="s">
        <v>82</v>
      </c>
      <c r="BI351" s="1" t="s">
        <v>82</v>
      </c>
      <c r="BJ351" s="1" t="s">
        <v>82</v>
      </c>
      <c r="BK351" s="1">
        <v>2161</v>
      </c>
      <c r="BL351" s="1" t="s">
        <v>6877</v>
      </c>
      <c r="BM351" s="1" t="str">
        <f>HYPERLINK("http://dx.doi.org/10.3390/molecules27072161","http://dx.doi.org/10.3390/molecules27072161")</f>
        <v>http://dx.doi.org/10.3390/molecules27072161</v>
      </c>
      <c r="BN351" s="1" t="s">
        <v>82</v>
      </c>
      <c r="BO351" s="1" t="s">
        <v>82</v>
      </c>
      <c r="BP351" s="1">
        <v>11</v>
      </c>
      <c r="BQ351" s="1" t="s">
        <v>4026</v>
      </c>
      <c r="BR351" s="1" t="s">
        <v>104</v>
      </c>
      <c r="BS351" s="1" t="s">
        <v>4027</v>
      </c>
      <c r="BT351" s="1" t="s">
        <v>6878</v>
      </c>
      <c r="BU351" s="1">
        <v>35408562</v>
      </c>
      <c r="BV351" s="1" t="s">
        <v>635</v>
      </c>
      <c r="BW351" s="1" t="s">
        <v>82</v>
      </c>
      <c r="BX351" s="1" t="s">
        <v>82</v>
      </c>
      <c r="BY351" s="1" t="s">
        <v>108</v>
      </c>
      <c r="BZ351" s="1" t="s">
        <v>6879</v>
      </c>
      <c r="CA351" s="1" t="str">
        <f>HYPERLINK("https%3A%2F%2Fwww.webofscience.com%2Fwos%2Fwoscc%2Ffull-record%2FWOS:000781711200001","View Full Record in Web of Science")</f>
        <v>View Full Record in Web of Science</v>
      </c>
    </row>
    <row r="352" s="1" customFormat="1" ht="14.4" spans="1:79">
      <c r="A352">
        <v>351</v>
      </c>
      <c r="B352" s="2" t="s">
        <v>79</v>
      </c>
      <c r="C352" s="1" t="s">
        <v>80</v>
      </c>
      <c r="D352" s="1" t="s">
        <v>6880</v>
      </c>
      <c r="E352" s="1" t="s">
        <v>82</v>
      </c>
      <c r="F352" s="1" t="s">
        <v>82</v>
      </c>
      <c r="G352" s="1" t="s">
        <v>82</v>
      </c>
      <c r="H352" s="1" t="s">
        <v>6881</v>
      </c>
      <c r="I352" s="1" t="s">
        <v>82</v>
      </c>
      <c r="J352" s="1" t="s">
        <v>82</v>
      </c>
      <c r="K352" s="1" t="s">
        <v>6882</v>
      </c>
      <c r="L352" s="1" t="s">
        <v>6883</v>
      </c>
      <c r="M352" s="1">
        <v>4.926</v>
      </c>
      <c r="O352" s="1" t="s">
        <v>82</v>
      </c>
      <c r="P352" s="1" t="s">
        <v>82</v>
      </c>
      <c r="Q352" s="1" t="s">
        <v>87</v>
      </c>
      <c r="R352" s="1" t="s">
        <v>115</v>
      </c>
      <c r="S352" s="1" t="s">
        <v>82</v>
      </c>
      <c r="T352" s="1" t="s">
        <v>82</v>
      </c>
      <c r="U352" s="1" t="s">
        <v>82</v>
      </c>
      <c r="V352" s="1" t="s">
        <v>82</v>
      </c>
      <c r="W352" s="1" t="s">
        <v>82</v>
      </c>
      <c r="X352" s="1" t="s">
        <v>6884</v>
      </c>
      <c r="Y352" s="1" t="s">
        <v>6885</v>
      </c>
      <c r="Z352" s="1" t="s">
        <v>6886</v>
      </c>
      <c r="AB352" s="1" t="s">
        <v>6887</v>
      </c>
      <c r="AC352" s="1" t="s">
        <v>6888</v>
      </c>
      <c r="AD352" s="1" t="s">
        <v>206</v>
      </c>
      <c r="AE352" s="1" t="s">
        <v>6889</v>
      </c>
      <c r="AF352" s="1" t="s">
        <v>6890</v>
      </c>
      <c r="AG352" s="1" t="s">
        <v>6891</v>
      </c>
      <c r="AH352" s="1" t="s">
        <v>82</v>
      </c>
      <c r="AI352" s="1" t="s">
        <v>82</v>
      </c>
      <c r="AJ352" s="1" t="s">
        <v>82</v>
      </c>
      <c r="AK352" s="1" t="s">
        <v>82</v>
      </c>
      <c r="AL352" s="1" t="s">
        <v>82</v>
      </c>
      <c r="AM352" s="1" t="s">
        <v>82</v>
      </c>
      <c r="AN352" s="1">
        <v>50</v>
      </c>
      <c r="AO352" s="1">
        <v>2</v>
      </c>
      <c r="AP352" s="1">
        <v>2</v>
      </c>
      <c r="AQ352" s="1">
        <v>3</v>
      </c>
      <c r="AR352" s="1">
        <v>10</v>
      </c>
      <c r="AS352" s="1" t="s">
        <v>2117</v>
      </c>
      <c r="AT352" s="1" t="s">
        <v>2118</v>
      </c>
      <c r="AU352" s="1" t="s">
        <v>2119</v>
      </c>
      <c r="AV352" s="1" t="s">
        <v>82</v>
      </c>
      <c r="AW352" s="1" t="s">
        <v>6892</v>
      </c>
      <c r="AX352" s="1" t="s">
        <v>82</v>
      </c>
      <c r="AY352" s="1" t="s">
        <v>6883</v>
      </c>
      <c r="AZ352" s="1" t="s">
        <v>6893</v>
      </c>
      <c r="BA352" s="1" t="s">
        <v>397</v>
      </c>
      <c r="BB352" s="1">
        <v>2022</v>
      </c>
      <c r="BC352" s="1">
        <v>10</v>
      </c>
      <c r="BD352" s="1">
        <v>2</v>
      </c>
      <c r="BE352" s="1" t="s">
        <v>82</v>
      </c>
      <c r="BF352" s="1" t="s">
        <v>82</v>
      </c>
      <c r="BG352" s="1" t="s">
        <v>82</v>
      </c>
      <c r="BH352" s="1" t="s">
        <v>82</v>
      </c>
      <c r="BI352" s="1" t="s">
        <v>82</v>
      </c>
      <c r="BJ352" s="1" t="s">
        <v>82</v>
      </c>
      <c r="BK352" s="1">
        <v>440</v>
      </c>
      <c r="BL352" s="1" t="s">
        <v>6894</v>
      </c>
      <c r="BM352" s="1" t="str">
        <f>HYPERLINK("http://dx.doi.org/10.3390/microorganisms10020440","http://dx.doi.org/10.3390/microorganisms10020440")</f>
        <v>http://dx.doi.org/10.3390/microorganisms10020440</v>
      </c>
      <c r="BN352" s="1" t="s">
        <v>82</v>
      </c>
      <c r="BO352" s="1" t="s">
        <v>82</v>
      </c>
      <c r="BP352" s="1">
        <v>15</v>
      </c>
      <c r="BQ352" s="1" t="s">
        <v>1662</v>
      </c>
      <c r="BR352" s="1" t="s">
        <v>104</v>
      </c>
      <c r="BS352" s="1" t="s">
        <v>1662</v>
      </c>
      <c r="BT352" s="1" t="s">
        <v>6895</v>
      </c>
      <c r="BU352" s="1">
        <v>35208894</v>
      </c>
      <c r="BV352" s="1" t="s">
        <v>635</v>
      </c>
      <c r="BW352" s="1" t="s">
        <v>82</v>
      </c>
      <c r="BX352" s="1" t="s">
        <v>82</v>
      </c>
      <c r="BY352" s="1" t="s">
        <v>108</v>
      </c>
      <c r="BZ352" s="1" t="s">
        <v>6896</v>
      </c>
      <c r="CA352" s="1" t="str">
        <f>HYPERLINK("https%3A%2F%2Fwww.webofscience.com%2Fwos%2Fwoscc%2Ffull-record%2FWOS:000764234900001","View Full Record in Web of Science")</f>
        <v>View Full Record in Web of Science</v>
      </c>
    </row>
    <row r="353" s="1" customFormat="1" ht="14.4" spans="1:79">
      <c r="A353">
        <v>352</v>
      </c>
      <c r="B353" s="2" t="s">
        <v>79</v>
      </c>
      <c r="C353" s="1" t="s">
        <v>80</v>
      </c>
      <c r="D353" s="1" t="s">
        <v>6897</v>
      </c>
      <c r="E353" s="1" t="s">
        <v>82</v>
      </c>
      <c r="F353" s="1" t="s">
        <v>82</v>
      </c>
      <c r="G353" s="1" t="s">
        <v>82</v>
      </c>
      <c r="H353" s="1" t="s">
        <v>6898</v>
      </c>
      <c r="I353" s="1" t="s">
        <v>82</v>
      </c>
      <c r="J353" s="1" t="s">
        <v>82</v>
      </c>
      <c r="K353" s="1" t="s">
        <v>6899</v>
      </c>
      <c r="L353" s="1" t="s">
        <v>6900</v>
      </c>
      <c r="M353" s="1">
        <v>4.81</v>
      </c>
      <c r="O353" s="1" t="s">
        <v>82</v>
      </c>
      <c r="P353" s="1" t="s">
        <v>82</v>
      </c>
      <c r="Q353" s="1" t="s">
        <v>87</v>
      </c>
      <c r="R353" s="1" t="s">
        <v>115</v>
      </c>
      <c r="S353" s="1" t="s">
        <v>82</v>
      </c>
      <c r="T353" s="1" t="s">
        <v>82</v>
      </c>
      <c r="U353" s="1" t="s">
        <v>82</v>
      </c>
      <c r="V353" s="1" t="s">
        <v>82</v>
      </c>
      <c r="W353" s="1" t="s">
        <v>82</v>
      </c>
      <c r="X353" s="1" t="s">
        <v>6901</v>
      </c>
      <c r="Y353" s="1" t="s">
        <v>6902</v>
      </c>
      <c r="Z353" s="1" t="s">
        <v>6903</v>
      </c>
      <c r="AB353" s="1" t="s">
        <v>6904</v>
      </c>
      <c r="AC353" s="1" t="s">
        <v>6905</v>
      </c>
      <c r="AD353" s="1" t="s">
        <v>120</v>
      </c>
      <c r="AE353" s="1" t="s">
        <v>6906</v>
      </c>
      <c r="AF353" s="1" t="s">
        <v>6907</v>
      </c>
      <c r="AG353" s="1" t="s">
        <v>6908</v>
      </c>
      <c r="AH353" s="1" t="s">
        <v>82</v>
      </c>
      <c r="AI353" s="1" t="s">
        <v>6909</v>
      </c>
      <c r="AJ353" s="1" t="s">
        <v>6910</v>
      </c>
      <c r="AK353" s="1" t="s">
        <v>442</v>
      </c>
      <c r="AL353" s="1" t="s">
        <v>6911</v>
      </c>
      <c r="AM353" s="1" t="s">
        <v>82</v>
      </c>
      <c r="AN353" s="1">
        <v>79</v>
      </c>
      <c r="AO353" s="1">
        <v>0</v>
      </c>
      <c r="AP353" s="1">
        <v>0</v>
      </c>
      <c r="AQ353" s="1">
        <v>10</v>
      </c>
      <c r="AR353" s="1">
        <v>18</v>
      </c>
      <c r="AS353" s="1" t="s">
        <v>1002</v>
      </c>
      <c r="AT353" s="1" t="s">
        <v>1003</v>
      </c>
      <c r="AU353" s="1" t="s">
        <v>1004</v>
      </c>
      <c r="AV353" s="1" t="s">
        <v>6912</v>
      </c>
      <c r="AW353" s="1" t="s">
        <v>6913</v>
      </c>
      <c r="AX353" s="1" t="s">
        <v>82</v>
      </c>
      <c r="AY353" s="1" t="s">
        <v>6914</v>
      </c>
      <c r="AZ353" s="1" t="s">
        <v>6915</v>
      </c>
      <c r="BA353" s="1" t="s">
        <v>1403</v>
      </c>
      <c r="BB353" s="1">
        <v>2022</v>
      </c>
      <c r="BC353" s="1">
        <v>49</v>
      </c>
      <c r="BD353" s="1">
        <v>7</v>
      </c>
      <c r="BE353" s="1" t="s">
        <v>82</v>
      </c>
      <c r="BF353" s="1" t="s">
        <v>82</v>
      </c>
      <c r="BG353" s="1" t="s">
        <v>82</v>
      </c>
      <c r="BH353" s="1" t="s">
        <v>82</v>
      </c>
      <c r="BI353" s="1">
        <v>1339</v>
      </c>
      <c r="BJ353" s="1">
        <v>1351</v>
      </c>
      <c r="BK353" s="1" t="s">
        <v>82</v>
      </c>
      <c r="BL353" s="1" t="s">
        <v>6916</v>
      </c>
      <c r="BM353" s="1" t="str">
        <f>HYPERLINK("http://dx.doi.org/10.1111/jbi.14386","http://dx.doi.org/10.1111/jbi.14386")</f>
        <v>http://dx.doi.org/10.1111/jbi.14386</v>
      </c>
      <c r="BN353" s="1" t="s">
        <v>82</v>
      </c>
      <c r="BO353" s="1" t="s">
        <v>247</v>
      </c>
      <c r="BP353" s="1">
        <v>13</v>
      </c>
      <c r="BQ353" s="1" t="s">
        <v>2723</v>
      </c>
      <c r="BR353" s="1" t="s">
        <v>104</v>
      </c>
      <c r="BS353" s="1" t="s">
        <v>2724</v>
      </c>
      <c r="BT353" s="1" t="s">
        <v>6917</v>
      </c>
      <c r="BU353" s="1" t="s">
        <v>82</v>
      </c>
      <c r="BV353" s="1" t="s">
        <v>82</v>
      </c>
      <c r="BW353" s="1" t="s">
        <v>82</v>
      </c>
      <c r="BX353" s="1" t="s">
        <v>82</v>
      </c>
      <c r="BY353" s="1" t="s">
        <v>108</v>
      </c>
      <c r="BZ353" s="1" t="s">
        <v>6918</v>
      </c>
      <c r="CA353" s="1" t="str">
        <f>HYPERLINK("https%3A%2F%2Fwww.webofscience.com%2Fwos%2Fwoscc%2Ffull-record%2FWOS:000797099800001","View Full Record in Web of Science")</f>
        <v>View Full Record in Web of Science</v>
      </c>
    </row>
    <row r="354" s="1" customFormat="1" ht="14.4" spans="1:79">
      <c r="A354">
        <v>353</v>
      </c>
      <c r="B354" s="2" t="s">
        <v>110</v>
      </c>
      <c r="C354" s="1" t="s">
        <v>80</v>
      </c>
      <c r="D354" s="1" t="s">
        <v>6919</v>
      </c>
      <c r="E354" s="1" t="s">
        <v>82</v>
      </c>
      <c r="F354" s="1" t="s">
        <v>82</v>
      </c>
      <c r="G354" s="1" t="s">
        <v>82</v>
      </c>
      <c r="H354" s="1" t="s">
        <v>6920</v>
      </c>
      <c r="I354" s="1" t="s">
        <v>82</v>
      </c>
      <c r="J354" s="1" t="s">
        <v>82</v>
      </c>
      <c r="K354" s="1" t="s">
        <v>6921</v>
      </c>
      <c r="L354" s="1" t="s">
        <v>6922</v>
      </c>
      <c r="M354" s="1">
        <v>4.803</v>
      </c>
      <c r="O354" s="1" t="s">
        <v>82</v>
      </c>
      <c r="P354" s="1" t="s">
        <v>82</v>
      </c>
      <c r="Q354" s="1" t="s">
        <v>87</v>
      </c>
      <c r="R354" s="1" t="s">
        <v>115</v>
      </c>
      <c r="S354" s="1" t="s">
        <v>82</v>
      </c>
      <c r="T354" s="1" t="s">
        <v>82</v>
      </c>
      <c r="U354" s="1" t="s">
        <v>82</v>
      </c>
      <c r="V354" s="1" t="s">
        <v>82</v>
      </c>
      <c r="W354" s="1" t="s">
        <v>82</v>
      </c>
      <c r="X354" s="1" t="s">
        <v>82</v>
      </c>
      <c r="Y354" s="1" t="s">
        <v>6923</v>
      </c>
      <c r="Z354" s="1" t="s">
        <v>6924</v>
      </c>
      <c r="AB354" s="1" t="s">
        <v>6925</v>
      </c>
      <c r="AC354" s="1" t="s">
        <v>6926</v>
      </c>
      <c r="AD354" s="1" t="s">
        <v>206</v>
      </c>
      <c r="AE354" s="1" t="s">
        <v>6927</v>
      </c>
      <c r="AF354" s="1" t="s">
        <v>6928</v>
      </c>
      <c r="AG354" s="1" t="s">
        <v>6929</v>
      </c>
      <c r="AH354" s="1" t="s">
        <v>82</v>
      </c>
      <c r="AI354" s="1" t="s">
        <v>82</v>
      </c>
      <c r="AJ354" s="1" t="s">
        <v>6930</v>
      </c>
      <c r="AK354" s="1" t="s">
        <v>6931</v>
      </c>
      <c r="AL354" s="1" t="s">
        <v>6932</v>
      </c>
      <c r="AM354" s="1" t="s">
        <v>82</v>
      </c>
      <c r="AN354" s="1">
        <v>31</v>
      </c>
      <c r="AO354" s="1">
        <v>2</v>
      </c>
      <c r="AP354" s="1">
        <v>2</v>
      </c>
      <c r="AQ354" s="1">
        <v>18</v>
      </c>
      <c r="AR354" s="1">
        <v>24</v>
      </c>
      <c r="AS354" s="1" t="s">
        <v>862</v>
      </c>
      <c r="AT354" s="1" t="s">
        <v>129</v>
      </c>
      <c r="AU354" s="1" t="s">
        <v>863</v>
      </c>
      <c r="AV354" s="1" t="s">
        <v>6933</v>
      </c>
      <c r="AW354" s="1" t="s">
        <v>6934</v>
      </c>
      <c r="AX354" s="1" t="s">
        <v>82</v>
      </c>
      <c r="AY354" s="1" t="s">
        <v>6935</v>
      </c>
      <c r="AZ354" s="1" t="s">
        <v>6936</v>
      </c>
      <c r="BA354" s="1" t="s">
        <v>6937</v>
      </c>
      <c r="BB354" s="1">
        <v>2022</v>
      </c>
      <c r="BC354" s="1">
        <v>85</v>
      </c>
      <c r="BD354" s="1">
        <v>5</v>
      </c>
      <c r="BE354" s="1" t="s">
        <v>82</v>
      </c>
      <c r="BF354" s="1" t="s">
        <v>82</v>
      </c>
      <c r="BG354" s="1" t="s">
        <v>82</v>
      </c>
      <c r="BH354" s="1" t="s">
        <v>82</v>
      </c>
      <c r="BI354" s="1">
        <v>1282</v>
      </c>
      <c r="BJ354" s="1">
        <v>1293</v>
      </c>
      <c r="BK354" s="1" t="s">
        <v>82</v>
      </c>
      <c r="BL354" s="1" t="s">
        <v>6938</v>
      </c>
      <c r="BM354" s="1" t="str">
        <f>HYPERLINK("http://dx.doi.org/10.1021/acs.jnatprod.1c01236","http://dx.doi.org/10.1021/acs.jnatprod.1c01236")</f>
        <v>http://dx.doi.org/10.1021/acs.jnatprod.1c01236</v>
      </c>
      <c r="BN354" s="1" t="s">
        <v>82</v>
      </c>
      <c r="BO354" s="1" t="s">
        <v>82</v>
      </c>
      <c r="BP354" s="1">
        <v>12</v>
      </c>
      <c r="BQ354" s="1" t="s">
        <v>6939</v>
      </c>
      <c r="BR354" s="1" t="s">
        <v>745</v>
      </c>
      <c r="BS354" s="1" t="s">
        <v>6940</v>
      </c>
      <c r="BT354" s="1" t="s">
        <v>6941</v>
      </c>
      <c r="BU354" s="1">
        <v>35536757</v>
      </c>
      <c r="BV354" s="1" t="s">
        <v>82</v>
      </c>
      <c r="BW354" s="1" t="s">
        <v>82</v>
      </c>
      <c r="BX354" s="1" t="s">
        <v>82</v>
      </c>
      <c r="BY354" s="1" t="s">
        <v>108</v>
      </c>
      <c r="BZ354" s="1" t="s">
        <v>6942</v>
      </c>
      <c r="CA354" s="1" t="str">
        <f>HYPERLINK("https%3A%2F%2Fwww.webofscience.com%2Fwos%2Fwoscc%2Ffull-record%2FWOS:000806554600011","View Full Record in Web of Science")</f>
        <v>View Full Record in Web of Science</v>
      </c>
    </row>
    <row r="355" s="1" customFormat="1" ht="14.4" spans="1:79">
      <c r="A355">
        <v>354</v>
      </c>
      <c r="B355" s="2" t="s">
        <v>110</v>
      </c>
      <c r="C355" s="1" t="s">
        <v>80</v>
      </c>
      <c r="D355" s="1" t="s">
        <v>6943</v>
      </c>
      <c r="E355" s="1" t="s">
        <v>82</v>
      </c>
      <c r="F355" s="1" t="s">
        <v>82</v>
      </c>
      <c r="G355" s="1" t="s">
        <v>82</v>
      </c>
      <c r="H355" s="1" t="s">
        <v>6944</v>
      </c>
      <c r="I355" s="1" t="s">
        <v>82</v>
      </c>
      <c r="J355" s="1" t="s">
        <v>82</v>
      </c>
      <c r="K355" s="1" t="s">
        <v>6945</v>
      </c>
      <c r="L355" s="1" t="s">
        <v>6922</v>
      </c>
      <c r="M355" s="1">
        <v>4.803</v>
      </c>
      <c r="O355" s="1" t="s">
        <v>82</v>
      </c>
      <c r="P355" s="1" t="s">
        <v>82</v>
      </c>
      <c r="Q355" s="1" t="s">
        <v>87</v>
      </c>
      <c r="R355" s="1" t="s">
        <v>115</v>
      </c>
      <c r="S355" s="1" t="s">
        <v>82</v>
      </c>
      <c r="T355" s="1" t="s">
        <v>82</v>
      </c>
      <c r="U355" s="1" t="s">
        <v>82</v>
      </c>
      <c r="V355" s="1" t="s">
        <v>82</v>
      </c>
      <c r="W355" s="1" t="s">
        <v>82</v>
      </c>
      <c r="X355" s="1" t="s">
        <v>82</v>
      </c>
      <c r="Y355" s="1" t="s">
        <v>6946</v>
      </c>
      <c r="Z355" s="1" t="s">
        <v>6947</v>
      </c>
      <c r="AA355" s="1">
        <v>1</v>
      </c>
      <c r="AB355" s="1" t="s">
        <v>6948</v>
      </c>
      <c r="AC355" s="1" t="s">
        <v>6949</v>
      </c>
      <c r="AD355" s="1" t="s">
        <v>93</v>
      </c>
      <c r="AE355" s="1" t="s">
        <v>1673</v>
      </c>
      <c r="AF355" s="1" t="s">
        <v>6950</v>
      </c>
      <c r="AG355" s="1" t="s">
        <v>6951</v>
      </c>
      <c r="AH355" s="1" t="s">
        <v>605</v>
      </c>
      <c r="AI355" s="1" t="s">
        <v>6952</v>
      </c>
      <c r="AJ355" s="1" t="s">
        <v>6953</v>
      </c>
      <c r="AK355" s="1" t="s">
        <v>6954</v>
      </c>
      <c r="AL355" s="1" t="s">
        <v>6955</v>
      </c>
      <c r="AM355" s="1" t="s">
        <v>82</v>
      </c>
      <c r="AN355" s="1">
        <v>24</v>
      </c>
      <c r="AO355" s="1">
        <v>0</v>
      </c>
      <c r="AP355" s="1">
        <v>0</v>
      </c>
      <c r="AQ355" s="1">
        <v>16</v>
      </c>
      <c r="AR355" s="1">
        <v>22</v>
      </c>
      <c r="AS355" s="1" t="s">
        <v>862</v>
      </c>
      <c r="AT355" s="1" t="s">
        <v>129</v>
      </c>
      <c r="AU355" s="1" t="s">
        <v>863</v>
      </c>
      <c r="AV355" s="1" t="s">
        <v>6933</v>
      </c>
      <c r="AW355" s="1" t="s">
        <v>6934</v>
      </c>
      <c r="AX355" s="1" t="s">
        <v>82</v>
      </c>
      <c r="AY355" s="1" t="s">
        <v>6935</v>
      </c>
      <c r="AZ355" s="1" t="s">
        <v>6936</v>
      </c>
      <c r="BA355" s="1" t="s">
        <v>6937</v>
      </c>
      <c r="BB355" s="1">
        <v>2022</v>
      </c>
      <c r="BC355" s="1">
        <v>85</v>
      </c>
      <c r="BD355" s="1">
        <v>5</v>
      </c>
      <c r="BE355" s="1" t="s">
        <v>82</v>
      </c>
      <c r="BF355" s="1" t="s">
        <v>82</v>
      </c>
      <c r="BG355" s="1" t="s">
        <v>82</v>
      </c>
      <c r="BH355" s="1" t="s">
        <v>82</v>
      </c>
      <c r="BI355" s="1">
        <v>1324</v>
      </c>
      <c r="BJ355" s="1">
        <v>1331</v>
      </c>
      <c r="BK355" s="1" t="s">
        <v>82</v>
      </c>
      <c r="BL355" s="1" t="s">
        <v>6956</v>
      </c>
      <c r="BM355" s="1" t="str">
        <f>HYPERLINK("http://dx.doi.org/10.1021/acs.jnatprod.2c00067","http://dx.doi.org/10.1021/acs.jnatprod.2c00067")</f>
        <v>http://dx.doi.org/10.1021/acs.jnatprod.2c00067</v>
      </c>
      <c r="BN355" s="1" t="s">
        <v>82</v>
      </c>
      <c r="BO355" s="1" t="s">
        <v>82</v>
      </c>
      <c r="BP355" s="1">
        <v>8</v>
      </c>
      <c r="BQ355" s="1" t="s">
        <v>6939</v>
      </c>
      <c r="BR355" s="1" t="s">
        <v>745</v>
      </c>
      <c r="BS355" s="1" t="s">
        <v>6940</v>
      </c>
      <c r="BT355" s="1" t="s">
        <v>6941</v>
      </c>
      <c r="BU355" s="1">
        <v>35574837</v>
      </c>
      <c r="BV355" s="1" t="s">
        <v>82</v>
      </c>
      <c r="BW355" s="1" t="s">
        <v>82</v>
      </c>
      <c r="BX355" s="1" t="s">
        <v>82</v>
      </c>
      <c r="BY355" s="1" t="s">
        <v>108</v>
      </c>
      <c r="BZ355" s="1" t="s">
        <v>6957</v>
      </c>
      <c r="CA355" s="1" t="str">
        <f>HYPERLINK("https%3A%2F%2Fwww.webofscience.com%2Fwos%2Fwoscc%2Ffull-record%2FWOS:000806554600015","View Full Record in Web of Science")</f>
        <v>View Full Record in Web of Science</v>
      </c>
    </row>
    <row r="356" s="1" customFormat="1" ht="14.4" spans="1:79">
      <c r="A356">
        <v>355</v>
      </c>
      <c r="B356" s="2" t="s">
        <v>110</v>
      </c>
      <c r="C356" s="1" t="s">
        <v>80</v>
      </c>
      <c r="D356" s="1" t="s">
        <v>6958</v>
      </c>
      <c r="E356" s="1" t="s">
        <v>82</v>
      </c>
      <c r="F356" s="1" t="s">
        <v>82</v>
      </c>
      <c r="G356" s="1" t="s">
        <v>82</v>
      </c>
      <c r="H356" s="1" t="s">
        <v>6959</v>
      </c>
      <c r="I356" s="1" t="s">
        <v>82</v>
      </c>
      <c r="J356" s="1" t="s">
        <v>82</v>
      </c>
      <c r="K356" s="1" t="s">
        <v>6960</v>
      </c>
      <c r="L356" s="1" t="s">
        <v>6922</v>
      </c>
      <c r="M356" s="1">
        <v>4.803</v>
      </c>
      <c r="O356" s="1" t="s">
        <v>82</v>
      </c>
      <c r="P356" s="1" t="s">
        <v>82</v>
      </c>
      <c r="Q356" s="1" t="s">
        <v>87</v>
      </c>
      <c r="R356" s="1" t="s">
        <v>115</v>
      </c>
      <c r="S356" s="1" t="s">
        <v>82</v>
      </c>
      <c r="T356" s="1" t="s">
        <v>82</v>
      </c>
      <c r="U356" s="1" t="s">
        <v>82</v>
      </c>
      <c r="V356" s="1" t="s">
        <v>82</v>
      </c>
      <c r="W356" s="1" t="s">
        <v>82</v>
      </c>
      <c r="X356" s="1" t="s">
        <v>82</v>
      </c>
      <c r="Y356" s="1" t="s">
        <v>6961</v>
      </c>
      <c r="Z356" s="1" t="s">
        <v>6962</v>
      </c>
      <c r="AB356" s="1" t="s">
        <v>6963</v>
      </c>
      <c r="AC356" s="1" t="s">
        <v>6964</v>
      </c>
      <c r="AD356" s="1" t="s">
        <v>120</v>
      </c>
      <c r="AE356" s="1" t="s">
        <v>6965</v>
      </c>
      <c r="AF356" s="1" t="s">
        <v>6966</v>
      </c>
      <c r="AG356" s="1" t="s">
        <v>6967</v>
      </c>
      <c r="AH356" s="1" t="s">
        <v>82</v>
      </c>
      <c r="AI356" s="1" t="s">
        <v>6968</v>
      </c>
      <c r="AJ356" s="1" t="s">
        <v>6969</v>
      </c>
      <c r="AK356" s="1" t="s">
        <v>6970</v>
      </c>
      <c r="AL356" s="1" t="s">
        <v>6971</v>
      </c>
      <c r="AM356" s="1" t="s">
        <v>82</v>
      </c>
      <c r="AN356" s="1">
        <v>13</v>
      </c>
      <c r="AO356" s="1">
        <v>1</v>
      </c>
      <c r="AP356" s="1">
        <v>1</v>
      </c>
      <c r="AQ356" s="1">
        <v>2</v>
      </c>
      <c r="AR356" s="1">
        <v>4</v>
      </c>
      <c r="AS356" s="1" t="s">
        <v>862</v>
      </c>
      <c r="AT356" s="1" t="s">
        <v>129</v>
      </c>
      <c r="AU356" s="1" t="s">
        <v>863</v>
      </c>
      <c r="AV356" s="1" t="s">
        <v>6933</v>
      </c>
      <c r="AW356" s="1" t="s">
        <v>6934</v>
      </c>
      <c r="AX356" s="1" t="s">
        <v>82</v>
      </c>
      <c r="AY356" s="1" t="s">
        <v>6935</v>
      </c>
      <c r="AZ356" s="1" t="s">
        <v>6936</v>
      </c>
      <c r="BA356" s="1" t="s">
        <v>4301</v>
      </c>
      <c r="BB356" s="1">
        <v>2022</v>
      </c>
      <c r="BC356" s="1">
        <v>85</v>
      </c>
      <c r="BD356" s="1">
        <v>4</v>
      </c>
      <c r="BE356" s="1" t="s">
        <v>82</v>
      </c>
      <c r="BF356" s="1" t="s">
        <v>82</v>
      </c>
      <c r="BG356" s="1" t="s">
        <v>82</v>
      </c>
      <c r="BH356" s="1" t="s">
        <v>82</v>
      </c>
      <c r="BI356" s="1">
        <v>1180</v>
      </c>
      <c r="BJ356" s="1">
        <v>1185</v>
      </c>
      <c r="BK356" s="1" t="s">
        <v>82</v>
      </c>
      <c r="BL356" s="1" t="s">
        <v>6972</v>
      </c>
      <c r="BM356" s="1" t="str">
        <f>HYPERLINK("http://dx.doi.org/10.1021/acs.jnatprod.1c01069","http://dx.doi.org/10.1021/acs.jnatprod.1c01069")</f>
        <v>http://dx.doi.org/10.1021/acs.jnatprod.1c01069</v>
      </c>
      <c r="BN356" s="1" t="s">
        <v>82</v>
      </c>
      <c r="BO356" s="1" t="s">
        <v>82</v>
      </c>
      <c r="BP356" s="1">
        <v>6</v>
      </c>
      <c r="BQ356" s="1" t="s">
        <v>6939</v>
      </c>
      <c r="BR356" s="1" t="s">
        <v>745</v>
      </c>
      <c r="BS356" s="1" t="s">
        <v>6940</v>
      </c>
      <c r="BT356" s="1" t="s">
        <v>6973</v>
      </c>
      <c r="BU356" s="1">
        <v>35179378</v>
      </c>
      <c r="BV356" s="1" t="s">
        <v>82</v>
      </c>
      <c r="BW356" s="1" t="s">
        <v>82</v>
      </c>
      <c r="BX356" s="1" t="s">
        <v>82</v>
      </c>
      <c r="BY356" s="1" t="s">
        <v>108</v>
      </c>
      <c r="BZ356" s="1" t="s">
        <v>6974</v>
      </c>
      <c r="CA356" s="1" t="str">
        <f>HYPERLINK("https%3A%2F%2Fwww.webofscience.com%2Fwos%2Fwoscc%2Ffull-record%2FWOS:000791431400045","View Full Record in Web of Science")</f>
        <v>View Full Record in Web of Science</v>
      </c>
    </row>
    <row r="357" s="1" customFormat="1" ht="14.4" spans="1:79">
      <c r="A357">
        <v>356</v>
      </c>
      <c r="B357" s="2" t="s">
        <v>110</v>
      </c>
      <c r="C357" s="1" t="s">
        <v>80</v>
      </c>
      <c r="D357" s="1" t="s">
        <v>6975</v>
      </c>
      <c r="E357" s="1" t="s">
        <v>82</v>
      </c>
      <c r="F357" s="1" t="s">
        <v>82</v>
      </c>
      <c r="G357" s="1" t="s">
        <v>82</v>
      </c>
      <c r="H357" s="1" t="s">
        <v>6976</v>
      </c>
      <c r="I357" s="1" t="s">
        <v>82</v>
      </c>
      <c r="J357" s="1" t="s">
        <v>82</v>
      </c>
      <c r="K357" s="1" t="s">
        <v>6977</v>
      </c>
      <c r="L357" s="1" t="s">
        <v>6922</v>
      </c>
      <c r="M357" s="1">
        <v>4.803</v>
      </c>
      <c r="O357" s="1" t="s">
        <v>82</v>
      </c>
      <c r="P357" s="1" t="s">
        <v>82</v>
      </c>
      <c r="Q357" s="1" t="s">
        <v>87</v>
      </c>
      <c r="R357" s="1" t="s">
        <v>115</v>
      </c>
      <c r="S357" s="1" t="s">
        <v>82</v>
      </c>
      <c r="T357" s="1" t="s">
        <v>82</v>
      </c>
      <c r="U357" s="1" t="s">
        <v>82</v>
      </c>
      <c r="V357" s="1" t="s">
        <v>82</v>
      </c>
      <c r="W357" s="1" t="s">
        <v>82</v>
      </c>
      <c r="X357" s="1" t="s">
        <v>82</v>
      </c>
      <c r="Y357" s="1" t="s">
        <v>6978</v>
      </c>
      <c r="Z357" s="1" t="s">
        <v>6979</v>
      </c>
      <c r="AA357" s="1">
        <v>1</v>
      </c>
      <c r="AB357" s="1" t="s">
        <v>6980</v>
      </c>
      <c r="AC357" s="1" t="s">
        <v>6981</v>
      </c>
      <c r="AD357" s="1" t="s">
        <v>93</v>
      </c>
      <c r="AE357" s="1" t="s">
        <v>6982</v>
      </c>
      <c r="AF357" s="1" t="s">
        <v>6983</v>
      </c>
      <c r="AG357" s="1" t="s">
        <v>6984</v>
      </c>
      <c r="AH357" s="1" t="s">
        <v>6985</v>
      </c>
      <c r="AI357" s="1" t="s">
        <v>6986</v>
      </c>
      <c r="AJ357" s="1" t="s">
        <v>6987</v>
      </c>
      <c r="AK357" s="1" t="s">
        <v>6988</v>
      </c>
      <c r="AL357" s="1" t="s">
        <v>6989</v>
      </c>
      <c r="AM357" s="1" t="s">
        <v>82</v>
      </c>
      <c r="AN357" s="1">
        <v>30</v>
      </c>
      <c r="AO357" s="1">
        <v>4</v>
      </c>
      <c r="AP357" s="1">
        <v>4</v>
      </c>
      <c r="AQ357" s="1">
        <v>10</v>
      </c>
      <c r="AR357" s="1">
        <v>27</v>
      </c>
      <c r="AS357" s="1" t="s">
        <v>862</v>
      </c>
      <c r="AT357" s="1" t="s">
        <v>129</v>
      </c>
      <c r="AU357" s="1" t="s">
        <v>863</v>
      </c>
      <c r="AV357" s="1" t="s">
        <v>6933</v>
      </c>
      <c r="AW357" s="1" t="s">
        <v>6934</v>
      </c>
      <c r="AX357" s="1" t="s">
        <v>82</v>
      </c>
      <c r="AY357" s="1" t="s">
        <v>6935</v>
      </c>
      <c r="AZ357" s="1" t="s">
        <v>6936</v>
      </c>
      <c r="BA357" s="1" t="s">
        <v>6990</v>
      </c>
      <c r="BB357" s="1">
        <v>2022</v>
      </c>
      <c r="BC357" s="1">
        <v>85</v>
      </c>
      <c r="BD357" s="1">
        <v>2</v>
      </c>
      <c r="BE357" s="1" t="s">
        <v>82</v>
      </c>
      <c r="BF357" s="1" t="s">
        <v>82</v>
      </c>
      <c r="BG357" s="1" t="s">
        <v>82</v>
      </c>
      <c r="BH357" s="1" t="s">
        <v>82</v>
      </c>
      <c r="BI357" s="1">
        <v>327</v>
      </c>
      <c r="BJ357" s="1">
        <v>336</v>
      </c>
      <c r="BK357" s="1" t="s">
        <v>82</v>
      </c>
      <c r="BL357" s="1" t="s">
        <v>6991</v>
      </c>
      <c r="BM357" s="1" t="str">
        <f>HYPERLINK("http://dx.doi.org/10.1021/acs.jnatprod.1c00805","http://dx.doi.org/10.1021/acs.jnatprod.1c00805")</f>
        <v>http://dx.doi.org/10.1021/acs.jnatprod.1c00805</v>
      </c>
      <c r="BN357" s="1" t="s">
        <v>82</v>
      </c>
      <c r="BO357" s="1" t="s">
        <v>82</v>
      </c>
      <c r="BP357" s="1">
        <v>10</v>
      </c>
      <c r="BQ357" s="1" t="s">
        <v>6939</v>
      </c>
      <c r="BR357" s="1" t="s">
        <v>104</v>
      </c>
      <c r="BS357" s="1" t="s">
        <v>6940</v>
      </c>
      <c r="BT357" s="1" t="s">
        <v>6992</v>
      </c>
      <c r="BU357" s="1">
        <v>35084181</v>
      </c>
      <c r="BV357" s="1" t="s">
        <v>316</v>
      </c>
      <c r="BW357" s="1" t="s">
        <v>82</v>
      </c>
      <c r="BX357" s="1" t="s">
        <v>82</v>
      </c>
      <c r="BY357" s="1" t="s">
        <v>108</v>
      </c>
      <c r="BZ357" s="1" t="s">
        <v>6993</v>
      </c>
      <c r="CA357" s="1" t="str">
        <f>HYPERLINK("https%3A%2F%2Fwww.webofscience.com%2Fwos%2Fwoscc%2Ffull-record%2FWOS:000762347300002","View Full Record in Web of Science")</f>
        <v>View Full Record in Web of Science</v>
      </c>
    </row>
    <row r="358" s="1" customFormat="1" ht="14.4" spans="1:79">
      <c r="A358">
        <v>357</v>
      </c>
      <c r="B358" s="2" t="s">
        <v>79</v>
      </c>
      <c r="C358" s="1" t="s">
        <v>80</v>
      </c>
      <c r="D358" s="1" t="s">
        <v>6994</v>
      </c>
      <c r="E358" s="1" t="s">
        <v>82</v>
      </c>
      <c r="F358" s="1" t="s">
        <v>82</v>
      </c>
      <c r="G358" s="1" t="s">
        <v>82</v>
      </c>
      <c r="H358" s="1" t="s">
        <v>6995</v>
      </c>
      <c r="I358" s="1" t="s">
        <v>82</v>
      </c>
      <c r="J358" s="1" t="s">
        <v>82</v>
      </c>
      <c r="K358" s="1" t="s">
        <v>6996</v>
      </c>
      <c r="L358" s="1" t="s">
        <v>6997</v>
      </c>
      <c r="M358" s="1">
        <v>4.772</v>
      </c>
      <c r="O358" s="1" t="s">
        <v>82</v>
      </c>
      <c r="P358" s="1" t="s">
        <v>82</v>
      </c>
      <c r="Q358" s="1" t="s">
        <v>87</v>
      </c>
      <c r="R358" s="1" t="s">
        <v>115</v>
      </c>
      <c r="S358" s="1" t="s">
        <v>82</v>
      </c>
      <c r="T358" s="1" t="s">
        <v>82</v>
      </c>
      <c r="U358" s="1" t="s">
        <v>82</v>
      </c>
      <c r="V358" s="1" t="s">
        <v>82</v>
      </c>
      <c r="W358" s="1" t="s">
        <v>82</v>
      </c>
      <c r="X358" s="1" t="s">
        <v>6998</v>
      </c>
      <c r="Y358" s="1" t="s">
        <v>6999</v>
      </c>
      <c r="Z358" s="1" t="s">
        <v>7000</v>
      </c>
      <c r="AB358" s="1" t="s">
        <v>7001</v>
      </c>
      <c r="AC358" s="1" t="s">
        <v>7002</v>
      </c>
      <c r="AD358" s="1" t="s">
        <v>120</v>
      </c>
      <c r="AE358" s="1" t="s">
        <v>3010</v>
      </c>
      <c r="AF358" s="1" t="s">
        <v>7003</v>
      </c>
      <c r="AG358" s="1" t="s">
        <v>7004</v>
      </c>
      <c r="AH358" s="1" t="s">
        <v>82</v>
      </c>
      <c r="AI358" s="1" t="s">
        <v>82</v>
      </c>
      <c r="AJ358" s="1" t="s">
        <v>7005</v>
      </c>
      <c r="AK358" s="1" t="s">
        <v>7006</v>
      </c>
      <c r="AL358" s="1" t="s">
        <v>7007</v>
      </c>
      <c r="AM358" s="1" t="s">
        <v>82</v>
      </c>
      <c r="AN358" s="1">
        <v>73</v>
      </c>
      <c r="AO358" s="1">
        <v>0</v>
      </c>
      <c r="AP358" s="1">
        <v>0</v>
      </c>
      <c r="AQ358" s="1">
        <v>3</v>
      </c>
      <c r="AR358" s="1">
        <v>3</v>
      </c>
      <c r="AS358" s="1" t="s">
        <v>2958</v>
      </c>
      <c r="AT358" s="1" t="s">
        <v>2959</v>
      </c>
      <c r="AU358" s="1" t="s">
        <v>2960</v>
      </c>
      <c r="AV358" s="1" t="s">
        <v>82</v>
      </c>
      <c r="AW358" s="1" t="s">
        <v>7008</v>
      </c>
      <c r="AX358" s="1" t="s">
        <v>82</v>
      </c>
      <c r="AY358" s="1" t="s">
        <v>7009</v>
      </c>
      <c r="AZ358" s="1" t="s">
        <v>7010</v>
      </c>
      <c r="BA358" s="1" t="s">
        <v>7011</v>
      </c>
      <c r="BB358" s="1">
        <v>2022</v>
      </c>
      <c r="BC358" s="1">
        <v>13</v>
      </c>
      <c r="BD358" s="1" t="s">
        <v>82</v>
      </c>
      <c r="BE358" s="1" t="s">
        <v>82</v>
      </c>
      <c r="BF358" s="1" t="s">
        <v>82</v>
      </c>
      <c r="BG358" s="1" t="s">
        <v>82</v>
      </c>
      <c r="BH358" s="1" t="s">
        <v>82</v>
      </c>
      <c r="BI358" s="1" t="s">
        <v>82</v>
      </c>
      <c r="BJ358" s="1" t="s">
        <v>82</v>
      </c>
      <c r="BK358" s="1">
        <v>1059717</v>
      </c>
      <c r="BL358" s="1" t="s">
        <v>7012</v>
      </c>
      <c r="BM358" s="1" t="str">
        <f>HYPERLINK("http://dx.doi.org/10.3389/fgene.2022.1059717","http://dx.doi.org/10.3389/fgene.2022.1059717")</f>
        <v>http://dx.doi.org/10.3389/fgene.2022.1059717</v>
      </c>
      <c r="BN358" s="1" t="s">
        <v>82</v>
      </c>
      <c r="BO358" s="1" t="s">
        <v>82</v>
      </c>
      <c r="BP358" s="1">
        <v>15</v>
      </c>
      <c r="BQ358" s="1" t="s">
        <v>7013</v>
      </c>
      <c r="BR358" s="1" t="s">
        <v>104</v>
      </c>
      <c r="BS358" s="1" t="s">
        <v>7013</v>
      </c>
      <c r="BT358" s="1" t="s">
        <v>7014</v>
      </c>
      <c r="BU358" s="1">
        <v>36482888</v>
      </c>
      <c r="BV358" s="1" t="s">
        <v>82</v>
      </c>
      <c r="BW358" s="1" t="s">
        <v>82</v>
      </c>
      <c r="BX358" s="1" t="s">
        <v>82</v>
      </c>
      <c r="BY358" s="1" t="s">
        <v>108</v>
      </c>
      <c r="BZ358" s="1" t="s">
        <v>7015</v>
      </c>
      <c r="CA358" s="1" t="str">
        <f>HYPERLINK("https%3A%2F%2Fwww.webofscience.com%2Fwos%2Fwoscc%2Ffull-record%2FWOS:000893996000001","View Full Record in Web of Science")</f>
        <v>View Full Record in Web of Science</v>
      </c>
    </row>
    <row r="359" s="1" customFormat="1" ht="14.4" spans="1:79">
      <c r="A359">
        <v>358</v>
      </c>
      <c r="B359" s="2" t="s">
        <v>79</v>
      </c>
      <c r="C359" s="1" t="s">
        <v>80</v>
      </c>
      <c r="D359" s="1" t="s">
        <v>7016</v>
      </c>
      <c r="E359" s="1" t="s">
        <v>82</v>
      </c>
      <c r="F359" s="1" t="s">
        <v>82</v>
      </c>
      <c r="G359" s="1" t="s">
        <v>82</v>
      </c>
      <c r="H359" s="1" t="s">
        <v>7017</v>
      </c>
      <c r="I359" s="1" t="s">
        <v>82</v>
      </c>
      <c r="J359" s="1" t="s">
        <v>82</v>
      </c>
      <c r="K359" s="1" t="s">
        <v>7018</v>
      </c>
      <c r="L359" s="1" t="s">
        <v>6997</v>
      </c>
      <c r="M359" s="1">
        <v>4.772</v>
      </c>
      <c r="O359" s="1" t="s">
        <v>82</v>
      </c>
      <c r="P359" s="1" t="s">
        <v>82</v>
      </c>
      <c r="Q359" s="1" t="s">
        <v>87</v>
      </c>
      <c r="R359" s="1" t="s">
        <v>88</v>
      </c>
      <c r="S359" s="1" t="s">
        <v>82</v>
      </c>
      <c r="T359" s="1" t="s">
        <v>82</v>
      </c>
      <c r="U359" s="1" t="s">
        <v>82</v>
      </c>
      <c r="V359" s="1" t="s">
        <v>82</v>
      </c>
      <c r="W359" s="1" t="s">
        <v>82</v>
      </c>
      <c r="X359" s="1" t="s">
        <v>7019</v>
      </c>
      <c r="Y359" s="1" t="s">
        <v>7020</v>
      </c>
      <c r="Z359" s="1" t="s">
        <v>82</v>
      </c>
      <c r="AB359" s="1" t="s">
        <v>7021</v>
      </c>
      <c r="AC359" s="1" t="s">
        <v>7022</v>
      </c>
      <c r="AD359" s="1" t="s">
        <v>206</v>
      </c>
      <c r="AE359" s="1" t="s">
        <v>94</v>
      </c>
      <c r="AF359" s="1" t="s">
        <v>7023</v>
      </c>
      <c r="AG359" s="1" t="s">
        <v>7024</v>
      </c>
      <c r="AH359" s="1" t="s">
        <v>82</v>
      </c>
      <c r="AI359" s="1" t="s">
        <v>82</v>
      </c>
      <c r="AJ359" s="1" t="s">
        <v>7025</v>
      </c>
      <c r="AK359" s="1" t="s">
        <v>7026</v>
      </c>
      <c r="AL359" s="1" t="s">
        <v>7027</v>
      </c>
      <c r="AM359" s="1" t="s">
        <v>82</v>
      </c>
      <c r="AN359" s="1">
        <v>16</v>
      </c>
      <c r="AO359" s="1">
        <v>0</v>
      </c>
      <c r="AP359" s="1">
        <v>0</v>
      </c>
      <c r="AQ359" s="1">
        <v>2</v>
      </c>
      <c r="AR359" s="1">
        <v>2</v>
      </c>
      <c r="AS359" s="1" t="s">
        <v>2958</v>
      </c>
      <c r="AT359" s="1" t="s">
        <v>2959</v>
      </c>
      <c r="AU359" s="1" t="s">
        <v>2960</v>
      </c>
      <c r="AV359" s="1" t="s">
        <v>82</v>
      </c>
      <c r="AW359" s="1" t="s">
        <v>7008</v>
      </c>
      <c r="AX359" s="1" t="s">
        <v>82</v>
      </c>
      <c r="AY359" s="1" t="s">
        <v>7009</v>
      </c>
      <c r="AZ359" s="1" t="s">
        <v>7010</v>
      </c>
      <c r="BA359" s="1" t="s">
        <v>7028</v>
      </c>
      <c r="BB359" s="1">
        <v>2022</v>
      </c>
      <c r="BC359" s="1">
        <v>13</v>
      </c>
      <c r="BD359" s="1" t="s">
        <v>82</v>
      </c>
      <c r="BE359" s="1" t="s">
        <v>82</v>
      </c>
      <c r="BF359" s="1" t="s">
        <v>82</v>
      </c>
      <c r="BG359" s="1" t="s">
        <v>82</v>
      </c>
      <c r="BH359" s="1" t="s">
        <v>82</v>
      </c>
      <c r="BI359" s="1" t="s">
        <v>82</v>
      </c>
      <c r="BJ359" s="1" t="s">
        <v>82</v>
      </c>
      <c r="BK359" s="1">
        <v>1047100</v>
      </c>
      <c r="BL359" s="1" t="s">
        <v>7029</v>
      </c>
      <c r="BM359" s="1" t="str">
        <f>HYPERLINK("http://dx.doi.org/10.3389/fgene.2022.1047100","http://dx.doi.org/10.3389/fgene.2022.1047100")</f>
        <v>http://dx.doi.org/10.3389/fgene.2022.1047100</v>
      </c>
      <c r="BN359" s="1" t="s">
        <v>82</v>
      </c>
      <c r="BO359" s="1" t="s">
        <v>82</v>
      </c>
      <c r="BP359" s="1">
        <v>3</v>
      </c>
      <c r="BQ359" s="1" t="s">
        <v>7013</v>
      </c>
      <c r="BR359" s="1" t="s">
        <v>104</v>
      </c>
      <c r="BS359" s="1" t="s">
        <v>7013</v>
      </c>
      <c r="BT359" s="1" t="s">
        <v>7030</v>
      </c>
      <c r="BU359" s="1">
        <v>36437930</v>
      </c>
      <c r="BV359" s="1" t="s">
        <v>635</v>
      </c>
      <c r="BW359" s="1" t="s">
        <v>82</v>
      </c>
      <c r="BX359" s="1" t="s">
        <v>82</v>
      </c>
      <c r="BY359" s="1" t="s">
        <v>108</v>
      </c>
      <c r="BZ359" s="1" t="s">
        <v>7031</v>
      </c>
      <c r="CA359" s="1" t="str">
        <f>HYPERLINK("https%3A%2F%2Fwww.webofscience.com%2Fwos%2Fwoscc%2Ffull-record%2FWOS:000890962100001","View Full Record in Web of Science")</f>
        <v>View Full Record in Web of Science</v>
      </c>
    </row>
    <row r="360" s="1" customFormat="1" ht="14.4" spans="1:79">
      <c r="A360">
        <v>359</v>
      </c>
      <c r="B360" s="2" t="s">
        <v>79</v>
      </c>
      <c r="C360" s="1" t="s">
        <v>80</v>
      </c>
      <c r="D360" s="1" t="s">
        <v>7032</v>
      </c>
      <c r="E360" s="1" t="s">
        <v>82</v>
      </c>
      <c r="F360" s="1" t="s">
        <v>82</v>
      </c>
      <c r="G360" s="1" t="s">
        <v>82</v>
      </c>
      <c r="H360" s="1" t="s">
        <v>7033</v>
      </c>
      <c r="I360" s="1" t="s">
        <v>82</v>
      </c>
      <c r="J360" s="1" t="s">
        <v>82</v>
      </c>
      <c r="K360" s="1" t="s">
        <v>7034</v>
      </c>
      <c r="L360" s="1" t="s">
        <v>6997</v>
      </c>
      <c r="M360" s="1">
        <v>4.772</v>
      </c>
      <c r="O360" s="1" t="s">
        <v>82</v>
      </c>
      <c r="P360" s="1" t="s">
        <v>82</v>
      </c>
      <c r="Q360" s="1" t="s">
        <v>87</v>
      </c>
      <c r="R360" s="1" t="s">
        <v>1888</v>
      </c>
      <c r="S360" s="1" t="s">
        <v>82</v>
      </c>
      <c r="T360" s="1" t="s">
        <v>82</v>
      </c>
      <c r="U360" s="1" t="s">
        <v>82</v>
      </c>
      <c r="V360" s="1" t="s">
        <v>82</v>
      </c>
      <c r="W360" s="1" t="s">
        <v>82</v>
      </c>
      <c r="X360" s="1" t="s">
        <v>7035</v>
      </c>
      <c r="Y360" s="1" t="s">
        <v>7036</v>
      </c>
      <c r="Z360" s="1" t="s">
        <v>7037</v>
      </c>
      <c r="AB360" s="1" t="s">
        <v>7038</v>
      </c>
      <c r="AC360" s="1" t="s">
        <v>7039</v>
      </c>
      <c r="AD360" s="1" t="s">
        <v>206</v>
      </c>
      <c r="AE360" s="1" t="s">
        <v>7040</v>
      </c>
      <c r="AF360" s="1" t="s">
        <v>7041</v>
      </c>
      <c r="AG360" s="1" t="s">
        <v>82</v>
      </c>
      <c r="AH360" s="1" t="s">
        <v>82</v>
      </c>
      <c r="AI360" s="1" t="s">
        <v>82</v>
      </c>
      <c r="AJ360" s="1" t="s">
        <v>82</v>
      </c>
      <c r="AK360" s="1" t="s">
        <v>82</v>
      </c>
      <c r="AL360" s="1" t="s">
        <v>82</v>
      </c>
      <c r="AM360" s="1" t="s">
        <v>82</v>
      </c>
      <c r="AN360" s="1">
        <v>35</v>
      </c>
      <c r="AO360" s="1">
        <v>0</v>
      </c>
      <c r="AP360" s="1">
        <v>0</v>
      </c>
      <c r="AQ360" s="1">
        <v>5</v>
      </c>
      <c r="AR360" s="1">
        <v>14</v>
      </c>
      <c r="AS360" s="1" t="s">
        <v>2958</v>
      </c>
      <c r="AT360" s="1" t="s">
        <v>2959</v>
      </c>
      <c r="AU360" s="1" t="s">
        <v>2960</v>
      </c>
      <c r="AV360" s="1" t="s">
        <v>82</v>
      </c>
      <c r="AW360" s="1" t="s">
        <v>7008</v>
      </c>
      <c r="AX360" s="1" t="s">
        <v>82</v>
      </c>
      <c r="AY360" s="1" t="s">
        <v>7009</v>
      </c>
      <c r="AZ360" s="1" t="s">
        <v>7010</v>
      </c>
      <c r="BA360" s="1" t="s">
        <v>7042</v>
      </c>
      <c r="BB360" s="1">
        <v>2022</v>
      </c>
      <c r="BC360" s="1">
        <v>12</v>
      </c>
      <c r="BD360" s="1" t="s">
        <v>82</v>
      </c>
      <c r="BE360" s="1" t="s">
        <v>82</v>
      </c>
      <c r="BF360" s="1" t="s">
        <v>82</v>
      </c>
      <c r="BG360" s="1" t="s">
        <v>82</v>
      </c>
      <c r="BH360" s="1" t="s">
        <v>82</v>
      </c>
      <c r="BI360" s="1" t="s">
        <v>82</v>
      </c>
      <c r="BJ360" s="1" t="s">
        <v>82</v>
      </c>
      <c r="BK360" s="1">
        <v>755564</v>
      </c>
      <c r="BL360" s="1" t="s">
        <v>7043</v>
      </c>
      <c r="BM360" s="1" t="str">
        <f>HYPERLINK("http://dx.doi.org/10.3389/fgene.2021.755564","http://dx.doi.org/10.3389/fgene.2021.755564")</f>
        <v>http://dx.doi.org/10.3389/fgene.2021.755564</v>
      </c>
      <c r="BN360" s="1" t="s">
        <v>82</v>
      </c>
      <c r="BO360" s="1" t="s">
        <v>82</v>
      </c>
      <c r="BP360" s="1">
        <v>6</v>
      </c>
      <c r="BQ360" s="1" t="s">
        <v>7013</v>
      </c>
      <c r="BR360" s="1" t="s">
        <v>104</v>
      </c>
      <c r="BS360" s="1" t="s">
        <v>7013</v>
      </c>
      <c r="BT360" s="1" t="s">
        <v>7044</v>
      </c>
      <c r="BU360" s="1">
        <v>35140736</v>
      </c>
      <c r="BV360" s="1" t="s">
        <v>592</v>
      </c>
      <c r="BW360" s="1" t="s">
        <v>82</v>
      </c>
      <c r="BX360" s="1" t="s">
        <v>82</v>
      </c>
      <c r="BY360" s="1" t="s">
        <v>108</v>
      </c>
      <c r="BZ360" s="1" t="s">
        <v>7045</v>
      </c>
      <c r="CA360" s="1" t="str">
        <f>HYPERLINK("https%3A%2F%2Fwww.webofscience.com%2Fwos%2Fwoscc%2Ffull-record%2FWOS:000751869700001","View Full Record in Web of Science")</f>
        <v>View Full Record in Web of Science</v>
      </c>
    </row>
    <row r="361" s="1" customFormat="1" ht="14.4" spans="1:79">
      <c r="A361">
        <v>360</v>
      </c>
      <c r="B361" s="2" t="s">
        <v>79</v>
      </c>
      <c r="C361" s="1" t="s">
        <v>80</v>
      </c>
      <c r="D361" s="1" t="s">
        <v>7046</v>
      </c>
      <c r="E361" s="1" t="s">
        <v>82</v>
      </c>
      <c r="F361" s="1" t="s">
        <v>82</v>
      </c>
      <c r="G361" s="1" t="s">
        <v>82</v>
      </c>
      <c r="H361" s="1" t="s">
        <v>7047</v>
      </c>
      <c r="I361" s="1" t="s">
        <v>82</v>
      </c>
      <c r="J361" s="1" t="s">
        <v>82</v>
      </c>
      <c r="K361" s="1" t="s">
        <v>7048</v>
      </c>
      <c r="L361" s="1" t="s">
        <v>6997</v>
      </c>
      <c r="M361" s="1">
        <v>4.772</v>
      </c>
      <c r="O361" s="1" t="s">
        <v>82</v>
      </c>
      <c r="P361" s="1" t="s">
        <v>82</v>
      </c>
      <c r="Q361" s="1" t="s">
        <v>87</v>
      </c>
      <c r="R361" s="1" t="s">
        <v>115</v>
      </c>
      <c r="S361" s="1" t="s">
        <v>82</v>
      </c>
      <c r="T361" s="1" t="s">
        <v>82</v>
      </c>
      <c r="U361" s="1" t="s">
        <v>82</v>
      </c>
      <c r="V361" s="1" t="s">
        <v>82</v>
      </c>
      <c r="W361" s="1" t="s">
        <v>82</v>
      </c>
      <c r="X361" s="1" t="s">
        <v>7049</v>
      </c>
      <c r="Y361" s="1" t="s">
        <v>7050</v>
      </c>
      <c r="Z361" s="1" t="s">
        <v>7051</v>
      </c>
      <c r="AB361" s="1" t="s">
        <v>1084</v>
      </c>
      <c r="AC361" s="1" t="s">
        <v>7052</v>
      </c>
      <c r="AD361" s="1" t="s">
        <v>206</v>
      </c>
      <c r="AE361" s="1" t="s">
        <v>7053</v>
      </c>
      <c r="AF361" s="1" t="s">
        <v>7054</v>
      </c>
      <c r="AG361" s="1" t="s">
        <v>7055</v>
      </c>
      <c r="AH361" s="1" t="s">
        <v>82</v>
      </c>
      <c r="AI361" s="1" t="s">
        <v>82</v>
      </c>
      <c r="AJ361" s="1" t="s">
        <v>82</v>
      </c>
      <c r="AK361" s="1" t="s">
        <v>82</v>
      </c>
      <c r="AL361" s="1" t="s">
        <v>82</v>
      </c>
      <c r="AM361" s="1" t="s">
        <v>82</v>
      </c>
      <c r="AN361" s="1">
        <v>53</v>
      </c>
      <c r="AO361" s="1">
        <v>1</v>
      </c>
      <c r="AP361" s="1">
        <v>1</v>
      </c>
      <c r="AQ361" s="1">
        <v>2</v>
      </c>
      <c r="AR361" s="1">
        <v>6</v>
      </c>
      <c r="AS361" s="1" t="s">
        <v>2958</v>
      </c>
      <c r="AT361" s="1" t="s">
        <v>2959</v>
      </c>
      <c r="AU361" s="1" t="s">
        <v>2960</v>
      </c>
      <c r="AV361" s="1" t="s">
        <v>82</v>
      </c>
      <c r="AW361" s="1" t="s">
        <v>7008</v>
      </c>
      <c r="AX361" s="1" t="s">
        <v>82</v>
      </c>
      <c r="AY361" s="1" t="s">
        <v>7009</v>
      </c>
      <c r="AZ361" s="1" t="s">
        <v>7010</v>
      </c>
      <c r="BA361" s="1" t="s">
        <v>7042</v>
      </c>
      <c r="BB361" s="1">
        <v>2022</v>
      </c>
      <c r="BC361" s="1">
        <v>13</v>
      </c>
      <c r="BD361" s="1" t="s">
        <v>82</v>
      </c>
      <c r="BE361" s="1" t="s">
        <v>82</v>
      </c>
      <c r="BF361" s="1" t="s">
        <v>82</v>
      </c>
      <c r="BG361" s="1" t="s">
        <v>82</v>
      </c>
      <c r="BH361" s="1" t="s">
        <v>82</v>
      </c>
      <c r="BI361" s="1" t="s">
        <v>82</v>
      </c>
      <c r="BJ361" s="1" t="s">
        <v>82</v>
      </c>
      <c r="BK361" s="1">
        <v>753719</v>
      </c>
      <c r="BL361" s="1" t="s">
        <v>7056</v>
      </c>
      <c r="BM361" s="1" t="str">
        <f>HYPERLINK("http://dx.doi.org/10.3389/fgene.2022.753719","http://dx.doi.org/10.3389/fgene.2022.753719")</f>
        <v>http://dx.doi.org/10.3389/fgene.2022.753719</v>
      </c>
      <c r="BN361" s="1" t="s">
        <v>82</v>
      </c>
      <c r="BO361" s="1" t="s">
        <v>82</v>
      </c>
      <c r="BP361" s="1">
        <v>7</v>
      </c>
      <c r="BQ361" s="1" t="s">
        <v>7013</v>
      </c>
      <c r="BR361" s="1" t="s">
        <v>104</v>
      </c>
      <c r="BS361" s="1" t="s">
        <v>7013</v>
      </c>
      <c r="BT361" s="1" t="s">
        <v>7057</v>
      </c>
      <c r="BU361" s="1">
        <v>35140747</v>
      </c>
      <c r="BV361" s="1" t="s">
        <v>592</v>
      </c>
      <c r="BW361" s="1" t="s">
        <v>82</v>
      </c>
      <c r="BX361" s="1" t="s">
        <v>82</v>
      </c>
      <c r="BY361" s="1" t="s">
        <v>108</v>
      </c>
      <c r="BZ361" s="1" t="s">
        <v>7058</v>
      </c>
      <c r="CA361" s="1" t="str">
        <f>HYPERLINK("https%3A%2F%2Fwww.webofscience.com%2Fwos%2Fwoscc%2Ffull-record%2FWOS:000751860500001","View Full Record in Web of Science")</f>
        <v>View Full Record in Web of Science</v>
      </c>
    </row>
    <row r="362" s="1" customFormat="1" ht="14.4" spans="1:79">
      <c r="A362">
        <v>361</v>
      </c>
      <c r="B362" s="2" t="s">
        <v>110</v>
      </c>
      <c r="C362" s="1" t="s">
        <v>80</v>
      </c>
      <c r="D362" s="1" t="s">
        <v>7059</v>
      </c>
      <c r="E362" s="1" t="s">
        <v>82</v>
      </c>
      <c r="F362" s="1" t="s">
        <v>82</v>
      </c>
      <c r="G362" s="1" t="s">
        <v>82</v>
      </c>
      <c r="H362" s="1" t="s">
        <v>7060</v>
      </c>
      <c r="I362" s="1" t="s">
        <v>82</v>
      </c>
      <c r="J362" s="1" t="s">
        <v>82</v>
      </c>
      <c r="K362" s="1" t="s">
        <v>7061</v>
      </c>
      <c r="L362" s="1" t="s">
        <v>7062</v>
      </c>
      <c r="M362" s="1">
        <v>4.757</v>
      </c>
      <c r="O362" s="1" t="s">
        <v>82</v>
      </c>
      <c r="P362" s="1" t="s">
        <v>82</v>
      </c>
      <c r="Q362" s="1" t="s">
        <v>87</v>
      </c>
      <c r="R362" s="1" t="s">
        <v>200</v>
      </c>
      <c r="S362" s="1" t="s">
        <v>82</v>
      </c>
      <c r="T362" s="1" t="s">
        <v>82</v>
      </c>
      <c r="U362" s="1" t="s">
        <v>82</v>
      </c>
      <c r="V362" s="1" t="s">
        <v>82</v>
      </c>
      <c r="W362" s="1" t="s">
        <v>82</v>
      </c>
      <c r="X362" s="1" t="s">
        <v>7063</v>
      </c>
      <c r="Y362" s="1" t="s">
        <v>7064</v>
      </c>
      <c r="Z362" s="1" t="s">
        <v>7065</v>
      </c>
      <c r="AA362" s="1">
        <v>1</v>
      </c>
      <c r="AB362" s="1" t="s">
        <v>1838</v>
      </c>
      <c r="AC362" s="1" t="s">
        <v>7066</v>
      </c>
      <c r="AD362" s="1" t="s">
        <v>93</v>
      </c>
      <c r="AE362" s="1" t="s">
        <v>2596</v>
      </c>
      <c r="AF362" s="1" t="s">
        <v>7067</v>
      </c>
      <c r="AG362" s="1" t="s">
        <v>1842</v>
      </c>
      <c r="AH362" s="1" t="s">
        <v>82</v>
      </c>
      <c r="AI362" s="1" t="s">
        <v>82</v>
      </c>
      <c r="AJ362" s="1" t="s">
        <v>7068</v>
      </c>
      <c r="AK362" s="1" t="s">
        <v>7069</v>
      </c>
      <c r="AL362" s="1" t="s">
        <v>7070</v>
      </c>
      <c r="AM362" s="1" t="s">
        <v>82</v>
      </c>
      <c r="AN362" s="1">
        <v>60</v>
      </c>
      <c r="AO362" s="1">
        <v>0</v>
      </c>
      <c r="AP362" s="1">
        <v>0</v>
      </c>
      <c r="AQ362" s="1">
        <v>5</v>
      </c>
      <c r="AR362" s="1">
        <v>5</v>
      </c>
      <c r="AS362" s="1" t="s">
        <v>2117</v>
      </c>
      <c r="AT362" s="1" t="s">
        <v>2118</v>
      </c>
      <c r="AU362" s="1" t="s">
        <v>2119</v>
      </c>
      <c r="AV362" s="1" t="s">
        <v>82</v>
      </c>
      <c r="AW362" s="1" t="s">
        <v>7071</v>
      </c>
      <c r="AX362" s="1" t="s">
        <v>82</v>
      </c>
      <c r="AY362" s="1" t="s">
        <v>7062</v>
      </c>
      <c r="AZ362" s="1" t="s">
        <v>7072</v>
      </c>
      <c r="BA362" s="1" t="s">
        <v>486</v>
      </c>
      <c r="BB362" s="1">
        <v>2022</v>
      </c>
      <c r="BC362" s="1">
        <v>10</v>
      </c>
      <c r="BD362" s="1">
        <v>11</v>
      </c>
      <c r="BE362" s="1" t="s">
        <v>82</v>
      </c>
      <c r="BF362" s="1" t="s">
        <v>82</v>
      </c>
      <c r="BG362" s="1" t="s">
        <v>82</v>
      </c>
      <c r="BH362" s="1" t="s">
        <v>82</v>
      </c>
      <c r="BI362" s="1" t="s">
        <v>82</v>
      </c>
      <c r="BJ362" s="1" t="s">
        <v>82</v>
      </c>
      <c r="BK362" s="1">
        <v>2841</v>
      </c>
      <c r="BL362" s="1" t="s">
        <v>7073</v>
      </c>
      <c r="BM362" s="1" t="str">
        <f>HYPERLINK("http://dx.doi.org/10.3390/biomedicines10112841","http://dx.doi.org/10.3390/biomedicines10112841")</f>
        <v>http://dx.doi.org/10.3390/biomedicines10112841</v>
      </c>
      <c r="BN362" s="1" t="s">
        <v>82</v>
      </c>
      <c r="BO362" s="1" t="s">
        <v>82</v>
      </c>
      <c r="BP362" s="1">
        <v>11</v>
      </c>
      <c r="BQ362" s="1" t="s">
        <v>7074</v>
      </c>
      <c r="BR362" s="1" t="s">
        <v>104</v>
      </c>
      <c r="BS362" s="1" t="s">
        <v>7075</v>
      </c>
      <c r="BT362" s="1" t="s">
        <v>7076</v>
      </c>
      <c r="BU362" s="1">
        <v>36359361</v>
      </c>
      <c r="BV362" s="1" t="s">
        <v>635</v>
      </c>
      <c r="BW362" s="1" t="s">
        <v>82</v>
      </c>
      <c r="BX362" s="1" t="s">
        <v>82</v>
      </c>
      <c r="BY362" s="1" t="s">
        <v>108</v>
      </c>
      <c r="BZ362" s="1" t="s">
        <v>7077</v>
      </c>
      <c r="CA362" s="1" t="str">
        <f>HYPERLINK("https%3A%2F%2Fwww.webofscience.com%2Fwos%2Fwoscc%2Ffull-record%2FWOS:000894684000001","View Full Record in Web of Science")</f>
        <v>View Full Record in Web of Science</v>
      </c>
    </row>
    <row r="363" s="1" customFormat="1" ht="14.4" spans="1:79">
      <c r="A363">
        <v>362</v>
      </c>
      <c r="B363" s="2" t="s">
        <v>79</v>
      </c>
      <c r="C363" s="1" t="s">
        <v>80</v>
      </c>
      <c r="D363" s="1" t="s">
        <v>7078</v>
      </c>
      <c r="E363" s="1" t="s">
        <v>82</v>
      </c>
      <c r="F363" s="1" t="s">
        <v>82</v>
      </c>
      <c r="G363" s="1" t="s">
        <v>82</v>
      </c>
      <c r="H363" s="1" t="s">
        <v>7079</v>
      </c>
      <c r="I363" s="1" t="s">
        <v>82</v>
      </c>
      <c r="J363" s="1" t="s">
        <v>82</v>
      </c>
      <c r="K363" s="1" t="s">
        <v>7080</v>
      </c>
      <c r="L363" s="1" t="s">
        <v>7081</v>
      </c>
      <c r="M363" s="1">
        <v>4.714</v>
      </c>
      <c r="O363" s="1" t="s">
        <v>82</v>
      </c>
      <c r="P363" s="1" t="s">
        <v>82</v>
      </c>
      <c r="Q363" s="1" t="s">
        <v>87</v>
      </c>
      <c r="R363" s="1" t="s">
        <v>115</v>
      </c>
      <c r="S363" s="1" t="s">
        <v>82</v>
      </c>
      <c r="T363" s="1" t="s">
        <v>82</v>
      </c>
      <c r="U363" s="1" t="s">
        <v>82</v>
      </c>
      <c r="V363" s="1" t="s">
        <v>82</v>
      </c>
      <c r="W363" s="1" t="s">
        <v>82</v>
      </c>
      <c r="X363" s="1" t="s">
        <v>82</v>
      </c>
      <c r="Y363" s="1" t="s">
        <v>7082</v>
      </c>
      <c r="Z363" s="1" t="s">
        <v>7083</v>
      </c>
      <c r="AA363" s="1">
        <v>1</v>
      </c>
      <c r="AB363" s="1" t="s">
        <v>3216</v>
      </c>
      <c r="AC363" s="1" t="s">
        <v>7084</v>
      </c>
      <c r="AD363" s="1" t="s">
        <v>93</v>
      </c>
      <c r="AE363" s="1" t="s">
        <v>7085</v>
      </c>
      <c r="AF363" s="1" t="s">
        <v>7086</v>
      </c>
      <c r="AG363" s="1" t="s">
        <v>7087</v>
      </c>
      <c r="AH363" s="1" t="s">
        <v>82</v>
      </c>
      <c r="AI363" s="1" t="s">
        <v>7088</v>
      </c>
      <c r="AJ363" s="1" t="s">
        <v>7089</v>
      </c>
      <c r="AK363" s="1" t="s">
        <v>7090</v>
      </c>
      <c r="AL363" s="1" t="s">
        <v>7091</v>
      </c>
      <c r="AM363" s="1" t="s">
        <v>82</v>
      </c>
      <c r="AN363" s="1">
        <v>109</v>
      </c>
      <c r="AO363" s="1">
        <v>0</v>
      </c>
      <c r="AP363" s="1">
        <v>1</v>
      </c>
      <c r="AQ363" s="1">
        <v>8</v>
      </c>
      <c r="AR363" s="1">
        <v>22</v>
      </c>
      <c r="AS363" s="1" t="s">
        <v>1002</v>
      </c>
      <c r="AT363" s="1" t="s">
        <v>1003</v>
      </c>
      <c r="AU363" s="1" t="s">
        <v>1004</v>
      </c>
      <c r="AV363" s="1" t="s">
        <v>7092</v>
      </c>
      <c r="AW363" s="1" t="s">
        <v>7093</v>
      </c>
      <c r="AX363" s="1" t="s">
        <v>82</v>
      </c>
      <c r="AY363" s="1" t="s">
        <v>7081</v>
      </c>
      <c r="AZ363" s="1" t="s">
        <v>7094</v>
      </c>
      <c r="BA363" s="1" t="s">
        <v>2521</v>
      </c>
      <c r="BB363" s="1">
        <v>2022</v>
      </c>
      <c r="BC363" s="1">
        <v>38</v>
      </c>
      <c r="BD363" s="1">
        <v>4</v>
      </c>
      <c r="BE363" s="1" t="s">
        <v>82</v>
      </c>
      <c r="BF363" s="1" t="s">
        <v>82</v>
      </c>
      <c r="BG363" s="1" t="s">
        <v>82</v>
      </c>
      <c r="BH363" s="1" t="s">
        <v>82</v>
      </c>
      <c r="BI363" s="1">
        <v>429</v>
      </c>
      <c r="BJ363" s="1">
        <v>451</v>
      </c>
      <c r="BK363" s="1" t="s">
        <v>82</v>
      </c>
      <c r="BL363" s="1" t="s">
        <v>7095</v>
      </c>
      <c r="BM363" s="1" t="str">
        <f>HYPERLINK("http://dx.doi.org/10.1111/cla.12502","http://dx.doi.org/10.1111/cla.12502")</f>
        <v>http://dx.doi.org/10.1111/cla.12502</v>
      </c>
      <c r="BN363" s="1" t="s">
        <v>82</v>
      </c>
      <c r="BO363" s="1" t="s">
        <v>282</v>
      </c>
      <c r="BP363" s="1">
        <v>23</v>
      </c>
      <c r="BQ363" s="1" t="s">
        <v>7096</v>
      </c>
      <c r="BR363" s="1" t="s">
        <v>104</v>
      </c>
      <c r="BS363" s="1" t="s">
        <v>7096</v>
      </c>
      <c r="BT363" s="1" t="s">
        <v>7097</v>
      </c>
      <c r="BU363" s="1">
        <v>35358338</v>
      </c>
      <c r="BV363" s="1" t="s">
        <v>427</v>
      </c>
      <c r="BW363" s="1" t="s">
        <v>82</v>
      </c>
      <c r="BX363" s="1" t="s">
        <v>82</v>
      </c>
      <c r="BY363" s="1" t="s">
        <v>108</v>
      </c>
      <c r="BZ363" s="1" t="s">
        <v>7098</v>
      </c>
      <c r="CA363" s="1" t="str">
        <f>HYPERLINK("https%3A%2F%2Fwww.webofscience.com%2Fwos%2Fwoscc%2Ffull-record%2FWOS:000776222100001","View Full Record in Web of Science")</f>
        <v>View Full Record in Web of Science</v>
      </c>
    </row>
    <row r="364" s="1" customFormat="1" ht="14.4" spans="1:79">
      <c r="A364">
        <v>363</v>
      </c>
      <c r="B364" s="2" t="s">
        <v>110</v>
      </c>
      <c r="C364" s="1" t="s">
        <v>80</v>
      </c>
      <c r="D364" s="1" t="s">
        <v>7099</v>
      </c>
      <c r="E364" s="1" t="s">
        <v>82</v>
      </c>
      <c r="F364" s="1" t="s">
        <v>82</v>
      </c>
      <c r="G364" s="1" t="s">
        <v>82</v>
      </c>
      <c r="H364" s="1" t="s">
        <v>7100</v>
      </c>
      <c r="I364" s="1" t="s">
        <v>82</v>
      </c>
      <c r="J364" s="1" t="s">
        <v>82</v>
      </c>
      <c r="K364" s="1" t="s">
        <v>7101</v>
      </c>
      <c r="L364" s="1" t="s">
        <v>7102</v>
      </c>
      <c r="M364" s="1">
        <v>4.669</v>
      </c>
      <c r="O364" s="1" t="s">
        <v>82</v>
      </c>
      <c r="P364" s="1" t="s">
        <v>82</v>
      </c>
      <c r="Q364" s="1" t="s">
        <v>87</v>
      </c>
      <c r="R364" s="1" t="s">
        <v>115</v>
      </c>
      <c r="S364" s="1" t="s">
        <v>82</v>
      </c>
      <c r="T364" s="1" t="s">
        <v>82</v>
      </c>
      <c r="U364" s="1" t="s">
        <v>82</v>
      </c>
      <c r="V364" s="1" t="s">
        <v>82</v>
      </c>
      <c r="W364" s="1" t="s">
        <v>82</v>
      </c>
      <c r="X364" s="1" t="s">
        <v>7103</v>
      </c>
      <c r="Y364" s="1" t="s">
        <v>7104</v>
      </c>
      <c r="Z364" s="1" t="s">
        <v>7105</v>
      </c>
      <c r="AA364" s="1">
        <v>1</v>
      </c>
      <c r="AB364" s="1" t="s">
        <v>7106</v>
      </c>
      <c r="AC364" s="1" t="s">
        <v>7107</v>
      </c>
      <c r="AD364" s="1" t="s">
        <v>93</v>
      </c>
      <c r="AE364" s="1" t="s">
        <v>7108</v>
      </c>
      <c r="AF364" s="1" t="s">
        <v>7109</v>
      </c>
      <c r="AG364" s="1" t="s">
        <v>7110</v>
      </c>
      <c r="AH364" s="1" t="s">
        <v>82</v>
      </c>
      <c r="AI364" s="1" t="s">
        <v>82</v>
      </c>
      <c r="AJ364" s="1" t="s">
        <v>7111</v>
      </c>
      <c r="AK364" s="1" t="s">
        <v>7112</v>
      </c>
      <c r="AL364" s="1" t="s">
        <v>7113</v>
      </c>
      <c r="AM364" s="1" t="s">
        <v>82</v>
      </c>
      <c r="AN364" s="1">
        <v>49</v>
      </c>
      <c r="AO364" s="1">
        <v>0</v>
      </c>
      <c r="AP364" s="1">
        <v>0</v>
      </c>
      <c r="AQ364" s="1">
        <v>6</v>
      </c>
      <c r="AR364" s="1">
        <v>9</v>
      </c>
      <c r="AS364" s="1" t="s">
        <v>7114</v>
      </c>
      <c r="AT364" s="1" t="s">
        <v>7115</v>
      </c>
      <c r="AU364" s="1" t="s">
        <v>7116</v>
      </c>
      <c r="AV364" s="1" t="s">
        <v>7117</v>
      </c>
      <c r="AW364" s="1" t="s">
        <v>7118</v>
      </c>
      <c r="AX364" s="1" t="s">
        <v>82</v>
      </c>
      <c r="AY364" s="1" t="s">
        <v>7119</v>
      </c>
      <c r="AZ364" s="1" t="s">
        <v>7120</v>
      </c>
      <c r="BA364" s="1" t="s">
        <v>1211</v>
      </c>
      <c r="BB364" s="1">
        <v>2022</v>
      </c>
      <c r="BC364" s="1">
        <v>254</v>
      </c>
      <c r="BD364" s="1">
        <v>3</v>
      </c>
      <c r="BE364" s="1" t="s">
        <v>82</v>
      </c>
      <c r="BF364" s="1" t="s">
        <v>82</v>
      </c>
      <c r="BG364" s="1" t="s">
        <v>82</v>
      </c>
      <c r="BH364" s="1" t="s">
        <v>82</v>
      </c>
      <c r="BI364" s="1">
        <v>151</v>
      </c>
      <c r="BJ364" s="1">
        <v>165</v>
      </c>
      <c r="BK364" s="1" t="s">
        <v>82</v>
      </c>
      <c r="BL364" s="1" t="s">
        <v>7121</v>
      </c>
      <c r="BM364" s="1" t="str">
        <f>HYPERLINK("http://dx.doi.org/10.1530/JOE-22-0076","http://dx.doi.org/10.1530/JOE-22-0076")</f>
        <v>http://dx.doi.org/10.1530/JOE-22-0076</v>
      </c>
      <c r="BN364" s="1" t="s">
        <v>82</v>
      </c>
      <c r="BO364" s="1" t="s">
        <v>82</v>
      </c>
      <c r="BP364" s="1">
        <v>15</v>
      </c>
      <c r="BQ364" s="1" t="s">
        <v>7122</v>
      </c>
      <c r="BR364" s="1" t="s">
        <v>104</v>
      </c>
      <c r="BS364" s="1" t="s">
        <v>7122</v>
      </c>
      <c r="BT364" s="1" t="s">
        <v>7123</v>
      </c>
      <c r="BU364" s="1">
        <v>35608066</v>
      </c>
      <c r="BV364" s="1" t="s">
        <v>82</v>
      </c>
      <c r="BW364" s="1" t="s">
        <v>82</v>
      </c>
      <c r="BX364" s="1" t="s">
        <v>82</v>
      </c>
      <c r="BY364" s="1" t="s">
        <v>108</v>
      </c>
      <c r="BZ364" s="1" t="s">
        <v>7124</v>
      </c>
      <c r="CA364" s="1" t="str">
        <f>HYPERLINK("https%3A%2F%2Fwww.webofscience.com%2Fwos%2Fwoscc%2Ffull-record%2FWOS:000848359900002","View Full Record in Web of Science")</f>
        <v>View Full Record in Web of Science</v>
      </c>
    </row>
    <row r="365" s="1" customFormat="1" ht="14.4" spans="1:79">
      <c r="A365">
        <v>364</v>
      </c>
      <c r="B365" s="2" t="s">
        <v>79</v>
      </c>
      <c r="C365" s="1" t="s">
        <v>80</v>
      </c>
      <c r="D365" s="1" t="s">
        <v>7125</v>
      </c>
      <c r="E365" s="1" t="s">
        <v>82</v>
      </c>
      <c r="F365" s="1" t="s">
        <v>82</v>
      </c>
      <c r="G365" s="1" t="s">
        <v>82</v>
      </c>
      <c r="H365" s="1" t="s">
        <v>7126</v>
      </c>
      <c r="I365" s="1" t="s">
        <v>82</v>
      </c>
      <c r="J365" s="1" t="s">
        <v>82</v>
      </c>
      <c r="K365" s="1" t="s">
        <v>7127</v>
      </c>
      <c r="L365" s="1" t="s">
        <v>7128</v>
      </c>
      <c r="M365" s="1">
        <v>4.658</v>
      </c>
      <c r="O365" s="1" t="s">
        <v>82</v>
      </c>
      <c r="P365" s="1" t="s">
        <v>82</v>
      </c>
      <c r="Q365" s="1" t="s">
        <v>87</v>
      </c>
      <c r="R365" s="1" t="s">
        <v>115</v>
      </c>
      <c r="S365" s="1" t="s">
        <v>82</v>
      </c>
      <c r="T365" s="1" t="s">
        <v>82</v>
      </c>
      <c r="U365" s="1" t="s">
        <v>82</v>
      </c>
      <c r="V365" s="1" t="s">
        <v>82</v>
      </c>
      <c r="W365" s="1" t="s">
        <v>82</v>
      </c>
      <c r="X365" s="1" t="s">
        <v>7129</v>
      </c>
      <c r="Y365" s="1" t="s">
        <v>7130</v>
      </c>
      <c r="Z365" s="1" t="s">
        <v>7131</v>
      </c>
      <c r="AB365" s="1" t="s">
        <v>7132</v>
      </c>
      <c r="AC365" s="1" t="s">
        <v>7133</v>
      </c>
      <c r="AD365" s="1" t="s">
        <v>206</v>
      </c>
      <c r="AE365" s="1" t="s">
        <v>7134</v>
      </c>
      <c r="AF365" s="1" t="s">
        <v>7135</v>
      </c>
      <c r="AG365" s="1" t="s">
        <v>7136</v>
      </c>
      <c r="AH365" s="1" t="s">
        <v>82</v>
      </c>
      <c r="AI365" s="1" t="s">
        <v>7137</v>
      </c>
      <c r="AJ365" s="1" t="s">
        <v>7138</v>
      </c>
      <c r="AK365" s="1" t="s">
        <v>7139</v>
      </c>
      <c r="AL365" s="1" t="s">
        <v>7140</v>
      </c>
      <c r="AM365" s="1" t="s">
        <v>82</v>
      </c>
      <c r="AN365" s="1">
        <v>65</v>
      </c>
      <c r="AO365" s="1">
        <v>0</v>
      </c>
      <c r="AP365" s="1">
        <v>0</v>
      </c>
      <c r="AQ365" s="1">
        <v>11</v>
      </c>
      <c r="AR365" s="1">
        <v>11</v>
      </c>
      <c r="AS365" s="1" t="s">
        <v>2117</v>
      </c>
      <c r="AT365" s="1" t="s">
        <v>2118</v>
      </c>
      <c r="AU365" s="1" t="s">
        <v>2119</v>
      </c>
      <c r="AV365" s="1" t="s">
        <v>82</v>
      </c>
      <c r="AW365" s="1" t="s">
        <v>7141</v>
      </c>
      <c r="AX365" s="1" t="s">
        <v>82</v>
      </c>
      <c r="AY365" s="1" t="s">
        <v>7128</v>
      </c>
      <c r="AZ365" s="1" t="s">
        <v>7142</v>
      </c>
      <c r="BA365" s="1" t="s">
        <v>222</v>
      </c>
      <c r="BB365" s="1">
        <v>2022</v>
      </c>
      <c r="BC365" s="1">
        <v>11</v>
      </c>
      <c r="BD365" s="1">
        <v>18</v>
      </c>
      <c r="BE365" s="1" t="s">
        <v>82</v>
      </c>
      <c r="BF365" s="1" t="s">
        <v>82</v>
      </c>
      <c r="BG365" s="1" t="s">
        <v>82</v>
      </c>
      <c r="BH365" s="1" t="s">
        <v>82</v>
      </c>
      <c r="BI365" s="1" t="s">
        <v>82</v>
      </c>
      <c r="BJ365" s="1" t="s">
        <v>82</v>
      </c>
      <c r="BK365" s="1">
        <v>2423</v>
      </c>
      <c r="BL365" s="1" t="s">
        <v>7143</v>
      </c>
      <c r="BM365" s="1" t="str">
        <f>HYPERLINK("http://dx.doi.org/10.3390/plants11182423","http://dx.doi.org/10.3390/plants11182423")</f>
        <v>http://dx.doi.org/10.3390/plants11182423</v>
      </c>
      <c r="BN365" s="1" t="s">
        <v>82</v>
      </c>
      <c r="BO365" s="1" t="s">
        <v>82</v>
      </c>
      <c r="BP365" s="1">
        <v>21</v>
      </c>
      <c r="BQ365" s="1" t="s">
        <v>378</v>
      </c>
      <c r="BR365" s="1" t="s">
        <v>104</v>
      </c>
      <c r="BS365" s="1" t="s">
        <v>378</v>
      </c>
      <c r="BT365" s="1" t="s">
        <v>7144</v>
      </c>
      <c r="BU365" s="1">
        <v>36145824</v>
      </c>
      <c r="BV365" s="1" t="s">
        <v>635</v>
      </c>
      <c r="BW365" s="1" t="s">
        <v>82</v>
      </c>
      <c r="BX365" s="1" t="s">
        <v>82</v>
      </c>
      <c r="BY365" s="1" t="s">
        <v>108</v>
      </c>
      <c r="BZ365" s="1" t="s">
        <v>7145</v>
      </c>
      <c r="CA365" s="1" t="str">
        <f>HYPERLINK("https%3A%2F%2Fwww.webofscience.com%2Fwos%2Fwoscc%2Ffull-record%2FWOS:000856769200001","View Full Record in Web of Science")</f>
        <v>View Full Record in Web of Science</v>
      </c>
    </row>
    <row r="366" s="1" customFormat="1" ht="14.4" spans="1:79">
      <c r="A366">
        <v>365</v>
      </c>
      <c r="B366" s="2" t="s">
        <v>79</v>
      </c>
      <c r="C366" s="1" t="s">
        <v>80</v>
      </c>
      <c r="D366" s="1" t="s">
        <v>7146</v>
      </c>
      <c r="E366" s="1" t="s">
        <v>82</v>
      </c>
      <c r="F366" s="1" t="s">
        <v>82</v>
      </c>
      <c r="G366" s="1" t="s">
        <v>82</v>
      </c>
      <c r="H366" s="1" t="s">
        <v>7147</v>
      </c>
      <c r="I366" s="1" t="s">
        <v>82</v>
      </c>
      <c r="J366" s="1" t="s">
        <v>82</v>
      </c>
      <c r="K366" s="1" t="s">
        <v>7148</v>
      </c>
      <c r="L366" s="1" t="s">
        <v>7128</v>
      </c>
      <c r="M366" s="1">
        <v>4.658</v>
      </c>
      <c r="O366" s="1" t="s">
        <v>82</v>
      </c>
      <c r="P366" s="1" t="s">
        <v>82</v>
      </c>
      <c r="Q366" s="1" t="s">
        <v>87</v>
      </c>
      <c r="R366" s="1" t="s">
        <v>115</v>
      </c>
      <c r="S366" s="1" t="s">
        <v>82</v>
      </c>
      <c r="T366" s="1" t="s">
        <v>82</v>
      </c>
      <c r="U366" s="1" t="s">
        <v>82</v>
      </c>
      <c r="V366" s="1" t="s">
        <v>82</v>
      </c>
      <c r="W366" s="1" t="s">
        <v>82</v>
      </c>
      <c r="X366" s="1" t="s">
        <v>7149</v>
      </c>
      <c r="Y366" s="1" t="s">
        <v>7150</v>
      </c>
      <c r="Z366" s="1" t="s">
        <v>7151</v>
      </c>
      <c r="AA366" s="1">
        <v>1</v>
      </c>
      <c r="AB366" s="1" t="s">
        <v>7152</v>
      </c>
      <c r="AC366" s="1" t="s">
        <v>7153</v>
      </c>
      <c r="AD366" s="1" t="s">
        <v>93</v>
      </c>
      <c r="AE366" s="1" t="s">
        <v>7154</v>
      </c>
      <c r="AF366" s="1" t="s">
        <v>7155</v>
      </c>
      <c r="AG366" s="1" t="s">
        <v>7156</v>
      </c>
      <c r="AH366" s="1" t="s">
        <v>7157</v>
      </c>
      <c r="AI366" s="1" t="s">
        <v>7158</v>
      </c>
      <c r="AJ366" s="1" t="s">
        <v>7159</v>
      </c>
      <c r="AK366" s="1" t="s">
        <v>7160</v>
      </c>
      <c r="AL366" s="1" t="s">
        <v>7161</v>
      </c>
      <c r="AM366" s="1" t="s">
        <v>82</v>
      </c>
      <c r="AN366" s="1">
        <v>76</v>
      </c>
      <c r="AO366" s="1">
        <v>0</v>
      </c>
      <c r="AP366" s="1">
        <v>0</v>
      </c>
      <c r="AQ366" s="1">
        <v>14</v>
      </c>
      <c r="AR366" s="1">
        <v>17</v>
      </c>
      <c r="AS366" s="1" t="s">
        <v>2117</v>
      </c>
      <c r="AT366" s="1" t="s">
        <v>2118</v>
      </c>
      <c r="AU366" s="1" t="s">
        <v>2119</v>
      </c>
      <c r="AV366" s="1" t="s">
        <v>82</v>
      </c>
      <c r="AW366" s="1" t="s">
        <v>7141</v>
      </c>
      <c r="AX366" s="1" t="s">
        <v>82</v>
      </c>
      <c r="AY366" s="1" t="s">
        <v>7128</v>
      </c>
      <c r="AZ366" s="1" t="s">
        <v>7142</v>
      </c>
      <c r="BA366" s="1" t="s">
        <v>1403</v>
      </c>
      <c r="BB366" s="1">
        <v>2022</v>
      </c>
      <c r="BC366" s="1">
        <v>11</v>
      </c>
      <c r="BD366" s="1">
        <v>13</v>
      </c>
      <c r="BE366" s="1" t="s">
        <v>82</v>
      </c>
      <c r="BF366" s="1" t="s">
        <v>82</v>
      </c>
      <c r="BG366" s="1" t="s">
        <v>82</v>
      </c>
      <c r="BH366" s="1" t="s">
        <v>82</v>
      </c>
      <c r="BI366" s="1" t="s">
        <v>82</v>
      </c>
      <c r="BJ366" s="1" t="s">
        <v>82</v>
      </c>
      <c r="BK366" s="1">
        <v>1652</v>
      </c>
      <c r="BL366" s="1" t="s">
        <v>7162</v>
      </c>
      <c r="BM366" s="1" t="str">
        <f>HYPERLINK("http://dx.doi.org/10.3390/plants11131652","http://dx.doi.org/10.3390/plants11131652")</f>
        <v>http://dx.doi.org/10.3390/plants11131652</v>
      </c>
      <c r="BN366" s="1" t="s">
        <v>82</v>
      </c>
      <c r="BO366" s="1" t="s">
        <v>82</v>
      </c>
      <c r="BP366" s="1">
        <v>14</v>
      </c>
      <c r="BQ366" s="1" t="s">
        <v>378</v>
      </c>
      <c r="BR366" s="1" t="s">
        <v>104</v>
      </c>
      <c r="BS366" s="1" t="s">
        <v>378</v>
      </c>
      <c r="BT366" s="1" t="s">
        <v>7163</v>
      </c>
      <c r="BU366" s="1">
        <v>35807604</v>
      </c>
      <c r="BV366" s="1" t="s">
        <v>592</v>
      </c>
      <c r="BW366" s="1" t="s">
        <v>82</v>
      </c>
      <c r="BX366" s="1" t="s">
        <v>82</v>
      </c>
      <c r="BY366" s="1" t="s">
        <v>108</v>
      </c>
      <c r="BZ366" s="1" t="s">
        <v>7164</v>
      </c>
      <c r="CA366" s="1" t="str">
        <f>HYPERLINK("https%3A%2F%2Fwww.webofscience.com%2Fwos%2Fwoscc%2Ffull-record%2FWOS:000824198900001","View Full Record in Web of Science")</f>
        <v>View Full Record in Web of Science</v>
      </c>
    </row>
    <row r="367" s="1" customFormat="1" ht="14.4" spans="1:79">
      <c r="A367">
        <v>366</v>
      </c>
      <c r="B367" s="2" t="s">
        <v>79</v>
      </c>
      <c r="C367" s="1" t="s">
        <v>80</v>
      </c>
      <c r="D367" s="1" t="s">
        <v>7165</v>
      </c>
      <c r="E367" s="1" t="s">
        <v>82</v>
      </c>
      <c r="F367" s="1" t="s">
        <v>82</v>
      </c>
      <c r="G367" s="1" t="s">
        <v>82</v>
      </c>
      <c r="H367" s="1" t="s">
        <v>7166</v>
      </c>
      <c r="I367" s="1" t="s">
        <v>82</v>
      </c>
      <c r="J367" s="1" t="s">
        <v>82</v>
      </c>
      <c r="K367" s="1" t="s">
        <v>7167</v>
      </c>
      <c r="L367" s="1" t="s">
        <v>7128</v>
      </c>
      <c r="M367" s="1">
        <v>4.658</v>
      </c>
      <c r="O367" s="1" t="s">
        <v>82</v>
      </c>
      <c r="P367" s="1" t="s">
        <v>82</v>
      </c>
      <c r="Q367" s="1" t="s">
        <v>87</v>
      </c>
      <c r="R367" s="1" t="s">
        <v>115</v>
      </c>
      <c r="S367" s="1" t="s">
        <v>82</v>
      </c>
      <c r="T367" s="1" t="s">
        <v>82</v>
      </c>
      <c r="U367" s="1" t="s">
        <v>82</v>
      </c>
      <c r="V367" s="1" t="s">
        <v>82</v>
      </c>
      <c r="W367" s="1" t="s">
        <v>82</v>
      </c>
      <c r="X367" s="1" t="s">
        <v>7168</v>
      </c>
      <c r="Y367" s="1" t="s">
        <v>7169</v>
      </c>
      <c r="Z367" s="1" t="s">
        <v>7170</v>
      </c>
      <c r="AB367" s="1" t="s">
        <v>7171</v>
      </c>
      <c r="AC367" s="1" t="s">
        <v>7172</v>
      </c>
      <c r="AD367" s="1" t="s">
        <v>206</v>
      </c>
      <c r="AE367" s="1" t="s">
        <v>7173</v>
      </c>
      <c r="AF367" s="1" t="s">
        <v>7174</v>
      </c>
      <c r="AG367" s="1" t="s">
        <v>7175</v>
      </c>
      <c r="AH367" s="1" t="s">
        <v>7176</v>
      </c>
      <c r="AI367" s="1" t="s">
        <v>7177</v>
      </c>
      <c r="AJ367" s="1" t="s">
        <v>7178</v>
      </c>
      <c r="AK367" s="1" t="s">
        <v>7179</v>
      </c>
      <c r="AL367" s="1" t="s">
        <v>7180</v>
      </c>
      <c r="AM367" s="1" t="s">
        <v>82</v>
      </c>
      <c r="AN367" s="1">
        <v>86</v>
      </c>
      <c r="AO367" s="1">
        <v>0</v>
      </c>
      <c r="AP367" s="1">
        <v>0</v>
      </c>
      <c r="AQ367" s="1">
        <v>5</v>
      </c>
      <c r="AR367" s="1">
        <v>8</v>
      </c>
      <c r="AS367" s="1" t="s">
        <v>2117</v>
      </c>
      <c r="AT367" s="1" t="s">
        <v>2118</v>
      </c>
      <c r="AU367" s="1" t="s">
        <v>2119</v>
      </c>
      <c r="AV367" s="1" t="s">
        <v>82</v>
      </c>
      <c r="AW367" s="1" t="s">
        <v>7141</v>
      </c>
      <c r="AX367" s="1" t="s">
        <v>82</v>
      </c>
      <c r="AY367" s="1" t="s">
        <v>7128</v>
      </c>
      <c r="AZ367" s="1" t="s">
        <v>7142</v>
      </c>
      <c r="BA367" s="1" t="s">
        <v>1146</v>
      </c>
      <c r="BB367" s="1">
        <v>2022</v>
      </c>
      <c r="BC367" s="1">
        <v>11</v>
      </c>
      <c r="BD367" s="1">
        <v>11</v>
      </c>
      <c r="BE367" s="1" t="s">
        <v>82</v>
      </c>
      <c r="BF367" s="1" t="s">
        <v>82</v>
      </c>
      <c r="BG367" s="1" t="s">
        <v>82</v>
      </c>
      <c r="BH367" s="1" t="s">
        <v>82</v>
      </c>
      <c r="BI367" s="1" t="s">
        <v>82</v>
      </c>
      <c r="BJ367" s="1" t="s">
        <v>82</v>
      </c>
      <c r="BK367" s="1">
        <v>1488</v>
      </c>
      <c r="BL367" s="1" t="s">
        <v>7181</v>
      </c>
      <c r="BM367" s="1" t="str">
        <f>HYPERLINK("http://dx.doi.org/10.3390/plants11111488","http://dx.doi.org/10.3390/plants11111488")</f>
        <v>http://dx.doi.org/10.3390/plants11111488</v>
      </c>
      <c r="BN367" s="1" t="s">
        <v>82</v>
      </c>
      <c r="BO367" s="1" t="s">
        <v>82</v>
      </c>
      <c r="BP367" s="1">
        <v>15</v>
      </c>
      <c r="BQ367" s="1" t="s">
        <v>378</v>
      </c>
      <c r="BR367" s="1" t="s">
        <v>104</v>
      </c>
      <c r="BS367" s="1" t="s">
        <v>378</v>
      </c>
      <c r="BT367" s="1" t="s">
        <v>7182</v>
      </c>
      <c r="BU367" s="1">
        <v>35684261</v>
      </c>
      <c r="BV367" s="1" t="s">
        <v>592</v>
      </c>
      <c r="BW367" s="1" t="s">
        <v>82</v>
      </c>
      <c r="BX367" s="1" t="s">
        <v>82</v>
      </c>
      <c r="BY367" s="1" t="s">
        <v>108</v>
      </c>
      <c r="BZ367" s="1" t="s">
        <v>7183</v>
      </c>
      <c r="CA367" s="1" t="str">
        <f>HYPERLINK("https%3A%2F%2Fwww.webofscience.com%2Fwos%2Fwoscc%2Ffull-record%2FWOS:000809151700001","View Full Record in Web of Science")</f>
        <v>View Full Record in Web of Science</v>
      </c>
    </row>
    <row r="368" s="1" customFormat="1" ht="14.4" spans="1:79">
      <c r="A368">
        <v>367</v>
      </c>
      <c r="B368" s="2" t="s">
        <v>79</v>
      </c>
      <c r="C368" s="1" t="s">
        <v>80</v>
      </c>
      <c r="D368" s="1" t="s">
        <v>7184</v>
      </c>
      <c r="E368" s="1" t="s">
        <v>82</v>
      </c>
      <c r="F368" s="1" t="s">
        <v>82</v>
      </c>
      <c r="G368" s="1" t="s">
        <v>82</v>
      </c>
      <c r="H368" s="1" t="s">
        <v>7185</v>
      </c>
      <c r="I368" s="1" t="s">
        <v>82</v>
      </c>
      <c r="J368" s="1" t="s">
        <v>82</v>
      </c>
      <c r="K368" s="1" t="s">
        <v>7186</v>
      </c>
      <c r="L368" s="1" t="s">
        <v>7128</v>
      </c>
      <c r="M368" s="1">
        <v>4.658</v>
      </c>
      <c r="O368" s="1" t="s">
        <v>82</v>
      </c>
      <c r="P368" s="1" t="s">
        <v>82</v>
      </c>
      <c r="Q368" s="1" t="s">
        <v>87</v>
      </c>
      <c r="R368" s="1" t="s">
        <v>115</v>
      </c>
      <c r="S368" s="1" t="s">
        <v>82</v>
      </c>
      <c r="T368" s="1" t="s">
        <v>82</v>
      </c>
      <c r="U368" s="1" t="s">
        <v>82</v>
      </c>
      <c r="V368" s="1" t="s">
        <v>82</v>
      </c>
      <c r="W368" s="1" t="s">
        <v>82</v>
      </c>
      <c r="X368" s="1" t="s">
        <v>7187</v>
      </c>
      <c r="Y368" s="1" t="s">
        <v>7188</v>
      </c>
      <c r="Z368" s="1" t="s">
        <v>7189</v>
      </c>
      <c r="AA368" s="1">
        <v>1</v>
      </c>
      <c r="AB368" s="1" t="s">
        <v>2110</v>
      </c>
      <c r="AC368" s="1" t="s">
        <v>7190</v>
      </c>
      <c r="AD368" s="1" t="s">
        <v>93</v>
      </c>
      <c r="AE368" s="1" t="s">
        <v>7191</v>
      </c>
      <c r="AF368" s="1" t="s">
        <v>2112</v>
      </c>
      <c r="AG368" s="1" t="s">
        <v>7192</v>
      </c>
      <c r="AH368" s="1" t="s">
        <v>7193</v>
      </c>
      <c r="AI368" s="1" t="s">
        <v>7194</v>
      </c>
      <c r="AJ368" s="1" t="s">
        <v>2210</v>
      </c>
      <c r="AK368" s="1" t="s">
        <v>2211</v>
      </c>
      <c r="AL368" s="1" t="s">
        <v>7195</v>
      </c>
      <c r="AM368" s="1" t="s">
        <v>82</v>
      </c>
      <c r="AN368" s="1">
        <v>85</v>
      </c>
      <c r="AO368" s="1">
        <v>3</v>
      </c>
      <c r="AP368" s="1">
        <v>3</v>
      </c>
      <c r="AQ368" s="1">
        <v>7</v>
      </c>
      <c r="AR368" s="1">
        <v>24</v>
      </c>
      <c r="AS368" s="1" t="s">
        <v>2117</v>
      </c>
      <c r="AT368" s="1" t="s">
        <v>2118</v>
      </c>
      <c r="AU368" s="1" t="s">
        <v>2119</v>
      </c>
      <c r="AV368" s="1" t="s">
        <v>82</v>
      </c>
      <c r="AW368" s="1" t="s">
        <v>7141</v>
      </c>
      <c r="AX368" s="1" t="s">
        <v>82</v>
      </c>
      <c r="AY368" s="1" t="s">
        <v>7128</v>
      </c>
      <c r="AZ368" s="1" t="s">
        <v>7142</v>
      </c>
      <c r="BA368" s="1" t="s">
        <v>1826</v>
      </c>
      <c r="BB368" s="1">
        <v>2022</v>
      </c>
      <c r="BC368" s="1">
        <v>11</v>
      </c>
      <c r="BD368" s="1">
        <v>2</v>
      </c>
      <c r="BE368" s="1" t="s">
        <v>82</v>
      </c>
      <c r="BF368" s="1" t="s">
        <v>82</v>
      </c>
      <c r="BG368" s="1" t="s">
        <v>82</v>
      </c>
      <c r="BH368" s="1" t="s">
        <v>82</v>
      </c>
      <c r="BI368" s="1" t="s">
        <v>82</v>
      </c>
      <c r="BJ368" s="1" t="s">
        <v>82</v>
      </c>
      <c r="BK368" s="1">
        <v>195</v>
      </c>
      <c r="BL368" s="1" t="s">
        <v>7196</v>
      </c>
      <c r="BM368" s="1" t="str">
        <f>HYPERLINK("http://dx.doi.org/10.3390/plants11020195","http://dx.doi.org/10.3390/plants11020195")</f>
        <v>http://dx.doi.org/10.3390/plants11020195</v>
      </c>
      <c r="BN368" s="1" t="s">
        <v>82</v>
      </c>
      <c r="BO368" s="1" t="s">
        <v>82</v>
      </c>
      <c r="BP368" s="1">
        <v>16</v>
      </c>
      <c r="BQ368" s="1" t="s">
        <v>378</v>
      </c>
      <c r="BR368" s="1" t="s">
        <v>104</v>
      </c>
      <c r="BS368" s="1" t="s">
        <v>378</v>
      </c>
      <c r="BT368" s="1" t="s">
        <v>7197</v>
      </c>
      <c r="BU368" s="1">
        <v>35050082</v>
      </c>
      <c r="BV368" s="1" t="s">
        <v>592</v>
      </c>
      <c r="BW368" s="1" t="s">
        <v>82</v>
      </c>
      <c r="BX368" s="1" t="s">
        <v>82</v>
      </c>
      <c r="BY368" s="1" t="s">
        <v>108</v>
      </c>
      <c r="BZ368" s="1" t="s">
        <v>7198</v>
      </c>
      <c r="CA368" s="1" t="str">
        <f>HYPERLINK("https%3A%2F%2Fwww.webofscience.com%2Fwos%2Fwoscc%2Ffull-record%2FWOS:000747289000001","View Full Record in Web of Science")</f>
        <v>View Full Record in Web of Science</v>
      </c>
    </row>
    <row r="369" s="1" customFormat="1" ht="14.4" spans="1:79">
      <c r="A369">
        <v>368</v>
      </c>
      <c r="B369" s="2" t="s">
        <v>110</v>
      </c>
      <c r="C369" s="1" t="s">
        <v>80</v>
      </c>
      <c r="D369" s="1" t="s">
        <v>7199</v>
      </c>
      <c r="E369" s="1" t="s">
        <v>82</v>
      </c>
      <c r="F369" s="1" t="s">
        <v>82</v>
      </c>
      <c r="G369" s="1" t="s">
        <v>82</v>
      </c>
      <c r="H369" s="1" t="s">
        <v>7200</v>
      </c>
      <c r="I369" s="1" t="s">
        <v>82</v>
      </c>
      <c r="J369" s="1" t="s">
        <v>82</v>
      </c>
      <c r="K369" s="1" t="s">
        <v>7201</v>
      </c>
      <c r="L369" s="1" t="s">
        <v>7202</v>
      </c>
      <c r="M369" s="1">
        <v>4.631</v>
      </c>
      <c r="O369" s="1" t="s">
        <v>82</v>
      </c>
      <c r="P369" s="1" t="s">
        <v>82</v>
      </c>
      <c r="Q369" s="1" t="s">
        <v>87</v>
      </c>
      <c r="R369" s="1" t="s">
        <v>115</v>
      </c>
      <c r="S369" s="1" t="s">
        <v>82</v>
      </c>
      <c r="T369" s="1" t="s">
        <v>82</v>
      </c>
      <c r="U369" s="1" t="s">
        <v>82</v>
      </c>
      <c r="V369" s="1" t="s">
        <v>82</v>
      </c>
      <c r="W369" s="1" t="s">
        <v>82</v>
      </c>
      <c r="X369" s="1" t="s">
        <v>7203</v>
      </c>
      <c r="Y369" s="1" t="s">
        <v>7204</v>
      </c>
      <c r="Z369" s="1" t="s">
        <v>7205</v>
      </c>
      <c r="AB369" s="1" t="s">
        <v>7206</v>
      </c>
      <c r="AC369" s="1" t="s">
        <v>7207</v>
      </c>
      <c r="AD369" s="1" t="s">
        <v>120</v>
      </c>
      <c r="AE369" s="1" t="s">
        <v>4436</v>
      </c>
      <c r="AF369" s="1" t="s">
        <v>7208</v>
      </c>
      <c r="AG369" s="1" t="s">
        <v>7209</v>
      </c>
      <c r="AH369" s="1" t="s">
        <v>4505</v>
      </c>
      <c r="AI369" s="1" t="s">
        <v>7210</v>
      </c>
      <c r="AJ369" s="1" t="s">
        <v>7211</v>
      </c>
      <c r="AK369" s="1" t="s">
        <v>7212</v>
      </c>
      <c r="AL369" s="1" t="s">
        <v>7213</v>
      </c>
      <c r="AM369" s="1" t="s">
        <v>82</v>
      </c>
      <c r="AN369" s="1">
        <v>63</v>
      </c>
      <c r="AO369" s="1">
        <v>4</v>
      </c>
      <c r="AP369" s="1">
        <v>4</v>
      </c>
      <c r="AQ369" s="1">
        <v>4</v>
      </c>
      <c r="AR369" s="1">
        <v>32</v>
      </c>
      <c r="AS369" s="1" t="s">
        <v>7214</v>
      </c>
      <c r="AT369" s="1" t="s">
        <v>7215</v>
      </c>
      <c r="AU369" s="1" t="s">
        <v>7216</v>
      </c>
      <c r="AV369" s="1" t="s">
        <v>82</v>
      </c>
      <c r="AW369" s="1" t="s">
        <v>7217</v>
      </c>
      <c r="AX369" s="1" t="s">
        <v>82</v>
      </c>
      <c r="AY369" s="1" t="s">
        <v>7218</v>
      </c>
      <c r="AZ369" s="1" t="s">
        <v>7219</v>
      </c>
      <c r="BA369" s="1" t="s">
        <v>82</v>
      </c>
      <c r="BB369" s="1">
        <v>2022</v>
      </c>
      <c r="BC369" s="1">
        <v>15</v>
      </c>
      <c r="BD369" s="1" t="s">
        <v>82</v>
      </c>
      <c r="BE369" s="1" t="s">
        <v>82</v>
      </c>
      <c r="BF369" s="1" t="s">
        <v>82</v>
      </c>
      <c r="BG369" s="1" t="s">
        <v>82</v>
      </c>
      <c r="BH369" s="1" t="s">
        <v>82</v>
      </c>
      <c r="BI369" s="1">
        <v>851</v>
      </c>
      <c r="BJ369" s="1">
        <v>864</v>
      </c>
      <c r="BK369" s="1" t="s">
        <v>82</v>
      </c>
      <c r="BL369" s="1" t="s">
        <v>7220</v>
      </c>
      <c r="BM369" s="1" t="str">
        <f>HYPERLINK("http://dx.doi.org/10.2147/JIR.S349981","http://dx.doi.org/10.2147/JIR.S349981")</f>
        <v>http://dx.doi.org/10.2147/JIR.S349981</v>
      </c>
      <c r="BN369" s="1" t="s">
        <v>82</v>
      </c>
      <c r="BO369" s="1" t="s">
        <v>82</v>
      </c>
      <c r="BP369" s="1">
        <v>14</v>
      </c>
      <c r="BQ369" s="1" t="s">
        <v>7221</v>
      </c>
      <c r="BR369" s="1" t="s">
        <v>104</v>
      </c>
      <c r="BS369" s="1" t="s">
        <v>7221</v>
      </c>
      <c r="BT369" s="1" t="s">
        <v>7222</v>
      </c>
      <c r="BU369" s="1">
        <v>35177920</v>
      </c>
      <c r="BV369" s="1" t="s">
        <v>592</v>
      </c>
      <c r="BW369" s="1" t="s">
        <v>82</v>
      </c>
      <c r="BX369" s="1" t="s">
        <v>82</v>
      </c>
      <c r="BY369" s="1" t="s">
        <v>108</v>
      </c>
      <c r="BZ369" s="1" t="s">
        <v>7223</v>
      </c>
      <c r="CA369" s="1" t="str">
        <f>HYPERLINK("https%3A%2F%2Fwww.webofscience.com%2Fwos%2Fwoscc%2Ffull-record%2FWOS:000754259600002","View Full Record in Web of Science")</f>
        <v>View Full Record in Web of Science</v>
      </c>
    </row>
    <row r="370" s="1" customFormat="1" ht="14.4" spans="1:79">
      <c r="A370">
        <v>369</v>
      </c>
      <c r="B370" s="2" t="s">
        <v>79</v>
      </c>
      <c r="C370" s="1" t="s">
        <v>80</v>
      </c>
      <c r="D370" s="1" t="s">
        <v>7224</v>
      </c>
      <c r="E370" s="1" t="s">
        <v>82</v>
      </c>
      <c r="F370" s="1" t="s">
        <v>82</v>
      </c>
      <c r="G370" s="1" t="s">
        <v>82</v>
      </c>
      <c r="H370" s="1" t="s">
        <v>7225</v>
      </c>
      <c r="I370" s="1" t="s">
        <v>82</v>
      </c>
      <c r="J370" s="1" t="s">
        <v>82</v>
      </c>
      <c r="K370" s="1" t="s">
        <v>7226</v>
      </c>
      <c r="L370" s="1" t="s">
        <v>7227</v>
      </c>
      <c r="M370" s="1">
        <v>4.614</v>
      </c>
      <c r="O370" s="1" t="s">
        <v>82</v>
      </c>
      <c r="P370" s="1" t="s">
        <v>82</v>
      </c>
      <c r="Q370" s="1" t="s">
        <v>87</v>
      </c>
      <c r="R370" s="1" t="s">
        <v>88</v>
      </c>
      <c r="S370" s="1" t="s">
        <v>82</v>
      </c>
      <c r="T370" s="1" t="s">
        <v>82</v>
      </c>
      <c r="U370" s="1" t="s">
        <v>82</v>
      </c>
      <c r="V370" s="1" t="s">
        <v>82</v>
      </c>
      <c r="W370" s="1" t="s">
        <v>82</v>
      </c>
      <c r="X370" s="1" t="s">
        <v>7228</v>
      </c>
      <c r="Y370" s="1" t="s">
        <v>82</v>
      </c>
      <c r="Z370" s="1" t="s">
        <v>82</v>
      </c>
      <c r="AB370" s="1" t="s">
        <v>7229</v>
      </c>
      <c r="AC370" s="1" t="s">
        <v>7230</v>
      </c>
      <c r="AD370" s="1" t="s">
        <v>120</v>
      </c>
      <c r="AE370" s="1" t="s">
        <v>7231</v>
      </c>
      <c r="AF370" s="1" t="s">
        <v>7232</v>
      </c>
      <c r="AG370" s="1" t="s">
        <v>7233</v>
      </c>
      <c r="AH370" s="1" t="s">
        <v>82</v>
      </c>
      <c r="AI370" s="1" t="s">
        <v>7234</v>
      </c>
      <c r="AJ370" s="1" t="s">
        <v>7235</v>
      </c>
      <c r="AK370" s="1" t="s">
        <v>442</v>
      </c>
      <c r="AL370" s="1" t="s">
        <v>7236</v>
      </c>
      <c r="AM370" s="1" t="s">
        <v>82</v>
      </c>
      <c r="AN370" s="1">
        <v>7</v>
      </c>
      <c r="AO370" s="1">
        <v>0</v>
      </c>
      <c r="AP370" s="1">
        <v>0</v>
      </c>
      <c r="AQ370" s="1">
        <v>2</v>
      </c>
      <c r="AR370" s="1">
        <v>5</v>
      </c>
      <c r="AS370" s="1" t="s">
        <v>7237</v>
      </c>
      <c r="AT370" s="1" t="s">
        <v>7238</v>
      </c>
      <c r="AU370" s="1" t="s">
        <v>7239</v>
      </c>
      <c r="AV370" s="1" t="s">
        <v>7240</v>
      </c>
      <c r="AW370" s="1" t="s">
        <v>7241</v>
      </c>
      <c r="AX370" s="1" t="s">
        <v>82</v>
      </c>
      <c r="AY370" s="1" t="s">
        <v>7242</v>
      </c>
      <c r="AZ370" s="1" t="s">
        <v>7243</v>
      </c>
      <c r="BA370" s="1" t="s">
        <v>7244</v>
      </c>
      <c r="BB370" s="1">
        <v>2022</v>
      </c>
      <c r="BC370" s="1">
        <v>106</v>
      </c>
      <c r="BD370" s="1">
        <v>3</v>
      </c>
      <c r="BE370" s="1" t="s">
        <v>82</v>
      </c>
      <c r="BF370" s="1" t="s">
        <v>82</v>
      </c>
      <c r="BG370" s="1" t="s">
        <v>82</v>
      </c>
      <c r="BH370" s="1" t="s">
        <v>82</v>
      </c>
      <c r="BI370" s="1">
        <v>1077</v>
      </c>
      <c r="BJ370" s="1">
        <v>1077</v>
      </c>
      <c r="BK370" s="1" t="s">
        <v>82</v>
      </c>
      <c r="BL370" s="1" t="s">
        <v>7245</v>
      </c>
      <c r="BM370" s="1" t="str">
        <f>HYPERLINK("http://dx.doi.org/10.1094/PDIS-02-21-0341-PDN","http://dx.doi.org/10.1094/PDIS-02-21-0341-PDN")</f>
        <v>http://dx.doi.org/10.1094/PDIS-02-21-0341-PDN</v>
      </c>
      <c r="BN370" s="1" t="s">
        <v>82</v>
      </c>
      <c r="BO370" s="1" t="s">
        <v>82</v>
      </c>
      <c r="BP370" s="1">
        <v>1</v>
      </c>
      <c r="BQ370" s="1" t="s">
        <v>378</v>
      </c>
      <c r="BR370" s="1" t="s">
        <v>104</v>
      </c>
      <c r="BS370" s="1" t="s">
        <v>378</v>
      </c>
      <c r="BT370" s="1" t="s">
        <v>7246</v>
      </c>
      <c r="BU370" s="1">
        <v>34494870</v>
      </c>
      <c r="BV370" s="1" t="s">
        <v>268</v>
      </c>
      <c r="BW370" s="1" t="s">
        <v>82</v>
      </c>
      <c r="BX370" s="1" t="s">
        <v>82</v>
      </c>
      <c r="BY370" s="1" t="s">
        <v>108</v>
      </c>
      <c r="BZ370" s="1" t="s">
        <v>7247</v>
      </c>
      <c r="CA370" s="1" t="str">
        <f>HYPERLINK("https%3A%2F%2Fwww.webofscience.com%2Fwos%2Fwoscc%2Ffull-record%2FWOS:000823088100078","View Full Record in Web of Science")</f>
        <v>View Full Record in Web of Science</v>
      </c>
    </row>
    <row r="371" s="1" customFormat="1" ht="14.4" spans="1:79">
      <c r="A371">
        <v>370</v>
      </c>
      <c r="B371" s="2" t="s">
        <v>79</v>
      </c>
      <c r="C371" s="1" t="s">
        <v>80</v>
      </c>
      <c r="D371" s="1" t="s">
        <v>7248</v>
      </c>
      <c r="E371" s="1" t="s">
        <v>82</v>
      </c>
      <c r="F371" s="1" t="s">
        <v>82</v>
      </c>
      <c r="G371" s="1" t="s">
        <v>82</v>
      </c>
      <c r="H371" s="1" t="s">
        <v>7249</v>
      </c>
      <c r="I371" s="1" t="s">
        <v>82</v>
      </c>
      <c r="J371" s="1" t="s">
        <v>82</v>
      </c>
      <c r="K371" s="1" t="s">
        <v>7250</v>
      </c>
      <c r="L371" s="1" t="s">
        <v>7251</v>
      </c>
      <c r="M371" s="1">
        <v>4.547</v>
      </c>
      <c r="O371" s="1" t="s">
        <v>82</v>
      </c>
      <c r="P371" s="1" t="s">
        <v>82</v>
      </c>
      <c r="Q371" s="1" t="s">
        <v>87</v>
      </c>
      <c r="R371" s="1" t="s">
        <v>115</v>
      </c>
      <c r="S371" s="1" t="s">
        <v>82</v>
      </c>
      <c r="T371" s="1" t="s">
        <v>82</v>
      </c>
      <c r="U371" s="1" t="s">
        <v>82</v>
      </c>
      <c r="V371" s="1" t="s">
        <v>82</v>
      </c>
      <c r="W371" s="1" t="s">
        <v>82</v>
      </c>
      <c r="X371" s="1" t="s">
        <v>7252</v>
      </c>
      <c r="Y371" s="1" t="s">
        <v>7253</v>
      </c>
      <c r="Z371" s="1" t="s">
        <v>7254</v>
      </c>
      <c r="AB371" s="1" t="s">
        <v>7255</v>
      </c>
      <c r="AC371" s="1" t="s">
        <v>7256</v>
      </c>
      <c r="AD371" s="1" t="s">
        <v>120</v>
      </c>
      <c r="AE371" s="1" t="s">
        <v>7257</v>
      </c>
      <c r="AF371" s="1" t="s">
        <v>7258</v>
      </c>
      <c r="AG371" s="1" t="s">
        <v>7259</v>
      </c>
      <c r="AH371" s="1" t="s">
        <v>82</v>
      </c>
      <c r="AI371" s="1" t="s">
        <v>82</v>
      </c>
      <c r="AJ371" s="1" t="s">
        <v>7260</v>
      </c>
      <c r="AK371" s="1" t="s">
        <v>442</v>
      </c>
      <c r="AL371" s="1" t="s">
        <v>7261</v>
      </c>
      <c r="AM371" s="1" t="s">
        <v>82</v>
      </c>
      <c r="AN371" s="1">
        <v>57</v>
      </c>
      <c r="AO371" s="1">
        <v>1</v>
      </c>
      <c r="AP371" s="1">
        <v>1</v>
      </c>
      <c r="AQ371" s="1">
        <v>18</v>
      </c>
      <c r="AR371" s="1">
        <v>18</v>
      </c>
      <c r="AS371" s="1" t="s">
        <v>563</v>
      </c>
      <c r="AT371" s="1" t="s">
        <v>371</v>
      </c>
      <c r="AU371" s="1" t="s">
        <v>564</v>
      </c>
      <c r="AV371" s="1" t="s">
        <v>7262</v>
      </c>
      <c r="AW371" s="1" t="s">
        <v>82</v>
      </c>
      <c r="AX371" s="1" t="s">
        <v>82</v>
      </c>
      <c r="AY371" s="1" t="s">
        <v>7251</v>
      </c>
      <c r="AZ371" s="1" t="s">
        <v>7263</v>
      </c>
      <c r="BA371" s="1" t="s">
        <v>3225</v>
      </c>
      <c r="BB371" s="1">
        <v>2022</v>
      </c>
      <c r="BC371" s="1">
        <v>23</v>
      </c>
      <c r="BD371" s="1">
        <v>1</v>
      </c>
      <c r="BE371" s="1" t="s">
        <v>82</v>
      </c>
      <c r="BF371" s="1" t="s">
        <v>82</v>
      </c>
      <c r="BG371" s="1" t="s">
        <v>82</v>
      </c>
      <c r="BH371" s="1" t="s">
        <v>82</v>
      </c>
      <c r="BI371" s="1" t="s">
        <v>82</v>
      </c>
      <c r="BJ371" s="1" t="s">
        <v>82</v>
      </c>
      <c r="BK371" s="1">
        <v>639</v>
      </c>
      <c r="BL371" s="1" t="s">
        <v>7264</v>
      </c>
      <c r="BM371" s="1" t="str">
        <f>HYPERLINK("http://dx.doi.org/10.1186/s12864-022-08872-3","http://dx.doi.org/10.1186/s12864-022-08872-3")</f>
        <v>http://dx.doi.org/10.1186/s12864-022-08872-3</v>
      </c>
      <c r="BN371" s="1" t="s">
        <v>82</v>
      </c>
      <c r="BO371" s="1" t="s">
        <v>82</v>
      </c>
      <c r="BP371" s="1">
        <v>13</v>
      </c>
      <c r="BQ371" s="1" t="s">
        <v>570</v>
      </c>
      <c r="BR371" s="1" t="s">
        <v>104</v>
      </c>
      <c r="BS371" s="1" t="s">
        <v>570</v>
      </c>
      <c r="BT371" s="1" t="s">
        <v>7265</v>
      </c>
      <c r="BU371" s="1">
        <v>36076168</v>
      </c>
      <c r="BV371" s="1" t="s">
        <v>592</v>
      </c>
      <c r="BW371" s="1" t="s">
        <v>82</v>
      </c>
      <c r="BX371" s="1" t="s">
        <v>82</v>
      </c>
      <c r="BY371" s="1" t="s">
        <v>108</v>
      </c>
      <c r="BZ371" s="1" t="s">
        <v>7266</v>
      </c>
      <c r="CA371" s="1" t="str">
        <f>HYPERLINK("https%3A%2F%2Fwww.webofscience.com%2Fwos%2Fwoscc%2Ffull-record%2FWOS:000852409900007","View Full Record in Web of Science")</f>
        <v>View Full Record in Web of Science</v>
      </c>
    </row>
    <row r="372" s="1" customFormat="1" ht="14.4" spans="1:79">
      <c r="A372">
        <v>371</v>
      </c>
      <c r="B372" s="2" t="s">
        <v>79</v>
      </c>
      <c r="C372" s="1" t="s">
        <v>80</v>
      </c>
      <c r="D372" s="1" t="s">
        <v>7267</v>
      </c>
      <c r="E372" s="1" t="s">
        <v>82</v>
      </c>
      <c r="F372" s="1" t="s">
        <v>82</v>
      </c>
      <c r="G372" s="1" t="s">
        <v>82</v>
      </c>
      <c r="H372" s="1" t="s">
        <v>7268</v>
      </c>
      <c r="I372" s="1" t="s">
        <v>82</v>
      </c>
      <c r="J372" s="1" t="s">
        <v>82</v>
      </c>
      <c r="K372" s="1" t="s">
        <v>7269</v>
      </c>
      <c r="L372" s="1" t="s">
        <v>7251</v>
      </c>
      <c r="M372" s="1">
        <v>4.547</v>
      </c>
      <c r="O372" s="1" t="s">
        <v>82</v>
      </c>
      <c r="P372" s="1" t="s">
        <v>82</v>
      </c>
      <c r="Q372" s="1" t="s">
        <v>87</v>
      </c>
      <c r="R372" s="1" t="s">
        <v>115</v>
      </c>
      <c r="S372" s="1" t="s">
        <v>82</v>
      </c>
      <c r="T372" s="1" t="s">
        <v>82</v>
      </c>
      <c r="U372" s="1" t="s">
        <v>82</v>
      </c>
      <c r="V372" s="1" t="s">
        <v>82</v>
      </c>
      <c r="W372" s="1" t="s">
        <v>82</v>
      </c>
      <c r="X372" s="1" t="s">
        <v>7270</v>
      </c>
      <c r="Y372" s="1" t="s">
        <v>7271</v>
      </c>
      <c r="Z372" s="1" t="s">
        <v>7272</v>
      </c>
      <c r="AB372" s="1" t="s">
        <v>7273</v>
      </c>
      <c r="AC372" s="1" t="s">
        <v>7274</v>
      </c>
      <c r="AD372" s="1" t="s">
        <v>120</v>
      </c>
      <c r="AE372" s="1" t="s">
        <v>7275</v>
      </c>
      <c r="AF372" s="1" t="s">
        <v>7276</v>
      </c>
      <c r="AG372" s="1" t="s">
        <v>7277</v>
      </c>
      <c r="AH372" s="1" t="s">
        <v>82</v>
      </c>
      <c r="AI372" s="1" t="s">
        <v>82</v>
      </c>
      <c r="AJ372" s="1" t="s">
        <v>7278</v>
      </c>
      <c r="AK372" s="1" t="s">
        <v>7279</v>
      </c>
      <c r="AL372" s="1" t="s">
        <v>7280</v>
      </c>
      <c r="AM372" s="1" t="s">
        <v>82</v>
      </c>
      <c r="AN372" s="1">
        <v>49</v>
      </c>
      <c r="AO372" s="1">
        <v>0</v>
      </c>
      <c r="AP372" s="1">
        <v>0</v>
      </c>
      <c r="AQ372" s="1">
        <v>15</v>
      </c>
      <c r="AR372" s="1">
        <v>15</v>
      </c>
      <c r="AS372" s="1" t="s">
        <v>563</v>
      </c>
      <c r="AT372" s="1" t="s">
        <v>371</v>
      </c>
      <c r="AU372" s="1" t="s">
        <v>564</v>
      </c>
      <c r="AV372" s="1" t="s">
        <v>7262</v>
      </c>
      <c r="AW372" s="1" t="s">
        <v>82</v>
      </c>
      <c r="AX372" s="1" t="s">
        <v>82</v>
      </c>
      <c r="AY372" s="1" t="s">
        <v>7251</v>
      </c>
      <c r="AZ372" s="1" t="s">
        <v>7263</v>
      </c>
      <c r="BA372" s="1" t="s">
        <v>7281</v>
      </c>
      <c r="BB372" s="1">
        <v>2022</v>
      </c>
      <c r="BC372" s="1">
        <v>23</v>
      </c>
      <c r="BD372" s="1">
        <v>1</v>
      </c>
      <c r="BE372" s="1" t="s">
        <v>82</v>
      </c>
      <c r="BF372" s="1" t="s">
        <v>82</v>
      </c>
      <c r="BG372" s="1" t="s">
        <v>82</v>
      </c>
      <c r="BH372" s="1" t="s">
        <v>82</v>
      </c>
      <c r="BI372" s="1" t="s">
        <v>82</v>
      </c>
      <c r="BJ372" s="1" t="s">
        <v>82</v>
      </c>
      <c r="BK372" s="1">
        <v>577</v>
      </c>
      <c r="BL372" s="1" t="s">
        <v>7282</v>
      </c>
      <c r="BM372" s="1" t="str">
        <f>HYPERLINK("http://dx.doi.org/10.1186/s12864-022-08834-9","http://dx.doi.org/10.1186/s12864-022-08834-9")</f>
        <v>http://dx.doi.org/10.1186/s12864-022-08834-9</v>
      </c>
      <c r="BN372" s="1" t="s">
        <v>82</v>
      </c>
      <c r="BO372" s="1" t="s">
        <v>82</v>
      </c>
      <c r="BP372" s="1">
        <v>11</v>
      </c>
      <c r="BQ372" s="1" t="s">
        <v>570</v>
      </c>
      <c r="BR372" s="1" t="s">
        <v>104</v>
      </c>
      <c r="BS372" s="1" t="s">
        <v>570</v>
      </c>
      <c r="BT372" s="1" t="s">
        <v>7283</v>
      </c>
      <c r="BU372" s="1">
        <v>35953771</v>
      </c>
      <c r="BV372" s="1" t="s">
        <v>592</v>
      </c>
      <c r="BW372" s="1" t="s">
        <v>82</v>
      </c>
      <c r="BX372" s="1" t="s">
        <v>82</v>
      </c>
      <c r="BY372" s="1" t="s">
        <v>108</v>
      </c>
      <c r="BZ372" s="1" t="s">
        <v>7284</v>
      </c>
      <c r="CA372" s="1" t="str">
        <f>HYPERLINK("https%3A%2F%2Fwww.webofscience.com%2Fwos%2Fwoscc%2Ffull-record%2FWOS:000839894000001","View Full Record in Web of Science")</f>
        <v>View Full Record in Web of Science</v>
      </c>
    </row>
    <row r="373" s="1" customFormat="1" ht="14.4" spans="1:79">
      <c r="A373">
        <v>372</v>
      </c>
      <c r="B373" s="2" t="s">
        <v>79</v>
      </c>
      <c r="C373" s="1" t="s">
        <v>80</v>
      </c>
      <c r="D373" s="1" t="s">
        <v>7285</v>
      </c>
      <c r="E373" s="1" t="s">
        <v>82</v>
      </c>
      <c r="F373" s="1" t="s">
        <v>82</v>
      </c>
      <c r="G373" s="1" t="s">
        <v>82</v>
      </c>
      <c r="H373" s="1" t="s">
        <v>7286</v>
      </c>
      <c r="I373" s="1" t="s">
        <v>82</v>
      </c>
      <c r="J373" s="1" t="s">
        <v>82</v>
      </c>
      <c r="K373" s="1" t="s">
        <v>7287</v>
      </c>
      <c r="L373" s="1" t="s">
        <v>7288</v>
      </c>
      <c r="M373" s="1">
        <v>4.54</v>
      </c>
      <c r="O373" s="1" t="s">
        <v>82</v>
      </c>
      <c r="P373" s="1" t="s">
        <v>82</v>
      </c>
      <c r="Q373" s="1" t="s">
        <v>87</v>
      </c>
      <c r="R373" s="1" t="s">
        <v>115</v>
      </c>
      <c r="S373" s="1" t="s">
        <v>82</v>
      </c>
      <c r="T373" s="1" t="s">
        <v>82</v>
      </c>
      <c r="U373" s="1" t="s">
        <v>82</v>
      </c>
      <c r="V373" s="1" t="s">
        <v>82</v>
      </c>
      <c r="W373" s="1" t="s">
        <v>82</v>
      </c>
      <c r="X373" s="1" t="s">
        <v>7289</v>
      </c>
      <c r="Y373" s="1" t="s">
        <v>7290</v>
      </c>
      <c r="Z373" s="1" t="s">
        <v>7291</v>
      </c>
      <c r="AA373" s="1">
        <v>1</v>
      </c>
      <c r="AB373" s="1" t="s">
        <v>7292</v>
      </c>
      <c r="AC373" s="1" t="s">
        <v>7293</v>
      </c>
      <c r="AD373" s="1" t="s">
        <v>93</v>
      </c>
      <c r="AE373" s="1" t="s">
        <v>1630</v>
      </c>
      <c r="AF373" s="1" t="s">
        <v>7294</v>
      </c>
      <c r="AG373" s="1" t="s">
        <v>7295</v>
      </c>
      <c r="AH373" s="1" t="s">
        <v>2307</v>
      </c>
      <c r="AI373" s="1" t="s">
        <v>3486</v>
      </c>
      <c r="AJ373" s="1" t="s">
        <v>7296</v>
      </c>
      <c r="AK373" s="1" t="s">
        <v>7297</v>
      </c>
      <c r="AL373" s="1" t="s">
        <v>7298</v>
      </c>
      <c r="AM373" s="1" t="s">
        <v>82</v>
      </c>
      <c r="AN373" s="1">
        <v>79</v>
      </c>
      <c r="AO373" s="1">
        <v>0</v>
      </c>
      <c r="AP373" s="1">
        <v>0</v>
      </c>
      <c r="AQ373" s="1">
        <v>12</v>
      </c>
      <c r="AR373" s="1">
        <v>12</v>
      </c>
      <c r="AS373" s="1" t="s">
        <v>215</v>
      </c>
      <c r="AT373" s="1" t="s">
        <v>216</v>
      </c>
      <c r="AU373" s="1" t="s">
        <v>217</v>
      </c>
      <c r="AV373" s="1" t="s">
        <v>7299</v>
      </c>
      <c r="AW373" s="1" t="s">
        <v>7300</v>
      </c>
      <c r="AX373" s="1" t="s">
        <v>82</v>
      </c>
      <c r="AY373" s="1" t="s">
        <v>7288</v>
      </c>
      <c r="AZ373" s="1" t="s">
        <v>7301</v>
      </c>
      <c r="BA373" s="1" t="s">
        <v>222</v>
      </c>
      <c r="BB373" s="1">
        <v>2022</v>
      </c>
      <c r="BC373" s="1">
        <v>256</v>
      </c>
      <c r="BD373" s="1">
        <v>3</v>
      </c>
      <c r="BE373" s="1" t="s">
        <v>82</v>
      </c>
      <c r="BF373" s="1" t="s">
        <v>82</v>
      </c>
      <c r="BG373" s="1" t="s">
        <v>82</v>
      </c>
      <c r="BH373" s="1" t="s">
        <v>82</v>
      </c>
      <c r="BI373" s="1" t="s">
        <v>82</v>
      </c>
      <c r="BJ373" s="1" t="s">
        <v>82</v>
      </c>
      <c r="BK373" s="1">
        <v>53</v>
      </c>
      <c r="BL373" s="1" t="s">
        <v>7302</v>
      </c>
      <c r="BM373" s="1" t="str">
        <f>HYPERLINK("http://dx.doi.org/10.1007/s00425-022-03962-8","http://dx.doi.org/10.1007/s00425-022-03962-8")</f>
        <v>http://dx.doi.org/10.1007/s00425-022-03962-8</v>
      </c>
      <c r="BN373" s="1" t="s">
        <v>82</v>
      </c>
      <c r="BO373" s="1" t="s">
        <v>82</v>
      </c>
      <c r="BP373" s="1">
        <v>17</v>
      </c>
      <c r="BQ373" s="1" t="s">
        <v>378</v>
      </c>
      <c r="BR373" s="1" t="s">
        <v>104</v>
      </c>
      <c r="BS373" s="1" t="s">
        <v>378</v>
      </c>
      <c r="BT373" s="1" t="s">
        <v>7303</v>
      </c>
      <c r="BU373" s="1">
        <v>35913571</v>
      </c>
      <c r="BV373" s="1" t="s">
        <v>82</v>
      </c>
      <c r="BW373" s="1" t="s">
        <v>82</v>
      </c>
      <c r="BX373" s="1" t="s">
        <v>82</v>
      </c>
      <c r="BY373" s="1" t="s">
        <v>108</v>
      </c>
      <c r="BZ373" s="1" t="s">
        <v>7304</v>
      </c>
      <c r="CA373" s="1" t="str">
        <f>HYPERLINK("https%3A%2F%2Fwww.webofscience.com%2Fwos%2Fwoscc%2Ffull-record%2FWOS:000834822500001","View Full Record in Web of Science")</f>
        <v>View Full Record in Web of Science</v>
      </c>
    </row>
    <row r="374" s="1" customFormat="1" ht="14.4" spans="1:79">
      <c r="A374">
        <v>373</v>
      </c>
      <c r="B374" s="2" t="s">
        <v>79</v>
      </c>
      <c r="C374" s="1" t="s">
        <v>80</v>
      </c>
      <c r="D374" s="1" t="s">
        <v>7305</v>
      </c>
      <c r="E374" s="1" t="s">
        <v>82</v>
      </c>
      <c r="F374" s="1" t="s">
        <v>82</v>
      </c>
      <c r="G374" s="1" t="s">
        <v>82</v>
      </c>
      <c r="H374" s="1" t="s">
        <v>7306</v>
      </c>
      <c r="I374" s="1" t="s">
        <v>82</v>
      </c>
      <c r="J374" s="1" t="s">
        <v>82</v>
      </c>
      <c r="K374" s="1" t="s">
        <v>7307</v>
      </c>
      <c r="L374" s="1" t="s">
        <v>7288</v>
      </c>
      <c r="M374" s="1">
        <v>4.54</v>
      </c>
      <c r="O374" s="1" t="s">
        <v>82</v>
      </c>
      <c r="P374" s="1" t="s">
        <v>82</v>
      </c>
      <c r="Q374" s="1" t="s">
        <v>87</v>
      </c>
      <c r="R374" s="1" t="s">
        <v>115</v>
      </c>
      <c r="S374" s="1" t="s">
        <v>82</v>
      </c>
      <c r="T374" s="1" t="s">
        <v>82</v>
      </c>
      <c r="U374" s="1" t="s">
        <v>82</v>
      </c>
      <c r="V374" s="1" t="s">
        <v>82</v>
      </c>
      <c r="W374" s="1" t="s">
        <v>82</v>
      </c>
      <c r="X374" s="1" t="s">
        <v>7308</v>
      </c>
      <c r="Y374" s="1" t="s">
        <v>7309</v>
      </c>
      <c r="Z374" s="1" t="s">
        <v>7310</v>
      </c>
      <c r="AB374" s="1" t="s">
        <v>7311</v>
      </c>
      <c r="AC374" s="1" t="s">
        <v>7312</v>
      </c>
      <c r="AD374" s="1" t="s">
        <v>120</v>
      </c>
      <c r="AE374" s="1" t="s">
        <v>7313</v>
      </c>
      <c r="AF374" s="1" t="s">
        <v>7314</v>
      </c>
      <c r="AG374" s="1" t="s">
        <v>7315</v>
      </c>
      <c r="AH374" s="1" t="s">
        <v>82</v>
      </c>
      <c r="AI374" s="1" t="s">
        <v>7316</v>
      </c>
      <c r="AJ374" s="1" t="s">
        <v>7317</v>
      </c>
      <c r="AK374" s="1" t="s">
        <v>7318</v>
      </c>
      <c r="AL374" s="1" t="s">
        <v>7319</v>
      </c>
      <c r="AM374" s="1" t="s">
        <v>82</v>
      </c>
      <c r="AN374" s="1">
        <v>66</v>
      </c>
      <c r="AO374" s="1">
        <v>0</v>
      </c>
      <c r="AP374" s="1">
        <v>0</v>
      </c>
      <c r="AQ374" s="1">
        <v>8</v>
      </c>
      <c r="AR374" s="1">
        <v>11</v>
      </c>
      <c r="AS374" s="1" t="s">
        <v>215</v>
      </c>
      <c r="AT374" s="1" t="s">
        <v>216</v>
      </c>
      <c r="AU374" s="1" t="s">
        <v>217</v>
      </c>
      <c r="AV374" s="1" t="s">
        <v>7299</v>
      </c>
      <c r="AW374" s="1" t="s">
        <v>7300</v>
      </c>
      <c r="AX374" s="1" t="s">
        <v>82</v>
      </c>
      <c r="AY374" s="1" t="s">
        <v>7288</v>
      </c>
      <c r="AZ374" s="1" t="s">
        <v>7301</v>
      </c>
      <c r="BA374" s="1" t="s">
        <v>1403</v>
      </c>
      <c r="BB374" s="1">
        <v>2022</v>
      </c>
      <c r="BC374" s="1">
        <v>256</v>
      </c>
      <c r="BD374" s="1">
        <v>1</v>
      </c>
      <c r="BE374" s="1" t="s">
        <v>82</v>
      </c>
      <c r="BF374" s="1" t="s">
        <v>82</v>
      </c>
      <c r="BG374" s="1" t="s">
        <v>82</v>
      </c>
      <c r="BH374" s="1" t="s">
        <v>82</v>
      </c>
      <c r="BI374" s="1" t="s">
        <v>82</v>
      </c>
      <c r="BJ374" s="1" t="s">
        <v>82</v>
      </c>
      <c r="BK374" s="1">
        <v>16</v>
      </c>
      <c r="BL374" s="1" t="s">
        <v>7320</v>
      </c>
      <c r="BM374" s="1" t="str">
        <f>HYPERLINK("http://dx.doi.org/10.1007/s00425-022-03937-9","http://dx.doi.org/10.1007/s00425-022-03937-9")</f>
        <v>http://dx.doi.org/10.1007/s00425-022-03937-9</v>
      </c>
      <c r="BN374" s="1" t="s">
        <v>82</v>
      </c>
      <c r="BO374" s="1" t="s">
        <v>82</v>
      </c>
      <c r="BP374" s="1">
        <v>15</v>
      </c>
      <c r="BQ374" s="1" t="s">
        <v>378</v>
      </c>
      <c r="BR374" s="1" t="s">
        <v>104</v>
      </c>
      <c r="BS374" s="1" t="s">
        <v>378</v>
      </c>
      <c r="BT374" s="1" t="s">
        <v>7321</v>
      </c>
      <c r="BU374" s="1">
        <v>35737139</v>
      </c>
      <c r="BV374" s="1" t="s">
        <v>82</v>
      </c>
      <c r="BW374" s="1" t="s">
        <v>82</v>
      </c>
      <c r="BX374" s="1" t="s">
        <v>82</v>
      </c>
      <c r="BY374" s="1" t="s">
        <v>108</v>
      </c>
      <c r="BZ374" s="1" t="s">
        <v>7322</v>
      </c>
      <c r="CA374" s="1" t="str">
        <f>HYPERLINK("https%3A%2F%2Fwww.webofscience.com%2Fwos%2Fwoscc%2Ffull-record%2FWOS:000815071200001","View Full Record in Web of Science")</f>
        <v>View Full Record in Web of Science</v>
      </c>
    </row>
    <row r="375" s="1" customFormat="1" ht="14.4" spans="1:79">
      <c r="A375">
        <v>374</v>
      </c>
      <c r="B375" s="2" t="s">
        <v>79</v>
      </c>
      <c r="C375" s="1" t="s">
        <v>80</v>
      </c>
      <c r="D375" s="1" t="s">
        <v>7323</v>
      </c>
      <c r="E375" s="1" t="s">
        <v>82</v>
      </c>
      <c r="F375" s="1" t="s">
        <v>82</v>
      </c>
      <c r="G375" s="1" t="s">
        <v>82</v>
      </c>
      <c r="H375" s="1" t="s">
        <v>7324</v>
      </c>
      <c r="I375" s="1" t="s">
        <v>82</v>
      </c>
      <c r="J375" s="1" t="s">
        <v>82</v>
      </c>
      <c r="K375" s="1" t="s">
        <v>7325</v>
      </c>
      <c r="L375" s="1" t="s">
        <v>7326</v>
      </c>
      <c r="M375" s="1">
        <v>4.531</v>
      </c>
      <c r="O375" s="1" t="s">
        <v>82</v>
      </c>
      <c r="P375" s="1" t="s">
        <v>82</v>
      </c>
      <c r="Q375" s="1" t="s">
        <v>87</v>
      </c>
      <c r="R375" s="1" t="s">
        <v>200</v>
      </c>
      <c r="S375" s="1" t="s">
        <v>82</v>
      </c>
      <c r="T375" s="1" t="s">
        <v>82</v>
      </c>
      <c r="U375" s="1" t="s">
        <v>82</v>
      </c>
      <c r="V375" s="1" t="s">
        <v>82</v>
      </c>
      <c r="W375" s="1" t="s">
        <v>82</v>
      </c>
      <c r="X375" s="1" t="s">
        <v>7327</v>
      </c>
      <c r="Y375" s="1" t="s">
        <v>7328</v>
      </c>
      <c r="Z375" s="1" t="s">
        <v>7329</v>
      </c>
      <c r="AB375" s="1" t="s">
        <v>7330</v>
      </c>
      <c r="AC375" s="1" t="s">
        <v>7331</v>
      </c>
      <c r="AD375" s="1" t="s">
        <v>120</v>
      </c>
      <c r="AE375" s="1" t="s">
        <v>7332</v>
      </c>
      <c r="AF375" s="1" t="s">
        <v>7333</v>
      </c>
      <c r="AG375" s="1" t="s">
        <v>7334</v>
      </c>
      <c r="AH375" s="1" t="s">
        <v>7335</v>
      </c>
      <c r="AI375" s="1" t="s">
        <v>7336</v>
      </c>
      <c r="AJ375" s="1" t="s">
        <v>7337</v>
      </c>
      <c r="AK375" s="1" t="s">
        <v>7338</v>
      </c>
      <c r="AL375" s="1" t="s">
        <v>7339</v>
      </c>
      <c r="AM375" s="1" t="s">
        <v>82</v>
      </c>
      <c r="AN375" s="1">
        <v>137</v>
      </c>
      <c r="AO375" s="1">
        <v>3</v>
      </c>
      <c r="AP375" s="1">
        <v>3</v>
      </c>
      <c r="AQ375" s="1">
        <v>9</v>
      </c>
      <c r="AR375" s="1">
        <v>18</v>
      </c>
      <c r="AS375" s="1" t="s">
        <v>2117</v>
      </c>
      <c r="AT375" s="1" t="s">
        <v>2118</v>
      </c>
      <c r="AU375" s="1" t="s">
        <v>2119</v>
      </c>
      <c r="AV375" s="1" t="s">
        <v>82</v>
      </c>
      <c r="AW375" s="1" t="s">
        <v>7340</v>
      </c>
      <c r="AX375" s="1" t="s">
        <v>82</v>
      </c>
      <c r="AY375" s="1" t="s">
        <v>7326</v>
      </c>
      <c r="AZ375" s="1" t="s">
        <v>7341</v>
      </c>
      <c r="BA375" s="1" t="s">
        <v>657</v>
      </c>
      <c r="BB375" s="1">
        <v>2022</v>
      </c>
      <c r="BC375" s="1">
        <v>11</v>
      </c>
      <c r="BD375" s="1">
        <v>4</v>
      </c>
      <c r="BE375" s="1" t="s">
        <v>82</v>
      </c>
      <c r="BF375" s="1" t="s">
        <v>82</v>
      </c>
      <c r="BG375" s="1" t="s">
        <v>82</v>
      </c>
      <c r="BH375" s="1" t="s">
        <v>82</v>
      </c>
      <c r="BI375" s="1" t="s">
        <v>82</v>
      </c>
      <c r="BJ375" s="1" t="s">
        <v>82</v>
      </c>
      <c r="BK375" s="1">
        <v>411</v>
      </c>
      <c r="BL375" s="1" t="s">
        <v>7342</v>
      </c>
      <c r="BM375" s="1" t="str">
        <f>HYPERLINK("http://dx.doi.org/10.3390/pathogens11040411","http://dx.doi.org/10.3390/pathogens11040411")</f>
        <v>http://dx.doi.org/10.3390/pathogens11040411</v>
      </c>
      <c r="BN375" s="1" t="s">
        <v>82</v>
      </c>
      <c r="BO375" s="1" t="s">
        <v>82</v>
      </c>
      <c r="BP375" s="1">
        <v>17</v>
      </c>
      <c r="BQ375" s="1" t="s">
        <v>1662</v>
      </c>
      <c r="BR375" s="1" t="s">
        <v>104</v>
      </c>
      <c r="BS375" s="1" t="s">
        <v>1662</v>
      </c>
      <c r="BT375" s="1" t="s">
        <v>7343</v>
      </c>
      <c r="BU375" s="1">
        <v>35456086</v>
      </c>
      <c r="BV375" s="1" t="s">
        <v>635</v>
      </c>
      <c r="BW375" s="1" t="s">
        <v>82</v>
      </c>
      <c r="BX375" s="1" t="s">
        <v>82</v>
      </c>
      <c r="BY375" s="1" t="s">
        <v>108</v>
      </c>
      <c r="BZ375" s="1" t="s">
        <v>7344</v>
      </c>
      <c r="CA375" s="1" t="str">
        <f>HYPERLINK("https%3A%2F%2Fwww.webofscience.com%2Fwos%2Fwoscc%2Ffull-record%2FWOS:000786094500001","View Full Record in Web of Science")</f>
        <v>View Full Record in Web of Science</v>
      </c>
    </row>
    <row r="376" s="1" customFormat="1" ht="14.4" spans="1:79">
      <c r="A376">
        <v>375</v>
      </c>
      <c r="B376" s="2" t="s">
        <v>79</v>
      </c>
      <c r="C376" s="1" t="s">
        <v>80</v>
      </c>
      <c r="D376" s="1" t="s">
        <v>7345</v>
      </c>
      <c r="E376" s="1" t="s">
        <v>82</v>
      </c>
      <c r="F376" s="1" t="s">
        <v>82</v>
      </c>
      <c r="G376" s="1" t="s">
        <v>82</v>
      </c>
      <c r="H376" s="1" t="s">
        <v>7346</v>
      </c>
      <c r="I376" s="1" t="s">
        <v>82</v>
      </c>
      <c r="J376" s="1" t="s">
        <v>82</v>
      </c>
      <c r="K376" s="1" t="s">
        <v>7347</v>
      </c>
      <c r="L376" s="1" t="s">
        <v>7348</v>
      </c>
      <c r="M376" s="1">
        <v>4.493</v>
      </c>
      <c r="O376" s="1" t="s">
        <v>82</v>
      </c>
      <c r="P376" s="1" t="s">
        <v>82</v>
      </c>
      <c r="Q376" s="1" t="s">
        <v>87</v>
      </c>
      <c r="R376" s="1" t="s">
        <v>115</v>
      </c>
      <c r="S376" s="1" t="s">
        <v>82</v>
      </c>
      <c r="T376" s="1" t="s">
        <v>82</v>
      </c>
      <c r="U376" s="1" t="s">
        <v>82</v>
      </c>
      <c r="V376" s="1" t="s">
        <v>82</v>
      </c>
      <c r="W376" s="1" t="s">
        <v>82</v>
      </c>
      <c r="X376" s="1" t="s">
        <v>7349</v>
      </c>
      <c r="Y376" s="1" t="s">
        <v>7350</v>
      </c>
      <c r="Z376" s="1" t="s">
        <v>7351</v>
      </c>
      <c r="AA376" s="1">
        <v>1</v>
      </c>
      <c r="AB376" s="1" t="s">
        <v>5160</v>
      </c>
      <c r="AC376" s="1" t="s">
        <v>7352</v>
      </c>
      <c r="AD376" s="1" t="s">
        <v>93</v>
      </c>
      <c r="AE376" s="1" t="s">
        <v>7353</v>
      </c>
      <c r="AF376" s="1" t="s">
        <v>7354</v>
      </c>
      <c r="AG376" s="1" t="s">
        <v>7355</v>
      </c>
      <c r="AH376" s="1" t="s">
        <v>82</v>
      </c>
      <c r="AI376" s="1" t="s">
        <v>82</v>
      </c>
      <c r="AJ376" s="1" t="s">
        <v>82</v>
      </c>
      <c r="AK376" s="1" t="s">
        <v>82</v>
      </c>
      <c r="AL376" s="1" t="s">
        <v>82</v>
      </c>
      <c r="AM376" s="1" t="s">
        <v>82</v>
      </c>
      <c r="AN376" s="1">
        <v>62</v>
      </c>
      <c r="AO376" s="1">
        <v>0</v>
      </c>
      <c r="AP376" s="1">
        <v>0</v>
      </c>
      <c r="AQ376" s="1">
        <v>15</v>
      </c>
      <c r="AR376" s="1">
        <v>15</v>
      </c>
      <c r="AS376" s="1" t="s">
        <v>2958</v>
      </c>
      <c r="AT376" s="1" t="s">
        <v>2959</v>
      </c>
      <c r="AU376" s="1" t="s">
        <v>2960</v>
      </c>
      <c r="AV376" s="1" t="s">
        <v>7356</v>
      </c>
      <c r="AW376" s="1" t="s">
        <v>82</v>
      </c>
      <c r="AX376" s="1" t="s">
        <v>82</v>
      </c>
      <c r="AY376" s="1" t="s">
        <v>7357</v>
      </c>
      <c r="AZ376" s="1" t="s">
        <v>7358</v>
      </c>
      <c r="BA376" s="1" t="s">
        <v>7359</v>
      </c>
      <c r="BB376" s="1">
        <v>2022</v>
      </c>
      <c r="BC376" s="1">
        <v>10</v>
      </c>
      <c r="BD376" s="1" t="s">
        <v>82</v>
      </c>
      <c r="BE376" s="1" t="s">
        <v>82</v>
      </c>
      <c r="BF376" s="1" t="s">
        <v>82</v>
      </c>
      <c r="BG376" s="1" t="s">
        <v>82</v>
      </c>
      <c r="BH376" s="1" t="s">
        <v>82</v>
      </c>
      <c r="BI376" s="1" t="s">
        <v>82</v>
      </c>
      <c r="BJ376" s="1" t="s">
        <v>82</v>
      </c>
      <c r="BK376" s="1">
        <v>967692</v>
      </c>
      <c r="BL376" s="1" t="s">
        <v>7360</v>
      </c>
      <c r="BM376" s="1" t="str">
        <f>HYPERLINK("http://dx.doi.org/10.3389/fevo.2022.967692","http://dx.doi.org/10.3389/fevo.2022.967692")</f>
        <v>http://dx.doi.org/10.3389/fevo.2022.967692</v>
      </c>
      <c r="BN376" s="1" t="s">
        <v>82</v>
      </c>
      <c r="BO376" s="1" t="s">
        <v>82</v>
      </c>
      <c r="BP376" s="1">
        <v>11</v>
      </c>
      <c r="BQ376" s="1" t="s">
        <v>3793</v>
      </c>
      <c r="BR376" s="1" t="s">
        <v>104</v>
      </c>
      <c r="BS376" s="1" t="s">
        <v>545</v>
      </c>
      <c r="BT376" s="1" t="s">
        <v>7361</v>
      </c>
      <c r="BU376" s="1" t="s">
        <v>82</v>
      </c>
      <c r="BV376" s="1" t="s">
        <v>808</v>
      </c>
      <c r="BW376" s="1" t="s">
        <v>82</v>
      </c>
      <c r="BX376" s="1" t="s">
        <v>82</v>
      </c>
      <c r="BY376" s="1" t="s">
        <v>108</v>
      </c>
      <c r="BZ376" s="1" t="s">
        <v>7362</v>
      </c>
      <c r="CA376" s="1" t="str">
        <f>HYPERLINK("https%3A%2F%2Fwww.webofscience.com%2Fwos%2Fwoscc%2Ffull-record%2FWOS:000838638700001","View Full Record in Web of Science")</f>
        <v>View Full Record in Web of Science</v>
      </c>
    </row>
    <row r="377" s="1" customFormat="1" ht="14.4" spans="1:79">
      <c r="A377">
        <v>376</v>
      </c>
      <c r="B377" s="2" t="s">
        <v>79</v>
      </c>
      <c r="C377" s="1" t="s">
        <v>80</v>
      </c>
      <c r="D377" s="1" t="s">
        <v>7363</v>
      </c>
      <c r="E377" s="1" t="s">
        <v>82</v>
      </c>
      <c r="F377" s="1" t="s">
        <v>82</v>
      </c>
      <c r="G377" s="1" t="s">
        <v>82</v>
      </c>
      <c r="H377" s="1" t="s">
        <v>7364</v>
      </c>
      <c r="I377" s="1" t="s">
        <v>82</v>
      </c>
      <c r="J377" s="1" t="s">
        <v>82</v>
      </c>
      <c r="K377" s="1" t="s">
        <v>7365</v>
      </c>
      <c r="L377" s="1" t="s">
        <v>7366</v>
      </c>
      <c r="M377" s="1">
        <v>4.462</v>
      </c>
      <c r="O377" s="1" t="s">
        <v>82</v>
      </c>
      <c r="P377" s="1" t="s">
        <v>82</v>
      </c>
      <c r="Q377" s="1" t="s">
        <v>87</v>
      </c>
      <c r="R377" s="1" t="s">
        <v>1624</v>
      </c>
      <c r="S377" s="1" t="s">
        <v>82</v>
      </c>
      <c r="T377" s="1" t="s">
        <v>82</v>
      </c>
      <c r="U377" s="1" t="s">
        <v>82</v>
      </c>
      <c r="V377" s="1" t="s">
        <v>82</v>
      </c>
      <c r="W377" s="1" t="s">
        <v>82</v>
      </c>
      <c r="X377" s="1" t="s">
        <v>7367</v>
      </c>
      <c r="Y377" s="1" t="s">
        <v>7368</v>
      </c>
      <c r="Z377" s="1" t="s">
        <v>7369</v>
      </c>
      <c r="AA377" s="1">
        <v>1</v>
      </c>
      <c r="AB377" s="1" t="s">
        <v>7370</v>
      </c>
      <c r="AC377" s="1" t="s">
        <v>7371</v>
      </c>
      <c r="AD377" s="1" t="s">
        <v>93</v>
      </c>
      <c r="AE377" s="1" t="s">
        <v>7372</v>
      </c>
      <c r="AF377" s="1" t="s">
        <v>7373</v>
      </c>
      <c r="AG377" s="1" t="s">
        <v>7374</v>
      </c>
      <c r="AH377" s="1" t="s">
        <v>82</v>
      </c>
      <c r="AI377" s="1" t="s">
        <v>82</v>
      </c>
      <c r="AJ377" s="1" t="s">
        <v>7375</v>
      </c>
      <c r="AK377" s="1" t="s">
        <v>7376</v>
      </c>
      <c r="AL377" s="1" t="s">
        <v>7377</v>
      </c>
      <c r="AM377" s="1" t="s">
        <v>82</v>
      </c>
      <c r="AN377" s="1">
        <v>54</v>
      </c>
      <c r="AO377" s="1">
        <v>0</v>
      </c>
      <c r="AP377" s="1">
        <v>0</v>
      </c>
      <c r="AQ377" s="1">
        <v>5</v>
      </c>
      <c r="AR377" s="1">
        <v>5</v>
      </c>
      <c r="AS377" s="1" t="s">
        <v>1846</v>
      </c>
      <c r="AT377" s="1" t="s">
        <v>1847</v>
      </c>
      <c r="AU377" s="1" t="s">
        <v>1848</v>
      </c>
      <c r="AV377" s="1" t="s">
        <v>7378</v>
      </c>
      <c r="AW377" s="1" t="s">
        <v>7379</v>
      </c>
      <c r="AX377" s="1" t="s">
        <v>82</v>
      </c>
      <c r="AY377" s="1" t="s">
        <v>7380</v>
      </c>
      <c r="AZ377" s="1" t="s">
        <v>7381</v>
      </c>
      <c r="BA377" s="1" t="s">
        <v>82</v>
      </c>
      <c r="BB377" s="1" t="s">
        <v>82</v>
      </c>
      <c r="BC377" s="1" t="s">
        <v>82</v>
      </c>
      <c r="BD377" s="1" t="s">
        <v>82</v>
      </c>
      <c r="BE377" s="1" t="s">
        <v>82</v>
      </c>
      <c r="BF377" s="1" t="s">
        <v>82</v>
      </c>
      <c r="BG377" s="1" t="s">
        <v>82</v>
      </c>
      <c r="BH377" s="1" t="s">
        <v>82</v>
      </c>
      <c r="BI377" s="1" t="s">
        <v>82</v>
      </c>
      <c r="BJ377" s="1" t="s">
        <v>82</v>
      </c>
      <c r="BK377" s="1" t="s">
        <v>82</v>
      </c>
      <c r="BL377" s="1" t="s">
        <v>7382</v>
      </c>
      <c r="BM377" s="1" t="str">
        <f>HYPERLINK("http://dx.doi.org/10.1002/ps.7205","http://dx.doi.org/10.1002/ps.7205")</f>
        <v>http://dx.doi.org/10.1002/ps.7205</v>
      </c>
      <c r="BN377" s="1" t="s">
        <v>82</v>
      </c>
      <c r="BO377" s="1" t="s">
        <v>2084</v>
      </c>
      <c r="BP377" s="1">
        <v>11</v>
      </c>
      <c r="BQ377" s="1" t="s">
        <v>7383</v>
      </c>
      <c r="BR377" s="1" t="s">
        <v>104</v>
      </c>
      <c r="BS377" s="1" t="s">
        <v>7384</v>
      </c>
      <c r="BT377" s="1" t="s">
        <v>7385</v>
      </c>
      <c r="BU377" s="1">
        <v>36176057</v>
      </c>
      <c r="BV377" s="1" t="s">
        <v>82</v>
      </c>
      <c r="BW377" s="1" t="s">
        <v>82</v>
      </c>
      <c r="BX377" s="1" t="s">
        <v>82</v>
      </c>
      <c r="BY377" s="1" t="s">
        <v>108</v>
      </c>
      <c r="BZ377" s="1" t="s">
        <v>7386</v>
      </c>
      <c r="CA377" s="1" t="str">
        <f>HYPERLINK("https%3A%2F%2Fwww.webofscience.com%2Fwos%2Fwoscc%2Ffull-record%2FWOS:000866469600001","View Full Record in Web of Science")</f>
        <v>View Full Record in Web of Science</v>
      </c>
    </row>
    <row r="378" s="1" customFormat="1" ht="14.4" spans="1:79">
      <c r="A378">
        <v>377</v>
      </c>
      <c r="B378" s="2" t="s">
        <v>79</v>
      </c>
      <c r="C378" s="1" t="s">
        <v>80</v>
      </c>
      <c r="D378" s="1" t="s">
        <v>7387</v>
      </c>
      <c r="E378" s="1" t="s">
        <v>82</v>
      </c>
      <c r="F378" s="1" t="s">
        <v>82</v>
      </c>
      <c r="G378" s="1" t="s">
        <v>82</v>
      </c>
      <c r="H378" s="1" t="s">
        <v>7388</v>
      </c>
      <c r="I378" s="1" t="s">
        <v>82</v>
      </c>
      <c r="J378" s="1" t="s">
        <v>82</v>
      </c>
      <c r="K378" s="1" t="s">
        <v>7389</v>
      </c>
      <c r="L378" s="1" t="s">
        <v>7366</v>
      </c>
      <c r="M378" s="1">
        <v>4.462</v>
      </c>
      <c r="O378" s="1" t="s">
        <v>82</v>
      </c>
      <c r="P378" s="1" t="s">
        <v>82</v>
      </c>
      <c r="Q378" s="1" t="s">
        <v>87</v>
      </c>
      <c r="R378" s="1" t="s">
        <v>115</v>
      </c>
      <c r="S378" s="1" t="s">
        <v>82</v>
      </c>
      <c r="T378" s="1" t="s">
        <v>82</v>
      </c>
      <c r="U378" s="1" t="s">
        <v>82</v>
      </c>
      <c r="V378" s="1" t="s">
        <v>82</v>
      </c>
      <c r="W378" s="1" t="s">
        <v>82</v>
      </c>
      <c r="X378" s="1" t="s">
        <v>7390</v>
      </c>
      <c r="Y378" s="1" t="s">
        <v>7391</v>
      </c>
      <c r="Z378" s="1" t="s">
        <v>7392</v>
      </c>
      <c r="AB378" s="1" t="s">
        <v>7393</v>
      </c>
      <c r="AC378" s="1" t="s">
        <v>7394</v>
      </c>
      <c r="AD378" s="1" t="s">
        <v>120</v>
      </c>
      <c r="AE378" s="1" t="s">
        <v>7395</v>
      </c>
      <c r="AF378" s="1" t="s">
        <v>7396</v>
      </c>
      <c r="AG378" s="1" t="s">
        <v>7397</v>
      </c>
      <c r="AH378" s="1" t="s">
        <v>7398</v>
      </c>
      <c r="AI378" s="1" t="s">
        <v>82</v>
      </c>
      <c r="AJ378" s="1" t="s">
        <v>7399</v>
      </c>
      <c r="AK378" s="1" t="s">
        <v>7400</v>
      </c>
      <c r="AL378" s="1" t="s">
        <v>7401</v>
      </c>
      <c r="AM378" s="1" t="s">
        <v>82</v>
      </c>
      <c r="AN378" s="1">
        <v>35</v>
      </c>
      <c r="AO378" s="1">
        <v>0</v>
      </c>
      <c r="AP378" s="1">
        <v>0</v>
      </c>
      <c r="AQ378" s="1">
        <v>18</v>
      </c>
      <c r="AR378" s="1">
        <v>18</v>
      </c>
      <c r="AS378" s="1" t="s">
        <v>1846</v>
      </c>
      <c r="AT378" s="1" t="s">
        <v>1847</v>
      </c>
      <c r="AU378" s="1" t="s">
        <v>1848</v>
      </c>
      <c r="AV378" s="1" t="s">
        <v>7378</v>
      </c>
      <c r="AW378" s="1" t="s">
        <v>7379</v>
      </c>
      <c r="AX378" s="1" t="s">
        <v>82</v>
      </c>
      <c r="AY378" s="1" t="s">
        <v>7380</v>
      </c>
      <c r="AZ378" s="1" t="s">
        <v>7381</v>
      </c>
      <c r="BA378" s="1" t="s">
        <v>2123</v>
      </c>
      <c r="BB378" s="1">
        <v>2022</v>
      </c>
      <c r="BC378" s="1">
        <v>78</v>
      </c>
      <c r="BD378" s="1">
        <v>12</v>
      </c>
      <c r="BE378" s="1" t="s">
        <v>82</v>
      </c>
      <c r="BF378" s="1" t="s">
        <v>82</v>
      </c>
      <c r="BG378" s="1" t="s">
        <v>82</v>
      </c>
      <c r="BH378" s="1" t="s">
        <v>82</v>
      </c>
      <c r="BI378" s="1">
        <v>5164</v>
      </c>
      <c r="BJ378" s="1">
        <v>5171</v>
      </c>
      <c r="BK378" s="1" t="s">
        <v>82</v>
      </c>
      <c r="BL378" s="1" t="s">
        <v>7402</v>
      </c>
      <c r="BM378" s="1" t="str">
        <f>HYPERLINK("http://dx.doi.org/10.1002/ps.7134","http://dx.doi.org/10.1002/ps.7134")</f>
        <v>http://dx.doi.org/10.1002/ps.7134</v>
      </c>
      <c r="BN378" s="1" t="s">
        <v>82</v>
      </c>
      <c r="BO378" s="1" t="s">
        <v>224</v>
      </c>
      <c r="BP378" s="1">
        <v>8</v>
      </c>
      <c r="BQ378" s="1" t="s">
        <v>7383</v>
      </c>
      <c r="BR378" s="1" t="s">
        <v>104</v>
      </c>
      <c r="BS378" s="1" t="s">
        <v>7384</v>
      </c>
      <c r="BT378" s="1" t="s">
        <v>7403</v>
      </c>
      <c r="BU378" s="1">
        <v>36114796</v>
      </c>
      <c r="BV378" s="1" t="s">
        <v>82</v>
      </c>
      <c r="BW378" s="1" t="s">
        <v>82</v>
      </c>
      <c r="BX378" s="1" t="s">
        <v>82</v>
      </c>
      <c r="BY378" s="1" t="s">
        <v>108</v>
      </c>
      <c r="BZ378" s="1" t="s">
        <v>7404</v>
      </c>
      <c r="CA378" s="1" t="str">
        <f>HYPERLINK("https%3A%2F%2Fwww.webofscience.com%2Fwos%2Fwoscc%2Ffull-record%2FWOS:000854589400001","View Full Record in Web of Science")</f>
        <v>View Full Record in Web of Science</v>
      </c>
    </row>
    <row r="379" s="1" customFormat="1" ht="14.4" spans="1:79">
      <c r="A379">
        <v>378</v>
      </c>
      <c r="B379" s="2" t="s">
        <v>79</v>
      </c>
      <c r="C379" s="1" t="s">
        <v>80</v>
      </c>
      <c r="D379" s="1" t="s">
        <v>7405</v>
      </c>
      <c r="E379" s="1" t="s">
        <v>82</v>
      </c>
      <c r="F379" s="1" t="s">
        <v>82</v>
      </c>
      <c r="G379" s="1" t="s">
        <v>82</v>
      </c>
      <c r="H379" s="1" t="s">
        <v>7406</v>
      </c>
      <c r="I379" s="1" t="s">
        <v>82</v>
      </c>
      <c r="J379" s="1" t="s">
        <v>82</v>
      </c>
      <c r="K379" s="1" t="str">
        <f>HYPERLINK("https://invertebratefungi.org/: an expert-curated web-based platform for the identification and classification of invertebrate-associated fungi and fungus-like organisms","https://invertebratefungi.org/: an expert-curated web-based platform for the identification and classification of invertebrate-associated fungi and fungus-like organisms")</f>
        <v>https://invertebratefungi.org/: an expert-curated web-based platform for the identification and classification of invertebrate-associated fungi and fungus-like organisms</v>
      </c>
      <c r="L379" s="1" t="s">
        <v>7407</v>
      </c>
      <c r="M379" s="1">
        <v>4.462</v>
      </c>
      <c r="O379" s="1" t="s">
        <v>82</v>
      </c>
      <c r="P379" s="1" t="s">
        <v>82</v>
      </c>
      <c r="Q379" s="1" t="s">
        <v>87</v>
      </c>
      <c r="R379" s="1" t="s">
        <v>115</v>
      </c>
      <c r="S379" s="1" t="s">
        <v>82</v>
      </c>
      <c r="T379" s="1" t="s">
        <v>82</v>
      </c>
      <c r="U379" s="1" t="s">
        <v>82</v>
      </c>
      <c r="V379" s="1" t="s">
        <v>82</v>
      </c>
      <c r="W379" s="1" t="s">
        <v>82</v>
      </c>
      <c r="X379" s="1" t="s">
        <v>82</v>
      </c>
      <c r="Y379" s="1" t="s">
        <v>7408</v>
      </c>
      <c r="Z379" s="1" t="s">
        <v>7409</v>
      </c>
      <c r="AA379" s="1">
        <v>1</v>
      </c>
      <c r="AB379" s="1" t="s">
        <v>7410</v>
      </c>
      <c r="AC379" s="1" t="s">
        <v>7411</v>
      </c>
      <c r="AD379" s="1" t="s">
        <v>93</v>
      </c>
      <c r="AE379" s="1" t="s">
        <v>7412</v>
      </c>
      <c r="AF379" s="1" t="s">
        <v>7413</v>
      </c>
      <c r="AG379" s="1" t="s">
        <v>7414</v>
      </c>
      <c r="AH379" s="1" t="s">
        <v>7415</v>
      </c>
      <c r="AI379" s="1" t="s">
        <v>7416</v>
      </c>
      <c r="AJ379" s="1" t="s">
        <v>7417</v>
      </c>
      <c r="AK379" s="1" t="s">
        <v>7418</v>
      </c>
      <c r="AL379" s="1" t="s">
        <v>7419</v>
      </c>
      <c r="AM379" s="1" t="s">
        <v>82</v>
      </c>
      <c r="AN379" s="1">
        <v>45</v>
      </c>
      <c r="AO379" s="1">
        <v>0</v>
      </c>
      <c r="AP379" s="1">
        <v>0</v>
      </c>
      <c r="AQ379" s="1">
        <v>2</v>
      </c>
      <c r="AR379" s="1">
        <v>5</v>
      </c>
      <c r="AS379" s="1" t="s">
        <v>328</v>
      </c>
      <c r="AT379" s="1" t="s">
        <v>329</v>
      </c>
      <c r="AU379" s="1" t="s">
        <v>330</v>
      </c>
      <c r="AV379" s="1" t="s">
        <v>7420</v>
      </c>
      <c r="AW379" s="1" t="s">
        <v>82</v>
      </c>
      <c r="AX379" s="1" t="s">
        <v>82</v>
      </c>
      <c r="AY379" s="1" t="s">
        <v>7421</v>
      </c>
      <c r="AZ379" s="1" t="s">
        <v>7422</v>
      </c>
      <c r="BA379" s="1" t="s">
        <v>7423</v>
      </c>
      <c r="BB379" s="1">
        <v>2022</v>
      </c>
      <c r="BC379" s="1">
        <v>2022</v>
      </c>
      <c r="BD379" s="1" t="s">
        <v>82</v>
      </c>
      <c r="BE379" s="1" t="s">
        <v>82</v>
      </c>
      <c r="BF379" s="1" t="s">
        <v>82</v>
      </c>
      <c r="BG379" s="1" t="s">
        <v>82</v>
      </c>
      <c r="BH379" s="1" t="s">
        <v>82</v>
      </c>
      <c r="BI379" s="1" t="s">
        <v>82</v>
      </c>
      <c r="BJ379" s="1" t="s">
        <v>82</v>
      </c>
      <c r="BK379" s="1" t="s">
        <v>7424</v>
      </c>
      <c r="BL379" s="1" t="s">
        <v>7425</v>
      </c>
      <c r="BM379" s="1" t="str">
        <f>HYPERLINK("http://dx.doi.org/10.1093/database/baac021","http://dx.doi.org/10.1093/database/baac021")</f>
        <v>http://dx.doi.org/10.1093/database/baac021</v>
      </c>
      <c r="BN379" s="1" t="s">
        <v>82</v>
      </c>
      <c r="BO379" s="1" t="s">
        <v>82</v>
      </c>
      <c r="BP379" s="1">
        <v>8</v>
      </c>
      <c r="BQ379" s="1" t="s">
        <v>7426</v>
      </c>
      <c r="BR379" s="1" t="s">
        <v>104</v>
      </c>
      <c r="BS379" s="1" t="s">
        <v>7426</v>
      </c>
      <c r="BT379" s="1" t="s">
        <v>7427</v>
      </c>
      <c r="BU379" s="1">
        <v>35363307</v>
      </c>
      <c r="BV379" s="1" t="s">
        <v>635</v>
      </c>
      <c r="BW379" s="1" t="s">
        <v>82</v>
      </c>
      <c r="BX379" s="1" t="s">
        <v>82</v>
      </c>
      <c r="BY379" s="1" t="s">
        <v>108</v>
      </c>
      <c r="BZ379" s="1" t="s">
        <v>7428</v>
      </c>
      <c r="CA379" s="1" t="str">
        <f>HYPERLINK("https%3A%2F%2Fwww.webofscience.com%2Fwos%2Fwoscc%2Ffull-record%2FWOS:000776766100001","View Full Record in Web of Science")</f>
        <v>View Full Record in Web of Science</v>
      </c>
    </row>
    <row r="380" s="1" customFormat="1" ht="14.4" spans="1:79">
      <c r="A380">
        <v>379</v>
      </c>
      <c r="B380" s="2" t="s">
        <v>79</v>
      </c>
      <c r="C380" s="1" t="s">
        <v>80</v>
      </c>
      <c r="D380" s="1" t="s">
        <v>7429</v>
      </c>
      <c r="E380" s="1" t="s">
        <v>82</v>
      </c>
      <c r="F380" s="1" t="s">
        <v>82</v>
      </c>
      <c r="G380" s="1" t="s">
        <v>82</v>
      </c>
      <c r="H380" s="1" t="s">
        <v>7430</v>
      </c>
      <c r="I380" s="1" t="s">
        <v>82</v>
      </c>
      <c r="J380" s="1" t="s">
        <v>82</v>
      </c>
      <c r="K380" s="1" t="s">
        <v>7431</v>
      </c>
      <c r="L380" s="1" t="s">
        <v>7432</v>
      </c>
      <c r="M380" s="1">
        <v>4.384</v>
      </c>
      <c r="O380" s="1" t="s">
        <v>82</v>
      </c>
      <c r="P380" s="1" t="s">
        <v>82</v>
      </c>
      <c r="Q380" s="1" t="s">
        <v>87</v>
      </c>
      <c r="R380" s="1" t="s">
        <v>115</v>
      </c>
      <c r="S380" s="1" t="s">
        <v>82</v>
      </c>
      <c r="T380" s="1" t="s">
        <v>82</v>
      </c>
      <c r="U380" s="1" t="s">
        <v>82</v>
      </c>
      <c r="V380" s="1" t="s">
        <v>82</v>
      </c>
      <c r="W380" s="1" t="s">
        <v>82</v>
      </c>
      <c r="X380" s="1" t="s">
        <v>7433</v>
      </c>
      <c r="Y380" s="1" t="s">
        <v>7434</v>
      </c>
      <c r="Z380" s="1" t="s">
        <v>7435</v>
      </c>
      <c r="AB380" s="1" t="s">
        <v>7436</v>
      </c>
      <c r="AC380" s="1" t="s">
        <v>7437</v>
      </c>
      <c r="AD380" s="1" t="s">
        <v>206</v>
      </c>
      <c r="AE380" s="1" t="s">
        <v>7438</v>
      </c>
      <c r="AF380" s="1" t="s">
        <v>7439</v>
      </c>
      <c r="AG380" s="1" t="s">
        <v>7440</v>
      </c>
      <c r="AH380" s="1" t="s">
        <v>82</v>
      </c>
      <c r="AI380" s="1" t="s">
        <v>82</v>
      </c>
      <c r="AJ380" s="1" t="s">
        <v>7441</v>
      </c>
      <c r="AK380" s="1" t="s">
        <v>7442</v>
      </c>
      <c r="AL380" s="1" t="s">
        <v>7443</v>
      </c>
      <c r="AM380" s="1" t="s">
        <v>82</v>
      </c>
      <c r="AN380" s="1">
        <v>60</v>
      </c>
      <c r="AO380" s="1">
        <v>0</v>
      </c>
      <c r="AP380" s="1">
        <v>0</v>
      </c>
      <c r="AQ380" s="1">
        <v>0</v>
      </c>
      <c r="AR380" s="1">
        <v>0</v>
      </c>
      <c r="AS380" s="1" t="s">
        <v>479</v>
      </c>
      <c r="AT380" s="1" t="s">
        <v>480</v>
      </c>
      <c r="AU380" s="1" t="s">
        <v>481</v>
      </c>
      <c r="AV380" s="1" t="s">
        <v>7444</v>
      </c>
      <c r="AW380" s="1" t="s">
        <v>7445</v>
      </c>
      <c r="AX380" s="1" t="s">
        <v>82</v>
      </c>
      <c r="AY380" s="1" t="s">
        <v>7446</v>
      </c>
      <c r="AZ380" s="1" t="s">
        <v>7447</v>
      </c>
      <c r="BA380" s="1" t="s">
        <v>1211</v>
      </c>
      <c r="BB380" s="1">
        <v>2022</v>
      </c>
      <c r="BC380" s="1">
        <v>519</v>
      </c>
      <c r="BD380" s="1" t="s">
        <v>82</v>
      </c>
      <c r="BE380" s="1" t="s">
        <v>82</v>
      </c>
      <c r="BF380" s="1" t="s">
        <v>82</v>
      </c>
      <c r="BG380" s="1" t="s">
        <v>82</v>
      </c>
      <c r="BH380" s="1" t="s">
        <v>82</v>
      </c>
      <c r="BI380" s="1" t="s">
        <v>82</v>
      </c>
      <c r="BJ380" s="1" t="s">
        <v>82</v>
      </c>
      <c r="BK380" s="1">
        <v>120319</v>
      </c>
      <c r="BL380" s="1" t="s">
        <v>7448</v>
      </c>
      <c r="BM380" s="1" t="str">
        <f>HYPERLINK("http://dx.doi.org/10.1016/j.foreco.2022.120319","http://dx.doi.org/10.1016/j.foreco.2022.120319")</f>
        <v>http://dx.doi.org/10.1016/j.foreco.2022.120319</v>
      </c>
      <c r="BN380" s="1" t="s">
        <v>82</v>
      </c>
      <c r="BO380" s="1" t="s">
        <v>1298</v>
      </c>
      <c r="BP380" s="1">
        <v>12</v>
      </c>
      <c r="BQ380" s="1" t="s">
        <v>7449</v>
      </c>
      <c r="BR380" s="1" t="s">
        <v>104</v>
      </c>
      <c r="BS380" s="1" t="s">
        <v>7449</v>
      </c>
      <c r="BT380" s="1" t="s">
        <v>7450</v>
      </c>
      <c r="BU380" s="1" t="s">
        <v>82</v>
      </c>
      <c r="BV380" s="1" t="s">
        <v>82</v>
      </c>
      <c r="BW380" s="1" t="s">
        <v>82</v>
      </c>
      <c r="BX380" s="1" t="s">
        <v>82</v>
      </c>
      <c r="BY380" s="1" t="s">
        <v>108</v>
      </c>
      <c r="BZ380" s="1" t="s">
        <v>7451</v>
      </c>
      <c r="CA380" s="1" t="str">
        <f>HYPERLINK("https%3A%2F%2Fwww.webofscience.com%2Fwos%2Fwoscc%2Ffull-record%2FWOS:000832823900003","View Full Record in Web of Science")</f>
        <v>View Full Record in Web of Science</v>
      </c>
    </row>
    <row r="381" s="1" customFormat="1" ht="14.4" spans="1:79">
      <c r="A381">
        <v>380</v>
      </c>
      <c r="B381" s="2" t="s">
        <v>79</v>
      </c>
      <c r="C381" s="1" t="s">
        <v>80</v>
      </c>
      <c r="D381" s="1" t="s">
        <v>7452</v>
      </c>
      <c r="E381" s="1" t="s">
        <v>82</v>
      </c>
      <c r="F381" s="1" t="s">
        <v>82</v>
      </c>
      <c r="G381" s="1" t="s">
        <v>82</v>
      </c>
      <c r="H381" s="1" t="s">
        <v>7453</v>
      </c>
      <c r="I381" s="1" t="s">
        <v>82</v>
      </c>
      <c r="J381" s="1" t="s">
        <v>82</v>
      </c>
      <c r="K381" s="1" t="s">
        <v>7454</v>
      </c>
      <c r="L381" s="1" t="s">
        <v>7455</v>
      </c>
      <c r="M381" s="1">
        <v>4.377</v>
      </c>
      <c r="O381" s="1" t="s">
        <v>82</v>
      </c>
      <c r="P381" s="1" t="s">
        <v>82</v>
      </c>
      <c r="Q381" s="1" t="s">
        <v>87</v>
      </c>
      <c r="R381" s="1" t="s">
        <v>115</v>
      </c>
      <c r="S381" s="1" t="s">
        <v>82</v>
      </c>
      <c r="T381" s="1" t="s">
        <v>82</v>
      </c>
      <c r="U381" s="1" t="s">
        <v>82</v>
      </c>
      <c r="V381" s="1" t="s">
        <v>82</v>
      </c>
      <c r="W381" s="1" t="s">
        <v>82</v>
      </c>
      <c r="X381" s="1" t="s">
        <v>7456</v>
      </c>
      <c r="Y381" s="1" t="s">
        <v>7457</v>
      </c>
      <c r="Z381" s="1" t="s">
        <v>7458</v>
      </c>
      <c r="AA381" s="1">
        <v>1</v>
      </c>
      <c r="AB381" s="1" t="s">
        <v>7459</v>
      </c>
      <c r="AC381" s="1" t="s">
        <v>7460</v>
      </c>
      <c r="AD381" s="1" t="s">
        <v>93</v>
      </c>
      <c r="AE381" s="1" t="s">
        <v>7461</v>
      </c>
      <c r="AF381" s="1" t="s">
        <v>7462</v>
      </c>
      <c r="AG381" s="1" t="s">
        <v>7463</v>
      </c>
      <c r="AH381" s="1" t="s">
        <v>7464</v>
      </c>
      <c r="AI381" s="1" t="s">
        <v>7465</v>
      </c>
      <c r="AJ381" s="1" t="s">
        <v>7466</v>
      </c>
      <c r="AK381" s="1" t="s">
        <v>7467</v>
      </c>
      <c r="AL381" s="1" t="s">
        <v>7468</v>
      </c>
      <c r="AM381" s="1" t="s">
        <v>82</v>
      </c>
      <c r="AN381" s="1">
        <v>83</v>
      </c>
      <c r="AO381" s="1">
        <v>0</v>
      </c>
      <c r="AP381" s="1">
        <v>0</v>
      </c>
      <c r="AQ381" s="1">
        <v>7</v>
      </c>
      <c r="AR381" s="1">
        <v>7</v>
      </c>
      <c r="AS381" s="1" t="s">
        <v>1002</v>
      </c>
      <c r="AT381" s="1" t="s">
        <v>1003</v>
      </c>
      <c r="AU381" s="1" t="s">
        <v>1004</v>
      </c>
      <c r="AV381" s="1" t="s">
        <v>7469</v>
      </c>
      <c r="AW381" s="1" t="s">
        <v>7470</v>
      </c>
      <c r="AX381" s="1" t="s">
        <v>82</v>
      </c>
      <c r="AY381" s="1" t="s">
        <v>7471</v>
      </c>
      <c r="AZ381" s="1" t="s">
        <v>7472</v>
      </c>
      <c r="BA381" s="1" t="s">
        <v>486</v>
      </c>
      <c r="BB381" s="1">
        <v>2022</v>
      </c>
      <c r="BC381" s="1">
        <v>33</v>
      </c>
      <c r="BD381" s="1">
        <v>17</v>
      </c>
      <c r="BE381" s="1" t="s">
        <v>82</v>
      </c>
      <c r="BF381" s="1" t="s">
        <v>82</v>
      </c>
      <c r="BG381" s="1" t="s">
        <v>82</v>
      </c>
      <c r="BH381" s="1" t="s">
        <v>82</v>
      </c>
      <c r="BI381" s="1">
        <v>3411</v>
      </c>
      <c r="BJ381" s="1">
        <v>3426</v>
      </c>
      <c r="BK381" s="1" t="s">
        <v>82</v>
      </c>
      <c r="BL381" s="1" t="s">
        <v>7473</v>
      </c>
      <c r="BM381" s="1" t="str">
        <f>HYPERLINK("http://dx.doi.org/10.1002/ldr.4395","http://dx.doi.org/10.1002/ldr.4395")</f>
        <v>http://dx.doi.org/10.1002/ldr.4395</v>
      </c>
      <c r="BN381" s="1" t="s">
        <v>82</v>
      </c>
      <c r="BO381" s="1" t="s">
        <v>2084</v>
      </c>
      <c r="BP381" s="1">
        <v>16</v>
      </c>
      <c r="BQ381" s="1" t="s">
        <v>7474</v>
      </c>
      <c r="BR381" s="1" t="s">
        <v>104</v>
      </c>
      <c r="BS381" s="1" t="s">
        <v>7475</v>
      </c>
      <c r="BT381" s="1" t="s">
        <v>7476</v>
      </c>
      <c r="BU381" s="1" t="s">
        <v>82</v>
      </c>
      <c r="BV381" s="1" t="s">
        <v>82</v>
      </c>
      <c r="BW381" s="1" t="s">
        <v>82</v>
      </c>
      <c r="BX381" s="1" t="s">
        <v>82</v>
      </c>
      <c r="BY381" s="1" t="s">
        <v>108</v>
      </c>
      <c r="BZ381" s="1" t="s">
        <v>7477</v>
      </c>
      <c r="CA381" s="1" t="str">
        <f>HYPERLINK("https%3A%2F%2Fwww.webofscience.com%2Fwos%2Fwoscc%2Ffull-record%2FWOS:000865340800001","View Full Record in Web of Science")</f>
        <v>View Full Record in Web of Science</v>
      </c>
    </row>
    <row r="382" s="1" customFormat="1" ht="14.4" spans="1:79">
      <c r="A382">
        <v>381</v>
      </c>
      <c r="B382" s="2" t="s">
        <v>79</v>
      </c>
      <c r="C382" s="1" t="s">
        <v>80</v>
      </c>
      <c r="D382" s="1" t="s">
        <v>7478</v>
      </c>
      <c r="E382" s="1" t="s">
        <v>82</v>
      </c>
      <c r="F382" s="1" t="s">
        <v>82</v>
      </c>
      <c r="G382" s="1" t="s">
        <v>82</v>
      </c>
      <c r="H382" s="1" t="s">
        <v>7479</v>
      </c>
      <c r="I382" s="1" t="s">
        <v>82</v>
      </c>
      <c r="J382" s="1" t="s">
        <v>82</v>
      </c>
      <c r="K382" s="1" t="s">
        <v>7480</v>
      </c>
      <c r="L382" s="1" t="s">
        <v>7481</v>
      </c>
      <c r="M382" s="1">
        <v>4.342</v>
      </c>
      <c r="O382" s="1" t="s">
        <v>82</v>
      </c>
      <c r="P382" s="1" t="s">
        <v>82</v>
      </c>
      <c r="Q382" s="1" t="s">
        <v>87</v>
      </c>
      <c r="R382" s="1" t="s">
        <v>115</v>
      </c>
      <c r="S382" s="1" t="s">
        <v>82</v>
      </c>
      <c r="T382" s="1" t="s">
        <v>82</v>
      </c>
      <c r="U382" s="1" t="s">
        <v>82</v>
      </c>
      <c r="V382" s="1" t="s">
        <v>82</v>
      </c>
      <c r="W382" s="1" t="s">
        <v>82</v>
      </c>
      <c r="X382" s="1" t="s">
        <v>7482</v>
      </c>
      <c r="Y382" s="1" t="s">
        <v>7483</v>
      </c>
      <c r="Z382" s="1" t="s">
        <v>7484</v>
      </c>
      <c r="AB382" s="1" t="s">
        <v>7485</v>
      </c>
      <c r="AC382" s="1" t="s">
        <v>7486</v>
      </c>
      <c r="AD382" s="1" t="s">
        <v>206</v>
      </c>
      <c r="AE382" s="1" t="s">
        <v>7487</v>
      </c>
      <c r="AF382" s="1" t="s">
        <v>7488</v>
      </c>
      <c r="AG382" s="1" t="s">
        <v>7489</v>
      </c>
      <c r="AH382" s="1" t="s">
        <v>7490</v>
      </c>
      <c r="AI382" s="1" t="s">
        <v>7491</v>
      </c>
      <c r="AJ382" s="1" t="s">
        <v>7492</v>
      </c>
      <c r="AK382" s="1" t="s">
        <v>7493</v>
      </c>
      <c r="AL382" s="1" t="s">
        <v>7494</v>
      </c>
      <c r="AM382" s="1" t="s">
        <v>82</v>
      </c>
      <c r="AN382" s="1">
        <v>44</v>
      </c>
      <c r="AO382" s="1">
        <v>1</v>
      </c>
      <c r="AP382" s="1">
        <v>1</v>
      </c>
      <c r="AQ382" s="1">
        <v>6</v>
      </c>
      <c r="AR382" s="1">
        <v>45</v>
      </c>
      <c r="AS382" s="1" t="s">
        <v>479</v>
      </c>
      <c r="AT382" s="1" t="s">
        <v>480</v>
      </c>
      <c r="AU382" s="1" t="s">
        <v>481</v>
      </c>
      <c r="AV382" s="1" t="s">
        <v>7495</v>
      </c>
      <c r="AW382" s="1" t="s">
        <v>7496</v>
      </c>
      <c r="AX382" s="1" t="s">
        <v>82</v>
      </c>
      <c r="AY382" s="1" t="s">
        <v>7497</v>
      </c>
      <c r="AZ382" s="1" t="s">
        <v>7498</v>
      </c>
      <c r="BA382" s="1" t="s">
        <v>4355</v>
      </c>
      <c r="BB382" s="1">
        <v>2022</v>
      </c>
      <c r="BC382" s="1">
        <v>291</v>
      </c>
      <c r="BD382" s="1" t="s">
        <v>82</v>
      </c>
      <c r="BE382" s="1" t="s">
        <v>82</v>
      </c>
      <c r="BF382" s="1" t="s">
        <v>82</v>
      </c>
      <c r="BG382" s="1" t="s">
        <v>82</v>
      </c>
      <c r="BH382" s="1" t="s">
        <v>82</v>
      </c>
      <c r="BI382" s="1" t="s">
        <v>82</v>
      </c>
      <c r="BJ382" s="1" t="s">
        <v>82</v>
      </c>
      <c r="BK382" s="1">
        <v>110580</v>
      </c>
      <c r="BL382" s="1" t="s">
        <v>7499</v>
      </c>
      <c r="BM382" s="1" t="str">
        <f>HYPERLINK("http://dx.doi.org/10.1016/j.scienta.2021.110580","http://dx.doi.org/10.1016/j.scienta.2021.110580")</f>
        <v>http://dx.doi.org/10.1016/j.scienta.2021.110580</v>
      </c>
      <c r="BN382" s="1" t="s">
        <v>82</v>
      </c>
      <c r="BO382" s="1" t="s">
        <v>7500</v>
      </c>
      <c r="BP382" s="1">
        <v>9</v>
      </c>
      <c r="BQ382" s="1" t="s">
        <v>7501</v>
      </c>
      <c r="BR382" s="1" t="s">
        <v>104</v>
      </c>
      <c r="BS382" s="1" t="s">
        <v>1881</v>
      </c>
      <c r="BT382" s="1" t="s">
        <v>7502</v>
      </c>
      <c r="BU382" s="1" t="s">
        <v>82</v>
      </c>
      <c r="BV382" s="1" t="s">
        <v>82</v>
      </c>
      <c r="BW382" s="1" t="s">
        <v>82</v>
      </c>
      <c r="BX382" s="1" t="s">
        <v>82</v>
      </c>
      <c r="BY382" s="1" t="s">
        <v>108</v>
      </c>
      <c r="BZ382" s="1" t="s">
        <v>7503</v>
      </c>
      <c r="CA382" s="1" t="str">
        <f>HYPERLINK("https%3A%2F%2Fwww.webofscience.com%2Fwos%2Fwoscc%2Ffull-record%2FWOS:000701158400004","View Full Record in Web of Science")</f>
        <v>View Full Record in Web of Science</v>
      </c>
    </row>
    <row r="383" s="1" customFormat="1" ht="14.4" spans="1:79">
      <c r="A383">
        <v>382</v>
      </c>
      <c r="B383" s="2" t="s">
        <v>79</v>
      </c>
      <c r="C383" s="1" t="s">
        <v>80</v>
      </c>
      <c r="D383" s="1" t="s">
        <v>7504</v>
      </c>
      <c r="E383" s="1" t="s">
        <v>82</v>
      </c>
      <c r="F383" s="1" t="s">
        <v>82</v>
      </c>
      <c r="G383" s="1" t="s">
        <v>82</v>
      </c>
      <c r="H383" s="1" t="s">
        <v>7505</v>
      </c>
      <c r="I383" s="1" t="s">
        <v>82</v>
      </c>
      <c r="J383" s="1" t="s">
        <v>82</v>
      </c>
      <c r="K383" s="1" t="s">
        <v>7506</v>
      </c>
      <c r="L383" s="1" t="s">
        <v>7507</v>
      </c>
      <c r="M383" s="1">
        <v>4.253</v>
      </c>
      <c r="O383" s="1" t="s">
        <v>82</v>
      </c>
      <c r="P383" s="1" t="s">
        <v>82</v>
      </c>
      <c r="Q383" s="1" t="s">
        <v>87</v>
      </c>
      <c r="R383" s="1" t="s">
        <v>115</v>
      </c>
      <c r="S383" s="1" t="s">
        <v>82</v>
      </c>
      <c r="T383" s="1" t="s">
        <v>82</v>
      </c>
      <c r="U383" s="1" t="s">
        <v>82</v>
      </c>
      <c r="V383" s="1" t="s">
        <v>82</v>
      </c>
      <c r="W383" s="1" t="s">
        <v>82</v>
      </c>
      <c r="X383" s="1" t="s">
        <v>7508</v>
      </c>
      <c r="Y383" s="1" t="s">
        <v>7509</v>
      </c>
      <c r="Z383" s="1" t="s">
        <v>7510</v>
      </c>
      <c r="AB383" s="1" t="s">
        <v>7511</v>
      </c>
      <c r="AC383" s="1" t="s">
        <v>7512</v>
      </c>
      <c r="AD383" s="1" t="s">
        <v>120</v>
      </c>
      <c r="AE383" s="1" t="s">
        <v>4752</v>
      </c>
      <c r="AF383" s="1" t="s">
        <v>7513</v>
      </c>
      <c r="AG383" s="1" t="s">
        <v>7514</v>
      </c>
      <c r="AH383" s="1" t="s">
        <v>82</v>
      </c>
      <c r="AI383" s="1" t="s">
        <v>82</v>
      </c>
      <c r="AJ383" s="1" t="s">
        <v>7515</v>
      </c>
      <c r="AK383" s="1" t="s">
        <v>7516</v>
      </c>
      <c r="AL383" s="1" t="s">
        <v>7517</v>
      </c>
      <c r="AM383" s="1" t="s">
        <v>82</v>
      </c>
      <c r="AN383" s="1">
        <v>53</v>
      </c>
      <c r="AO383" s="1">
        <v>3</v>
      </c>
      <c r="AP383" s="1">
        <v>3</v>
      </c>
      <c r="AQ383" s="1">
        <v>6</v>
      </c>
      <c r="AR383" s="1">
        <v>33</v>
      </c>
      <c r="AS383" s="1" t="s">
        <v>215</v>
      </c>
      <c r="AT383" s="1" t="s">
        <v>6669</v>
      </c>
      <c r="AU383" s="1" t="s">
        <v>6670</v>
      </c>
      <c r="AV383" s="1" t="s">
        <v>7518</v>
      </c>
      <c r="AW383" s="1" t="s">
        <v>7519</v>
      </c>
      <c r="AX383" s="1" t="s">
        <v>82</v>
      </c>
      <c r="AY383" s="1" t="s">
        <v>7520</v>
      </c>
      <c r="AZ383" s="1" t="s">
        <v>7521</v>
      </c>
      <c r="BA383" s="1" t="s">
        <v>1826</v>
      </c>
      <c r="BB383" s="1">
        <v>2022</v>
      </c>
      <c r="BC383" s="1">
        <v>38</v>
      </c>
      <c r="BD383" s="1">
        <v>1</v>
      </c>
      <c r="BE383" s="1" t="s">
        <v>82</v>
      </c>
      <c r="BF383" s="1" t="s">
        <v>82</v>
      </c>
      <c r="BG383" s="1" t="s">
        <v>82</v>
      </c>
      <c r="BH383" s="1" t="s">
        <v>82</v>
      </c>
      <c r="BI383" s="1" t="s">
        <v>82</v>
      </c>
      <c r="BJ383" s="1" t="s">
        <v>82</v>
      </c>
      <c r="BK383" s="1">
        <v>15</v>
      </c>
      <c r="BL383" s="1" t="s">
        <v>7522</v>
      </c>
      <c r="BM383" s="1" t="str">
        <f>HYPERLINK("http://dx.doi.org/10.1007/s11274-021-03194-0","http://dx.doi.org/10.1007/s11274-021-03194-0")</f>
        <v>http://dx.doi.org/10.1007/s11274-021-03194-0</v>
      </c>
      <c r="BN383" s="1" t="s">
        <v>82</v>
      </c>
      <c r="BO383" s="1" t="s">
        <v>82</v>
      </c>
      <c r="BP383" s="1">
        <v>10</v>
      </c>
      <c r="BQ383" s="1" t="s">
        <v>7523</v>
      </c>
      <c r="BR383" s="1" t="s">
        <v>104</v>
      </c>
      <c r="BS383" s="1" t="s">
        <v>7523</v>
      </c>
      <c r="BT383" s="1" t="s">
        <v>7524</v>
      </c>
      <c r="BU383" s="1">
        <v>34878606</v>
      </c>
      <c r="BV383" s="1" t="s">
        <v>82</v>
      </c>
      <c r="BW383" s="1" t="s">
        <v>82</v>
      </c>
      <c r="BX383" s="1" t="s">
        <v>82</v>
      </c>
      <c r="BY383" s="1" t="s">
        <v>108</v>
      </c>
      <c r="BZ383" s="1" t="s">
        <v>7525</v>
      </c>
      <c r="CA383" s="1" t="str">
        <f>HYPERLINK("https%3A%2F%2Fwww.webofscience.com%2Fwos%2Fwoscc%2Ffull-record%2FWOS:000728170400001","View Full Record in Web of Science")</f>
        <v>View Full Record in Web of Science</v>
      </c>
    </row>
    <row r="384" s="1" customFormat="1" ht="14.4" spans="1:79">
      <c r="A384">
        <v>383</v>
      </c>
      <c r="B384" s="2" t="s">
        <v>110</v>
      </c>
      <c r="C384" s="1" t="s">
        <v>80</v>
      </c>
      <c r="D384" s="1" t="s">
        <v>7526</v>
      </c>
      <c r="E384" s="1" t="s">
        <v>82</v>
      </c>
      <c r="F384" s="1" t="s">
        <v>82</v>
      </c>
      <c r="G384" s="1" t="s">
        <v>82</v>
      </c>
      <c r="H384" s="1" t="s">
        <v>7527</v>
      </c>
      <c r="I384" s="1" t="s">
        <v>82</v>
      </c>
      <c r="J384" s="1" t="s">
        <v>82</v>
      </c>
      <c r="K384" s="1" t="s">
        <v>7528</v>
      </c>
      <c r="L384" s="1" t="s">
        <v>7529</v>
      </c>
      <c r="M384" s="1">
        <v>4.198</v>
      </c>
      <c r="O384" s="1" t="s">
        <v>82</v>
      </c>
      <c r="P384" s="1" t="s">
        <v>82</v>
      </c>
      <c r="Q384" s="1" t="s">
        <v>87</v>
      </c>
      <c r="R384" s="1" t="s">
        <v>115</v>
      </c>
      <c r="S384" s="1" t="s">
        <v>82</v>
      </c>
      <c r="T384" s="1" t="s">
        <v>82</v>
      </c>
      <c r="U384" s="1" t="s">
        <v>82</v>
      </c>
      <c r="V384" s="1" t="s">
        <v>82</v>
      </c>
      <c r="W384" s="1" t="s">
        <v>82</v>
      </c>
      <c r="X384" s="1" t="s">
        <v>82</v>
      </c>
      <c r="Y384" s="1" t="s">
        <v>7530</v>
      </c>
      <c r="Z384" s="1" t="s">
        <v>7531</v>
      </c>
      <c r="AB384" s="1" t="s">
        <v>7532</v>
      </c>
      <c r="AC384" s="1" t="s">
        <v>7533</v>
      </c>
      <c r="AD384" s="1" t="s">
        <v>206</v>
      </c>
      <c r="AE384" s="1" t="s">
        <v>7534</v>
      </c>
      <c r="AF384" s="1" t="s">
        <v>7535</v>
      </c>
      <c r="AG384" s="1" t="s">
        <v>7536</v>
      </c>
      <c r="AH384" s="1" t="s">
        <v>82</v>
      </c>
      <c r="AI384" s="1" t="s">
        <v>4657</v>
      </c>
      <c r="AJ384" s="1" t="s">
        <v>7537</v>
      </c>
      <c r="AK384" s="1" t="s">
        <v>7538</v>
      </c>
      <c r="AL384" s="1" t="s">
        <v>7539</v>
      </c>
      <c r="AM384" s="1" t="s">
        <v>82</v>
      </c>
      <c r="AN384" s="1">
        <v>31</v>
      </c>
      <c r="AO384" s="1">
        <v>0</v>
      </c>
      <c r="AP384" s="1">
        <v>0</v>
      </c>
      <c r="AQ384" s="1">
        <v>5</v>
      </c>
      <c r="AR384" s="1">
        <v>5</v>
      </c>
      <c r="AS384" s="1" t="s">
        <v>862</v>
      </c>
      <c r="AT384" s="1" t="s">
        <v>129</v>
      </c>
      <c r="AU384" s="1" t="s">
        <v>863</v>
      </c>
      <c r="AV384" s="1" t="s">
        <v>7540</v>
      </c>
      <c r="AW384" s="1" t="s">
        <v>7541</v>
      </c>
      <c r="AX384" s="1" t="s">
        <v>82</v>
      </c>
      <c r="AY384" s="1" t="s">
        <v>7542</v>
      </c>
      <c r="AZ384" s="1" t="s">
        <v>7543</v>
      </c>
      <c r="BA384" s="1" t="s">
        <v>6043</v>
      </c>
      <c r="BB384" s="1">
        <v>2022</v>
      </c>
      <c r="BC384" s="1">
        <v>87</v>
      </c>
      <c r="BD384" s="1">
        <v>17</v>
      </c>
      <c r="BE384" s="1" t="s">
        <v>82</v>
      </c>
      <c r="BF384" s="1" t="s">
        <v>82</v>
      </c>
      <c r="BG384" s="1" t="s">
        <v>82</v>
      </c>
      <c r="BH384" s="1" t="s">
        <v>82</v>
      </c>
      <c r="BI384" s="1">
        <v>11309</v>
      </c>
      <c r="BJ384" s="1">
        <v>11318</v>
      </c>
      <c r="BK384" s="1" t="s">
        <v>82</v>
      </c>
      <c r="BL384" s="1" t="s">
        <v>7544</v>
      </c>
      <c r="BM384" s="1" t="str">
        <f>HYPERLINK("http://dx.doi.org/10.1021/acs.joc.2c00517","http://dx.doi.org/10.1021/acs.joc.2c00517")</f>
        <v>http://dx.doi.org/10.1021/acs.joc.2c00517</v>
      </c>
      <c r="BN384" s="1" t="s">
        <v>82</v>
      </c>
      <c r="BO384" s="1" t="s">
        <v>424</v>
      </c>
      <c r="BP384" s="1">
        <v>10</v>
      </c>
      <c r="BQ384" s="1" t="s">
        <v>4190</v>
      </c>
      <c r="BR384" s="1" t="s">
        <v>745</v>
      </c>
      <c r="BS384" s="1" t="s">
        <v>706</v>
      </c>
      <c r="BT384" s="1" t="s">
        <v>7545</v>
      </c>
      <c r="BU384" s="1">
        <v>35981284</v>
      </c>
      <c r="BV384" s="1" t="s">
        <v>82</v>
      </c>
      <c r="BW384" s="1" t="s">
        <v>82</v>
      </c>
      <c r="BX384" s="1" t="s">
        <v>82</v>
      </c>
      <c r="BY384" s="1" t="s">
        <v>108</v>
      </c>
      <c r="BZ384" s="1" t="s">
        <v>7546</v>
      </c>
      <c r="CA384" s="1" t="str">
        <f>HYPERLINK("https%3A%2F%2Fwww.webofscience.com%2Fwos%2Fwoscc%2Ffull-record%2FWOS:000849773200001","View Full Record in Web of Science")</f>
        <v>View Full Record in Web of Science</v>
      </c>
    </row>
    <row r="385" s="1" customFormat="1" ht="14.4" spans="1:79">
      <c r="A385">
        <v>384</v>
      </c>
      <c r="B385" s="2" t="s">
        <v>79</v>
      </c>
      <c r="C385" s="1" t="s">
        <v>80</v>
      </c>
      <c r="D385" s="1" t="s">
        <v>7547</v>
      </c>
      <c r="E385" s="1" t="s">
        <v>82</v>
      </c>
      <c r="F385" s="1" t="s">
        <v>82</v>
      </c>
      <c r="G385" s="1" t="s">
        <v>82</v>
      </c>
      <c r="H385" s="1" t="s">
        <v>7548</v>
      </c>
      <c r="I385" s="1" t="s">
        <v>82</v>
      </c>
      <c r="J385" s="1" t="s">
        <v>82</v>
      </c>
      <c r="K385" s="1" t="s">
        <v>7549</v>
      </c>
      <c r="L385" s="1" t="s">
        <v>7550</v>
      </c>
      <c r="M385" s="1">
        <v>4.171</v>
      </c>
      <c r="O385" s="1" t="s">
        <v>82</v>
      </c>
      <c r="P385" s="1" t="s">
        <v>82</v>
      </c>
      <c r="Q385" s="1" t="s">
        <v>87</v>
      </c>
      <c r="R385" s="1" t="s">
        <v>115</v>
      </c>
      <c r="S385" s="1" t="s">
        <v>82</v>
      </c>
      <c r="T385" s="1" t="s">
        <v>82</v>
      </c>
      <c r="U385" s="1" t="s">
        <v>82</v>
      </c>
      <c r="V385" s="1" t="s">
        <v>82</v>
      </c>
      <c r="W385" s="1" t="s">
        <v>82</v>
      </c>
      <c r="X385" s="1" t="s">
        <v>7551</v>
      </c>
      <c r="Y385" s="1" t="s">
        <v>7552</v>
      </c>
      <c r="Z385" s="1" t="s">
        <v>7553</v>
      </c>
      <c r="AB385" s="1" t="s">
        <v>7554</v>
      </c>
      <c r="AC385" s="1" t="s">
        <v>7555</v>
      </c>
      <c r="AD385" s="1" t="s">
        <v>120</v>
      </c>
      <c r="AE385" s="1" t="s">
        <v>7556</v>
      </c>
      <c r="AF385" s="1" t="s">
        <v>7557</v>
      </c>
      <c r="AG385" s="1" t="s">
        <v>7558</v>
      </c>
      <c r="AH385" s="1" t="s">
        <v>7559</v>
      </c>
      <c r="AI385" s="1" t="s">
        <v>7560</v>
      </c>
      <c r="AJ385" s="1" t="s">
        <v>7561</v>
      </c>
      <c r="AK385" s="1" t="s">
        <v>7562</v>
      </c>
      <c r="AL385" s="1" t="s">
        <v>7563</v>
      </c>
      <c r="AM385" s="1" t="s">
        <v>82</v>
      </c>
      <c r="AN385" s="1">
        <v>53</v>
      </c>
      <c r="AO385" s="1">
        <v>3</v>
      </c>
      <c r="AP385" s="1">
        <v>3</v>
      </c>
      <c r="AQ385" s="1">
        <v>9</v>
      </c>
      <c r="AR385" s="1">
        <v>26</v>
      </c>
      <c r="AS385" s="1" t="s">
        <v>1002</v>
      </c>
      <c r="AT385" s="1" t="s">
        <v>1003</v>
      </c>
      <c r="AU385" s="1" t="s">
        <v>1004</v>
      </c>
      <c r="AV385" s="1" t="s">
        <v>7564</v>
      </c>
      <c r="AW385" s="1" t="s">
        <v>7565</v>
      </c>
      <c r="AX385" s="1" t="s">
        <v>82</v>
      </c>
      <c r="AY385" s="1" t="s">
        <v>7550</v>
      </c>
      <c r="AZ385" s="1" t="s">
        <v>7566</v>
      </c>
      <c r="BA385" s="1" t="s">
        <v>397</v>
      </c>
      <c r="BB385" s="1">
        <v>2022</v>
      </c>
      <c r="BC385" s="1">
        <v>76</v>
      </c>
      <c r="BD385" s="1">
        <v>2</v>
      </c>
      <c r="BE385" s="1" t="s">
        <v>82</v>
      </c>
      <c r="BF385" s="1" t="s">
        <v>82</v>
      </c>
      <c r="BG385" s="1" t="s">
        <v>82</v>
      </c>
      <c r="BH385" s="1" t="s">
        <v>82</v>
      </c>
      <c r="BI385" s="1">
        <v>346</v>
      </c>
      <c r="BJ385" s="1">
        <v>356</v>
      </c>
      <c r="BK385" s="1" t="s">
        <v>82</v>
      </c>
      <c r="BL385" s="1" t="s">
        <v>7567</v>
      </c>
      <c r="BM385" s="1" t="str">
        <f>HYPERLINK("http://dx.doi.org/10.1111/evo.14410","http://dx.doi.org/10.1111/evo.14410")</f>
        <v>http://dx.doi.org/10.1111/evo.14410</v>
      </c>
      <c r="BN385" s="1" t="s">
        <v>82</v>
      </c>
      <c r="BO385" s="1" t="s">
        <v>315</v>
      </c>
      <c r="BP385" s="1">
        <v>11</v>
      </c>
      <c r="BQ385" s="1" t="s">
        <v>7568</v>
      </c>
      <c r="BR385" s="1" t="s">
        <v>104</v>
      </c>
      <c r="BS385" s="1" t="s">
        <v>7569</v>
      </c>
      <c r="BT385" s="1" t="s">
        <v>7570</v>
      </c>
      <c r="BU385" s="1">
        <v>34878663</v>
      </c>
      <c r="BV385" s="1" t="s">
        <v>227</v>
      </c>
      <c r="BW385" s="1" t="s">
        <v>82</v>
      </c>
      <c r="BX385" s="1" t="s">
        <v>82</v>
      </c>
      <c r="BY385" s="1" t="s">
        <v>108</v>
      </c>
      <c r="BZ385" s="1" t="s">
        <v>7571</v>
      </c>
      <c r="CA385" s="1" t="str">
        <f>HYPERLINK("https%3A%2F%2Fwww.webofscience.com%2Fwos%2Fwoscc%2Ffull-record%2FWOS:000740055600001","View Full Record in Web of Science")</f>
        <v>View Full Record in Web of Science</v>
      </c>
    </row>
    <row r="386" s="1" customFormat="1" ht="14.4" spans="1:79">
      <c r="A386">
        <v>385</v>
      </c>
      <c r="B386" s="2" t="s">
        <v>79</v>
      </c>
      <c r="C386" s="1" t="s">
        <v>80</v>
      </c>
      <c r="D386" s="1" t="s">
        <v>7572</v>
      </c>
      <c r="E386" s="1" t="s">
        <v>82</v>
      </c>
      <c r="F386" s="1" t="s">
        <v>82</v>
      </c>
      <c r="G386" s="1" t="s">
        <v>82</v>
      </c>
      <c r="H386" s="1" t="s">
        <v>7573</v>
      </c>
      <c r="I386" s="1" t="s">
        <v>82</v>
      </c>
      <c r="J386" s="1" t="s">
        <v>82</v>
      </c>
      <c r="K386" s="1" t="s">
        <v>7574</v>
      </c>
      <c r="L386" s="1" t="s">
        <v>7575</v>
      </c>
      <c r="M386" s="1">
        <v>4.141</v>
      </c>
      <c r="O386" s="1" t="s">
        <v>82</v>
      </c>
      <c r="P386" s="1" t="s">
        <v>82</v>
      </c>
      <c r="Q386" s="1" t="s">
        <v>87</v>
      </c>
      <c r="R386" s="1" t="s">
        <v>115</v>
      </c>
      <c r="S386" s="1" t="s">
        <v>82</v>
      </c>
      <c r="T386" s="1" t="s">
        <v>82</v>
      </c>
      <c r="U386" s="1" t="s">
        <v>82</v>
      </c>
      <c r="V386" s="1" t="s">
        <v>82</v>
      </c>
      <c r="W386" s="1" t="s">
        <v>82</v>
      </c>
      <c r="X386" s="1" t="s">
        <v>7576</v>
      </c>
      <c r="Y386" s="1" t="s">
        <v>7577</v>
      </c>
      <c r="Z386" s="1" t="s">
        <v>7578</v>
      </c>
      <c r="AB386" s="1" t="s">
        <v>7579</v>
      </c>
      <c r="AC386" s="1" t="s">
        <v>7580</v>
      </c>
      <c r="AD386" s="1" t="s">
        <v>120</v>
      </c>
      <c r="AE386" s="1" t="s">
        <v>7581</v>
      </c>
      <c r="AF386" s="1" t="s">
        <v>7582</v>
      </c>
      <c r="AG386" s="1" t="s">
        <v>7583</v>
      </c>
      <c r="AH386" s="1" t="s">
        <v>82</v>
      </c>
      <c r="AI386" s="1" t="s">
        <v>7584</v>
      </c>
      <c r="AJ386" s="1" t="s">
        <v>7585</v>
      </c>
      <c r="AK386" s="1" t="s">
        <v>7586</v>
      </c>
      <c r="AL386" s="1" t="s">
        <v>7587</v>
      </c>
      <c r="AM386" s="1" t="s">
        <v>82</v>
      </c>
      <c r="AN386" s="1">
        <v>75</v>
      </c>
      <c r="AO386" s="1">
        <v>0</v>
      </c>
      <c r="AP386" s="1">
        <v>0</v>
      </c>
      <c r="AQ386" s="1">
        <v>6</v>
      </c>
      <c r="AR386" s="1">
        <v>6</v>
      </c>
      <c r="AS386" s="1" t="s">
        <v>2117</v>
      </c>
      <c r="AT386" s="1" t="s">
        <v>2118</v>
      </c>
      <c r="AU386" s="1" t="s">
        <v>2119</v>
      </c>
      <c r="AV386" s="1" t="s">
        <v>82</v>
      </c>
      <c r="AW386" s="1" t="s">
        <v>7588</v>
      </c>
      <c r="AX386" s="1" t="s">
        <v>82</v>
      </c>
      <c r="AY386" s="1" t="s">
        <v>7589</v>
      </c>
      <c r="AZ386" s="1" t="s">
        <v>7590</v>
      </c>
      <c r="BA386" s="1" t="s">
        <v>486</v>
      </c>
      <c r="BB386" s="1">
        <v>2022</v>
      </c>
      <c r="BC386" s="1">
        <v>13</v>
      </c>
      <c r="BD386" s="1">
        <v>11</v>
      </c>
      <c r="BE386" s="1" t="s">
        <v>82</v>
      </c>
      <c r="BF386" s="1" t="s">
        <v>82</v>
      </c>
      <c r="BG386" s="1" t="s">
        <v>82</v>
      </c>
      <c r="BH386" s="1" t="s">
        <v>82</v>
      </c>
      <c r="BI386" s="1" t="s">
        <v>82</v>
      </c>
      <c r="BJ386" s="1" t="s">
        <v>82</v>
      </c>
      <c r="BK386" s="1">
        <v>2043</v>
      </c>
      <c r="BL386" s="1" t="s">
        <v>7591</v>
      </c>
      <c r="BM386" s="1" t="str">
        <f>HYPERLINK("http://dx.doi.org/10.3390/genes13112043","http://dx.doi.org/10.3390/genes13112043")</f>
        <v>http://dx.doi.org/10.3390/genes13112043</v>
      </c>
      <c r="BN386" s="1" t="s">
        <v>82</v>
      </c>
      <c r="BO386" s="1" t="s">
        <v>82</v>
      </c>
      <c r="BP386" s="1">
        <v>15</v>
      </c>
      <c r="BQ386" s="1" t="s">
        <v>7013</v>
      </c>
      <c r="BR386" s="1" t="s">
        <v>104</v>
      </c>
      <c r="BS386" s="1" t="s">
        <v>7013</v>
      </c>
      <c r="BT386" s="1" t="s">
        <v>7592</v>
      </c>
      <c r="BU386" s="1">
        <v>36360280</v>
      </c>
      <c r="BV386" s="1" t="s">
        <v>592</v>
      </c>
      <c r="BW386" s="1" t="s">
        <v>82</v>
      </c>
      <c r="BX386" s="1" t="s">
        <v>82</v>
      </c>
      <c r="BY386" s="1" t="s">
        <v>108</v>
      </c>
      <c r="BZ386" s="1" t="s">
        <v>7593</v>
      </c>
      <c r="CA386" s="1" t="str">
        <f>HYPERLINK("https%3A%2F%2Fwww.webofscience.com%2Fwos%2Fwoscc%2Ffull-record%2FWOS:000883970700001","View Full Record in Web of Science")</f>
        <v>View Full Record in Web of Science</v>
      </c>
    </row>
    <row r="387" s="1" customFormat="1" ht="14.4" spans="1:79">
      <c r="A387">
        <v>386</v>
      </c>
      <c r="B387" s="2" t="s">
        <v>79</v>
      </c>
      <c r="C387" s="1" t="s">
        <v>80</v>
      </c>
      <c r="D387" s="1" t="s">
        <v>7594</v>
      </c>
      <c r="E387" s="1" t="s">
        <v>82</v>
      </c>
      <c r="F387" s="1" t="s">
        <v>82</v>
      </c>
      <c r="G387" s="1" t="s">
        <v>82</v>
      </c>
      <c r="H387" s="1" t="s">
        <v>7595</v>
      </c>
      <c r="I387" s="1" t="s">
        <v>82</v>
      </c>
      <c r="J387" s="1" t="s">
        <v>82</v>
      </c>
      <c r="K387" s="1" t="s">
        <v>7596</v>
      </c>
      <c r="L387" s="1" t="s">
        <v>7575</v>
      </c>
      <c r="M387" s="1">
        <v>4.141</v>
      </c>
      <c r="O387" s="1" t="s">
        <v>82</v>
      </c>
      <c r="P387" s="1" t="s">
        <v>82</v>
      </c>
      <c r="Q387" s="1" t="s">
        <v>87</v>
      </c>
      <c r="R387" s="1" t="s">
        <v>115</v>
      </c>
      <c r="S387" s="1" t="s">
        <v>82</v>
      </c>
      <c r="T387" s="1" t="s">
        <v>82</v>
      </c>
      <c r="U387" s="1" t="s">
        <v>82</v>
      </c>
      <c r="V387" s="1" t="s">
        <v>82</v>
      </c>
      <c r="W387" s="1" t="s">
        <v>82</v>
      </c>
      <c r="X387" s="1" t="s">
        <v>7597</v>
      </c>
      <c r="Y387" s="1" t="s">
        <v>7598</v>
      </c>
      <c r="Z387" s="1" t="s">
        <v>7599</v>
      </c>
      <c r="AB387" s="1" t="s">
        <v>3446</v>
      </c>
      <c r="AC387" s="1" t="s">
        <v>7600</v>
      </c>
      <c r="AD387" s="1" t="s">
        <v>206</v>
      </c>
      <c r="AE387" s="1" t="s">
        <v>7601</v>
      </c>
      <c r="AF387" s="1" t="s">
        <v>7602</v>
      </c>
      <c r="AG387" s="1" t="s">
        <v>7603</v>
      </c>
      <c r="AH387" s="1" t="s">
        <v>7604</v>
      </c>
      <c r="AI387" s="1" t="s">
        <v>7605</v>
      </c>
      <c r="AJ387" s="1" t="s">
        <v>7606</v>
      </c>
      <c r="AK387" s="1" t="s">
        <v>3453</v>
      </c>
      <c r="AL387" s="1" t="s">
        <v>7607</v>
      </c>
      <c r="AM387" s="1" t="s">
        <v>82</v>
      </c>
      <c r="AN387" s="1">
        <v>79</v>
      </c>
      <c r="AO387" s="1">
        <v>2</v>
      </c>
      <c r="AP387" s="1">
        <v>2</v>
      </c>
      <c r="AQ387" s="1">
        <v>10</v>
      </c>
      <c r="AR387" s="1">
        <v>10</v>
      </c>
      <c r="AS387" s="1" t="s">
        <v>2117</v>
      </c>
      <c r="AT387" s="1" t="s">
        <v>2118</v>
      </c>
      <c r="AU387" s="1" t="s">
        <v>2119</v>
      </c>
      <c r="AV387" s="1" t="s">
        <v>82</v>
      </c>
      <c r="AW387" s="1" t="s">
        <v>7588</v>
      </c>
      <c r="AX387" s="1" t="s">
        <v>82</v>
      </c>
      <c r="AY387" s="1" t="s">
        <v>7589</v>
      </c>
      <c r="AZ387" s="1" t="s">
        <v>7590</v>
      </c>
      <c r="BA387" s="1" t="s">
        <v>222</v>
      </c>
      <c r="BB387" s="1">
        <v>2022</v>
      </c>
      <c r="BC387" s="1">
        <v>13</v>
      </c>
      <c r="BD387" s="1">
        <v>9</v>
      </c>
      <c r="BE387" s="1" t="s">
        <v>82</v>
      </c>
      <c r="BF387" s="1" t="s">
        <v>82</v>
      </c>
      <c r="BG387" s="1" t="s">
        <v>82</v>
      </c>
      <c r="BH387" s="1" t="s">
        <v>82</v>
      </c>
      <c r="BI387" s="1" t="s">
        <v>82</v>
      </c>
      <c r="BJ387" s="1" t="s">
        <v>82</v>
      </c>
      <c r="BK387" s="1">
        <v>1550</v>
      </c>
      <c r="BL387" s="1" t="s">
        <v>7608</v>
      </c>
      <c r="BM387" s="1" t="str">
        <f>HYPERLINK("http://dx.doi.org/10.3390/genes13091550","http://dx.doi.org/10.3390/genes13091550")</f>
        <v>http://dx.doi.org/10.3390/genes13091550</v>
      </c>
      <c r="BN387" s="1" t="s">
        <v>82</v>
      </c>
      <c r="BO387" s="1" t="s">
        <v>82</v>
      </c>
      <c r="BP387" s="1">
        <v>18</v>
      </c>
      <c r="BQ387" s="1" t="s">
        <v>7013</v>
      </c>
      <c r="BR387" s="1" t="s">
        <v>104</v>
      </c>
      <c r="BS387" s="1" t="s">
        <v>7013</v>
      </c>
      <c r="BT387" s="1" t="s">
        <v>7609</v>
      </c>
      <c r="BU387" s="1">
        <v>36140718</v>
      </c>
      <c r="BV387" s="1" t="s">
        <v>635</v>
      </c>
      <c r="BW387" s="1" t="s">
        <v>82</v>
      </c>
      <c r="BX387" s="1" t="s">
        <v>82</v>
      </c>
      <c r="BY387" s="1" t="s">
        <v>108</v>
      </c>
      <c r="BZ387" s="1" t="s">
        <v>7610</v>
      </c>
      <c r="CA387" s="1" t="str">
        <f>HYPERLINK("https%3A%2F%2Fwww.webofscience.com%2Fwos%2Fwoscc%2Ffull-record%2FWOS:000858240700001","View Full Record in Web of Science")</f>
        <v>View Full Record in Web of Science</v>
      </c>
    </row>
    <row r="388" s="1" customFormat="1" ht="14.4" spans="1:79">
      <c r="A388">
        <v>387</v>
      </c>
      <c r="B388" s="2" t="s">
        <v>79</v>
      </c>
      <c r="C388" s="1" t="s">
        <v>80</v>
      </c>
      <c r="D388" s="1" t="s">
        <v>7611</v>
      </c>
      <c r="E388" s="1" t="s">
        <v>82</v>
      </c>
      <c r="F388" s="1" t="s">
        <v>82</v>
      </c>
      <c r="G388" s="1" t="s">
        <v>82</v>
      </c>
      <c r="H388" s="1" t="s">
        <v>7612</v>
      </c>
      <c r="I388" s="1" t="s">
        <v>82</v>
      </c>
      <c r="J388" s="1" t="s">
        <v>82</v>
      </c>
      <c r="K388" s="1" t="s">
        <v>7613</v>
      </c>
      <c r="L388" s="1" t="s">
        <v>7575</v>
      </c>
      <c r="M388" s="1">
        <v>4.141</v>
      </c>
      <c r="O388" s="1" t="s">
        <v>82</v>
      </c>
      <c r="P388" s="1" t="s">
        <v>82</v>
      </c>
      <c r="Q388" s="1" t="s">
        <v>87</v>
      </c>
      <c r="R388" s="1" t="s">
        <v>115</v>
      </c>
      <c r="S388" s="1" t="s">
        <v>82</v>
      </c>
      <c r="T388" s="1" t="s">
        <v>82</v>
      </c>
      <c r="U388" s="1" t="s">
        <v>82</v>
      </c>
      <c r="V388" s="1" t="s">
        <v>82</v>
      </c>
      <c r="W388" s="1" t="s">
        <v>82</v>
      </c>
      <c r="X388" s="1" t="s">
        <v>7614</v>
      </c>
      <c r="Y388" s="1" t="s">
        <v>7615</v>
      </c>
      <c r="Z388" s="1" t="s">
        <v>7616</v>
      </c>
      <c r="AB388" s="1" t="s">
        <v>7617</v>
      </c>
      <c r="AC388" s="1" t="s">
        <v>7618</v>
      </c>
      <c r="AD388" s="1" t="s">
        <v>206</v>
      </c>
      <c r="AE388" s="1" t="s">
        <v>4054</v>
      </c>
      <c r="AF388" s="1" t="s">
        <v>4055</v>
      </c>
      <c r="AG388" s="1" t="s">
        <v>7619</v>
      </c>
      <c r="AH388" s="1" t="s">
        <v>7620</v>
      </c>
      <c r="AI388" s="1" t="s">
        <v>4058</v>
      </c>
      <c r="AJ388" s="1" t="s">
        <v>7621</v>
      </c>
      <c r="AK388" s="1" t="s">
        <v>7622</v>
      </c>
      <c r="AL388" s="1" t="s">
        <v>7623</v>
      </c>
      <c r="AM388" s="1" t="s">
        <v>82</v>
      </c>
      <c r="AN388" s="1">
        <v>51</v>
      </c>
      <c r="AO388" s="1">
        <v>1</v>
      </c>
      <c r="AP388" s="1">
        <v>1</v>
      </c>
      <c r="AQ388" s="1">
        <v>14</v>
      </c>
      <c r="AR388" s="1">
        <v>14</v>
      </c>
      <c r="AS388" s="1" t="s">
        <v>2117</v>
      </c>
      <c r="AT388" s="1" t="s">
        <v>2118</v>
      </c>
      <c r="AU388" s="1" t="s">
        <v>2119</v>
      </c>
      <c r="AV388" s="1" t="s">
        <v>82</v>
      </c>
      <c r="AW388" s="1" t="s">
        <v>7588</v>
      </c>
      <c r="AX388" s="1" t="s">
        <v>82</v>
      </c>
      <c r="AY388" s="1" t="s">
        <v>7589</v>
      </c>
      <c r="AZ388" s="1" t="s">
        <v>7590</v>
      </c>
      <c r="BA388" s="1" t="s">
        <v>2521</v>
      </c>
      <c r="BB388" s="1">
        <v>2022</v>
      </c>
      <c r="BC388" s="1">
        <v>13</v>
      </c>
      <c r="BD388" s="1">
        <v>8</v>
      </c>
      <c r="BE388" s="1" t="s">
        <v>82</v>
      </c>
      <c r="BF388" s="1" t="s">
        <v>82</v>
      </c>
      <c r="BG388" s="1" t="s">
        <v>82</v>
      </c>
      <c r="BH388" s="1" t="s">
        <v>82</v>
      </c>
      <c r="BI388" s="1" t="s">
        <v>82</v>
      </c>
      <c r="BJ388" s="1" t="s">
        <v>82</v>
      </c>
      <c r="BK388" s="1">
        <v>1481</v>
      </c>
      <c r="BL388" s="1" t="s">
        <v>7624</v>
      </c>
      <c r="BM388" s="1" t="str">
        <f>HYPERLINK("http://dx.doi.org/10.3390/genes13081481","http://dx.doi.org/10.3390/genes13081481")</f>
        <v>http://dx.doi.org/10.3390/genes13081481</v>
      </c>
      <c r="BN388" s="1" t="s">
        <v>82</v>
      </c>
      <c r="BO388" s="1" t="s">
        <v>82</v>
      </c>
      <c r="BP388" s="1">
        <v>13</v>
      </c>
      <c r="BQ388" s="1" t="s">
        <v>7013</v>
      </c>
      <c r="BR388" s="1" t="s">
        <v>104</v>
      </c>
      <c r="BS388" s="1" t="s">
        <v>7013</v>
      </c>
      <c r="BT388" s="1" t="s">
        <v>7625</v>
      </c>
      <c r="BU388" s="1">
        <v>36011392</v>
      </c>
      <c r="BV388" s="1" t="s">
        <v>635</v>
      </c>
      <c r="BW388" s="1" t="s">
        <v>82</v>
      </c>
      <c r="BX388" s="1" t="s">
        <v>82</v>
      </c>
      <c r="BY388" s="1" t="s">
        <v>108</v>
      </c>
      <c r="BZ388" s="1" t="s">
        <v>7626</v>
      </c>
      <c r="CA388" s="1" t="str">
        <f>HYPERLINK("https%3A%2F%2Fwww.webofscience.com%2Fwos%2Fwoscc%2Ffull-record%2FWOS:000845869800001","View Full Record in Web of Science")</f>
        <v>View Full Record in Web of Science</v>
      </c>
    </row>
    <row r="389" s="1" customFormat="1" ht="14.4" spans="1:79">
      <c r="A389">
        <v>388</v>
      </c>
      <c r="B389" s="2" t="s">
        <v>79</v>
      </c>
      <c r="C389" s="1" t="s">
        <v>80</v>
      </c>
      <c r="D389" s="1" t="s">
        <v>7627</v>
      </c>
      <c r="E389" s="1" t="s">
        <v>82</v>
      </c>
      <c r="F389" s="1" t="s">
        <v>82</v>
      </c>
      <c r="G389" s="1" t="s">
        <v>82</v>
      </c>
      <c r="H389" s="1" t="s">
        <v>7628</v>
      </c>
      <c r="I389" s="1" t="s">
        <v>82</v>
      </c>
      <c r="J389" s="1" t="s">
        <v>82</v>
      </c>
      <c r="K389" s="1" t="s">
        <v>7629</v>
      </c>
      <c r="L389" s="1" t="s">
        <v>7575</v>
      </c>
      <c r="M389" s="1">
        <v>4.141</v>
      </c>
      <c r="O389" s="1" t="s">
        <v>82</v>
      </c>
      <c r="P389" s="1" t="s">
        <v>82</v>
      </c>
      <c r="Q389" s="1" t="s">
        <v>87</v>
      </c>
      <c r="R389" s="1" t="s">
        <v>115</v>
      </c>
      <c r="S389" s="1" t="s">
        <v>82</v>
      </c>
      <c r="T389" s="1" t="s">
        <v>82</v>
      </c>
      <c r="U389" s="1" t="s">
        <v>82</v>
      </c>
      <c r="V389" s="1" t="s">
        <v>82</v>
      </c>
      <c r="W389" s="1" t="s">
        <v>82</v>
      </c>
      <c r="X389" s="1" t="s">
        <v>7630</v>
      </c>
      <c r="Y389" s="1" t="s">
        <v>7631</v>
      </c>
      <c r="Z389" s="1" t="s">
        <v>7632</v>
      </c>
      <c r="AB389" s="1" t="s">
        <v>7633</v>
      </c>
      <c r="AC389" s="1" t="s">
        <v>7634</v>
      </c>
      <c r="AD389" s="1" t="s">
        <v>120</v>
      </c>
      <c r="AE389" s="1" t="s">
        <v>4752</v>
      </c>
      <c r="AF389" s="1" t="s">
        <v>7635</v>
      </c>
      <c r="AG389" s="1" t="s">
        <v>7636</v>
      </c>
      <c r="AH389" s="1" t="s">
        <v>82</v>
      </c>
      <c r="AI389" s="1" t="s">
        <v>82</v>
      </c>
      <c r="AJ389" s="1" t="s">
        <v>7637</v>
      </c>
      <c r="AK389" s="1" t="s">
        <v>442</v>
      </c>
      <c r="AL389" s="1" t="s">
        <v>7638</v>
      </c>
      <c r="AM389" s="1" t="s">
        <v>82</v>
      </c>
      <c r="AN389" s="1">
        <v>64</v>
      </c>
      <c r="AO389" s="1">
        <v>1</v>
      </c>
      <c r="AP389" s="1">
        <v>1</v>
      </c>
      <c r="AQ389" s="1">
        <v>8</v>
      </c>
      <c r="AR389" s="1">
        <v>11</v>
      </c>
      <c r="AS389" s="1" t="s">
        <v>2117</v>
      </c>
      <c r="AT389" s="1" t="s">
        <v>2118</v>
      </c>
      <c r="AU389" s="1" t="s">
        <v>2119</v>
      </c>
      <c r="AV389" s="1" t="s">
        <v>82</v>
      </c>
      <c r="AW389" s="1" t="s">
        <v>7588</v>
      </c>
      <c r="AX389" s="1" t="s">
        <v>82</v>
      </c>
      <c r="AY389" s="1" t="s">
        <v>7589</v>
      </c>
      <c r="AZ389" s="1" t="s">
        <v>7590</v>
      </c>
      <c r="BA389" s="1" t="s">
        <v>245</v>
      </c>
      <c r="BB389" s="1">
        <v>2022</v>
      </c>
      <c r="BC389" s="1">
        <v>13</v>
      </c>
      <c r="BD389" s="1">
        <v>5</v>
      </c>
      <c r="BE389" s="1" t="s">
        <v>82</v>
      </c>
      <c r="BF389" s="1" t="s">
        <v>82</v>
      </c>
      <c r="BG389" s="1" t="s">
        <v>82</v>
      </c>
      <c r="BH389" s="1" t="s">
        <v>82</v>
      </c>
      <c r="BI389" s="1" t="s">
        <v>82</v>
      </c>
      <c r="BJ389" s="1" t="s">
        <v>82</v>
      </c>
      <c r="BK389" s="1">
        <v>795</v>
      </c>
      <c r="BL389" s="1" t="s">
        <v>7639</v>
      </c>
      <c r="BM389" s="1" t="str">
        <f>HYPERLINK("http://dx.doi.org/10.3390/genes13050795","http://dx.doi.org/10.3390/genes13050795")</f>
        <v>http://dx.doi.org/10.3390/genes13050795</v>
      </c>
      <c r="BN389" s="1" t="s">
        <v>82</v>
      </c>
      <c r="BO389" s="1" t="s">
        <v>82</v>
      </c>
      <c r="BP389" s="1">
        <v>21</v>
      </c>
      <c r="BQ389" s="1" t="s">
        <v>7013</v>
      </c>
      <c r="BR389" s="1" t="s">
        <v>104</v>
      </c>
      <c r="BS389" s="1" t="s">
        <v>7013</v>
      </c>
      <c r="BT389" s="1" t="s">
        <v>7640</v>
      </c>
      <c r="BU389" s="1">
        <v>35627180</v>
      </c>
      <c r="BV389" s="1" t="s">
        <v>592</v>
      </c>
      <c r="BW389" s="1" t="s">
        <v>82</v>
      </c>
      <c r="BX389" s="1" t="s">
        <v>82</v>
      </c>
      <c r="BY389" s="1" t="s">
        <v>108</v>
      </c>
      <c r="BZ389" s="1" t="s">
        <v>7641</v>
      </c>
      <c r="CA389" s="1" t="str">
        <f>HYPERLINK("https%3A%2F%2Fwww.webofscience.com%2Fwos%2Fwoscc%2Ffull-record%2FWOS:000802386200001","View Full Record in Web of Science")</f>
        <v>View Full Record in Web of Science</v>
      </c>
    </row>
    <row r="390" s="1" customFormat="1" ht="14.4" spans="1:79">
      <c r="A390">
        <v>389</v>
      </c>
      <c r="B390" s="2" t="s">
        <v>79</v>
      </c>
      <c r="C390" s="1" t="s">
        <v>80</v>
      </c>
      <c r="D390" s="1" t="s">
        <v>7642</v>
      </c>
      <c r="E390" s="1" t="s">
        <v>82</v>
      </c>
      <c r="F390" s="1" t="s">
        <v>82</v>
      </c>
      <c r="G390" s="1" t="s">
        <v>82</v>
      </c>
      <c r="H390" s="1" t="s">
        <v>7643</v>
      </c>
      <c r="I390" s="1" t="s">
        <v>82</v>
      </c>
      <c r="J390" s="1" t="s">
        <v>82</v>
      </c>
      <c r="K390" s="1" t="s">
        <v>7644</v>
      </c>
      <c r="L390" s="1" t="s">
        <v>7575</v>
      </c>
      <c r="M390" s="1">
        <v>4.141</v>
      </c>
      <c r="O390" s="1" t="s">
        <v>82</v>
      </c>
      <c r="P390" s="1" t="s">
        <v>82</v>
      </c>
      <c r="Q390" s="1" t="s">
        <v>87</v>
      </c>
      <c r="R390" s="1" t="s">
        <v>115</v>
      </c>
      <c r="S390" s="1" t="s">
        <v>82</v>
      </c>
      <c r="T390" s="1" t="s">
        <v>82</v>
      </c>
      <c r="U390" s="1" t="s">
        <v>82</v>
      </c>
      <c r="V390" s="1" t="s">
        <v>82</v>
      </c>
      <c r="W390" s="1" t="s">
        <v>82</v>
      </c>
      <c r="X390" s="1" t="s">
        <v>7645</v>
      </c>
      <c r="Y390" s="1" t="s">
        <v>7646</v>
      </c>
      <c r="Z390" s="1" t="s">
        <v>7647</v>
      </c>
      <c r="AB390" s="1" t="s">
        <v>3446</v>
      </c>
      <c r="AC390" s="1" t="s">
        <v>7648</v>
      </c>
      <c r="AD390" s="1" t="s">
        <v>206</v>
      </c>
      <c r="AE390" s="1" t="s">
        <v>7649</v>
      </c>
      <c r="AF390" s="1" t="s">
        <v>7650</v>
      </c>
      <c r="AG390" s="1" t="s">
        <v>7651</v>
      </c>
      <c r="AH390" s="1" t="s">
        <v>82</v>
      </c>
      <c r="AI390" s="1" t="s">
        <v>7652</v>
      </c>
      <c r="AJ390" s="1" t="s">
        <v>7606</v>
      </c>
      <c r="AK390" s="1" t="s">
        <v>3453</v>
      </c>
      <c r="AL390" s="1" t="s">
        <v>7607</v>
      </c>
      <c r="AM390" s="1" t="s">
        <v>82</v>
      </c>
      <c r="AN390" s="1">
        <v>91</v>
      </c>
      <c r="AO390" s="1">
        <v>7</v>
      </c>
      <c r="AP390" s="1">
        <v>7</v>
      </c>
      <c r="AQ390" s="1">
        <v>11</v>
      </c>
      <c r="AR390" s="1">
        <v>15</v>
      </c>
      <c r="AS390" s="1" t="s">
        <v>2117</v>
      </c>
      <c r="AT390" s="1" t="s">
        <v>2118</v>
      </c>
      <c r="AU390" s="1" t="s">
        <v>2119</v>
      </c>
      <c r="AV390" s="1" t="s">
        <v>82</v>
      </c>
      <c r="AW390" s="1" t="s">
        <v>7588</v>
      </c>
      <c r="AX390" s="1" t="s">
        <v>82</v>
      </c>
      <c r="AY390" s="1" t="s">
        <v>7589</v>
      </c>
      <c r="AZ390" s="1" t="s">
        <v>7590</v>
      </c>
      <c r="BA390" s="1" t="s">
        <v>2145</v>
      </c>
      <c r="BB390" s="1">
        <v>2022</v>
      </c>
      <c r="BC390" s="1">
        <v>13</v>
      </c>
      <c r="BD390" s="1">
        <v>3</v>
      </c>
      <c r="BE390" s="1" t="s">
        <v>82</v>
      </c>
      <c r="BF390" s="1" t="s">
        <v>82</v>
      </c>
      <c r="BG390" s="1" t="s">
        <v>82</v>
      </c>
      <c r="BH390" s="1" t="s">
        <v>82</v>
      </c>
      <c r="BI390" s="1" t="s">
        <v>82</v>
      </c>
      <c r="BJ390" s="1" t="s">
        <v>82</v>
      </c>
      <c r="BK390" s="1">
        <v>461</v>
      </c>
      <c r="BL390" s="1" t="s">
        <v>7653</v>
      </c>
      <c r="BM390" s="1" t="str">
        <f>HYPERLINK("http://dx.doi.org/10.3390/genes13030461","http://dx.doi.org/10.3390/genes13030461")</f>
        <v>http://dx.doi.org/10.3390/genes13030461</v>
      </c>
      <c r="BN390" s="1" t="s">
        <v>82</v>
      </c>
      <c r="BO390" s="1" t="s">
        <v>82</v>
      </c>
      <c r="BP390" s="1">
        <v>18</v>
      </c>
      <c r="BQ390" s="1" t="s">
        <v>7013</v>
      </c>
      <c r="BR390" s="1" t="s">
        <v>104</v>
      </c>
      <c r="BS390" s="1" t="s">
        <v>7013</v>
      </c>
      <c r="BT390" s="1" t="s">
        <v>7654</v>
      </c>
      <c r="BU390" s="1">
        <v>35328015</v>
      </c>
      <c r="BV390" s="1" t="s">
        <v>592</v>
      </c>
      <c r="BW390" s="1" t="s">
        <v>82</v>
      </c>
      <c r="BX390" s="1" t="s">
        <v>82</v>
      </c>
      <c r="BY390" s="1" t="s">
        <v>108</v>
      </c>
      <c r="BZ390" s="1" t="s">
        <v>7655</v>
      </c>
      <c r="CA390" s="1" t="str">
        <f>HYPERLINK("https%3A%2F%2Fwww.webofscience.com%2Fwos%2Fwoscc%2Ffull-record%2FWOS:000775289300001","View Full Record in Web of Science")</f>
        <v>View Full Record in Web of Science</v>
      </c>
    </row>
    <row r="391" s="1" customFormat="1" ht="14.4" spans="1:79">
      <c r="A391">
        <v>390</v>
      </c>
      <c r="B391" s="2" t="s">
        <v>79</v>
      </c>
      <c r="C391" s="1" t="s">
        <v>80</v>
      </c>
      <c r="D391" s="1" t="s">
        <v>7656</v>
      </c>
      <c r="E391" s="1" t="s">
        <v>82</v>
      </c>
      <c r="F391" s="1" t="s">
        <v>82</v>
      </c>
      <c r="G391" s="1" t="s">
        <v>82</v>
      </c>
      <c r="H391" s="1" t="s">
        <v>7657</v>
      </c>
      <c r="I391" s="1" t="s">
        <v>82</v>
      </c>
      <c r="J391" s="1" t="s">
        <v>82</v>
      </c>
      <c r="K391" s="1" t="s">
        <v>7658</v>
      </c>
      <c r="L391" s="1" t="s">
        <v>7575</v>
      </c>
      <c r="M391" s="1">
        <v>4.141</v>
      </c>
      <c r="O391" s="1" t="s">
        <v>82</v>
      </c>
      <c r="P391" s="1" t="s">
        <v>82</v>
      </c>
      <c r="Q391" s="1" t="s">
        <v>87</v>
      </c>
      <c r="R391" s="1" t="s">
        <v>115</v>
      </c>
      <c r="S391" s="1" t="s">
        <v>82</v>
      </c>
      <c r="T391" s="1" t="s">
        <v>82</v>
      </c>
      <c r="U391" s="1" t="s">
        <v>82</v>
      </c>
      <c r="V391" s="1" t="s">
        <v>82</v>
      </c>
      <c r="W391" s="1" t="s">
        <v>82</v>
      </c>
      <c r="X391" s="1" t="s">
        <v>7659</v>
      </c>
      <c r="Y391" s="1" t="s">
        <v>7660</v>
      </c>
      <c r="Z391" s="1" t="s">
        <v>7661</v>
      </c>
      <c r="AA391" s="1">
        <v>1</v>
      </c>
      <c r="AB391" s="1" t="s">
        <v>7662</v>
      </c>
      <c r="AC391" s="1" t="s">
        <v>7663</v>
      </c>
      <c r="AD391" s="1" t="s">
        <v>93</v>
      </c>
      <c r="AE391" s="1" t="s">
        <v>1959</v>
      </c>
      <c r="AF391" s="1" t="s">
        <v>7664</v>
      </c>
      <c r="AG391" s="1" t="s">
        <v>7665</v>
      </c>
      <c r="AH391" s="1" t="s">
        <v>82</v>
      </c>
      <c r="AI391" s="1" t="s">
        <v>7666</v>
      </c>
      <c r="AJ391" s="1" t="s">
        <v>82</v>
      </c>
      <c r="AK391" s="1" t="s">
        <v>82</v>
      </c>
      <c r="AL391" s="1" t="s">
        <v>82</v>
      </c>
      <c r="AM391" s="1" t="s">
        <v>82</v>
      </c>
      <c r="AN391" s="1">
        <v>68</v>
      </c>
      <c r="AO391" s="1">
        <v>1</v>
      </c>
      <c r="AP391" s="1">
        <v>2</v>
      </c>
      <c r="AQ391" s="1">
        <v>5</v>
      </c>
      <c r="AR391" s="1">
        <v>11</v>
      </c>
      <c r="AS391" s="1" t="s">
        <v>2117</v>
      </c>
      <c r="AT391" s="1" t="s">
        <v>2118</v>
      </c>
      <c r="AU391" s="1" t="s">
        <v>2119</v>
      </c>
      <c r="AV391" s="1" t="s">
        <v>82</v>
      </c>
      <c r="AW391" s="1" t="s">
        <v>7588</v>
      </c>
      <c r="AX391" s="1" t="s">
        <v>82</v>
      </c>
      <c r="AY391" s="1" t="s">
        <v>7589</v>
      </c>
      <c r="AZ391" s="1" t="s">
        <v>7590</v>
      </c>
      <c r="BA391" s="1" t="s">
        <v>1826</v>
      </c>
      <c r="BB391" s="1">
        <v>2022</v>
      </c>
      <c r="BC391" s="1">
        <v>13</v>
      </c>
      <c r="BD391" s="1">
        <v>1</v>
      </c>
      <c r="BE391" s="1" t="s">
        <v>82</v>
      </c>
      <c r="BF391" s="1" t="s">
        <v>82</v>
      </c>
      <c r="BG391" s="1" t="s">
        <v>82</v>
      </c>
      <c r="BH391" s="1" t="s">
        <v>82</v>
      </c>
      <c r="BI391" s="1" t="s">
        <v>82</v>
      </c>
      <c r="BJ391" s="1" t="s">
        <v>82</v>
      </c>
      <c r="BK391" s="1">
        <v>145</v>
      </c>
      <c r="BL391" s="1" t="s">
        <v>7667</v>
      </c>
      <c r="BM391" s="1" t="str">
        <f>HYPERLINK("http://dx.doi.org/10.3390/genes13010145","http://dx.doi.org/10.3390/genes13010145")</f>
        <v>http://dx.doi.org/10.3390/genes13010145</v>
      </c>
      <c r="BN391" s="1" t="s">
        <v>82</v>
      </c>
      <c r="BO391" s="1" t="s">
        <v>82</v>
      </c>
      <c r="BP391" s="1">
        <v>10</v>
      </c>
      <c r="BQ391" s="1" t="s">
        <v>7013</v>
      </c>
      <c r="BR391" s="1" t="s">
        <v>104</v>
      </c>
      <c r="BS391" s="1" t="s">
        <v>7013</v>
      </c>
      <c r="BT391" s="1" t="s">
        <v>7668</v>
      </c>
      <c r="BU391" s="1">
        <v>35052485</v>
      </c>
      <c r="BV391" s="1" t="s">
        <v>592</v>
      </c>
      <c r="BW391" s="1" t="s">
        <v>82</v>
      </c>
      <c r="BX391" s="1" t="s">
        <v>82</v>
      </c>
      <c r="BY391" s="1" t="s">
        <v>108</v>
      </c>
      <c r="BZ391" s="1" t="s">
        <v>7669</v>
      </c>
      <c r="CA391" s="1" t="str">
        <f>HYPERLINK("https%3A%2F%2Fwww.webofscience.com%2Fwos%2Fwoscc%2Ffull-record%2FWOS:000757977300001","View Full Record in Web of Science")</f>
        <v>View Full Record in Web of Science</v>
      </c>
    </row>
    <row r="392" s="1" customFormat="1" ht="14.4" spans="1:79">
      <c r="A392">
        <v>391</v>
      </c>
      <c r="B392" s="2" t="s">
        <v>110</v>
      </c>
      <c r="C392" s="1" t="s">
        <v>80</v>
      </c>
      <c r="D392" s="1" t="s">
        <v>7670</v>
      </c>
      <c r="E392" s="1" t="s">
        <v>82</v>
      </c>
      <c r="F392" s="1" t="s">
        <v>82</v>
      </c>
      <c r="G392" s="1" t="s">
        <v>82</v>
      </c>
      <c r="H392" s="1" t="s">
        <v>7671</v>
      </c>
      <c r="I392" s="1" t="s">
        <v>82</v>
      </c>
      <c r="J392" s="1" t="s">
        <v>82</v>
      </c>
      <c r="K392" s="1" t="s">
        <v>7672</v>
      </c>
      <c r="L392" s="1" t="s">
        <v>7673</v>
      </c>
      <c r="M392" s="1">
        <v>4.125</v>
      </c>
      <c r="O392" s="1" t="s">
        <v>82</v>
      </c>
      <c r="P392" s="1" t="s">
        <v>82</v>
      </c>
      <c r="Q392" s="1" t="s">
        <v>87</v>
      </c>
      <c r="R392" s="1" t="s">
        <v>200</v>
      </c>
      <c r="S392" s="1" t="s">
        <v>82</v>
      </c>
      <c r="T392" s="1" t="s">
        <v>82</v>
      </c>
      <c r="U392" s="1" t="s">
        <v>82</v>
      </c>
      <c r="V392" s="1" t="s">
        <v>82</v>
      </c>
      <c r="W392" s="1" t="s">
        <v>82</v>
      </c>
      <c r="X392" s="1" t="s">
        <v>7674</v>
      </c>
      <c r="Y392" s="1" t="s">
        <v>7675</v>
      </c>
      <c r="Z392" s="1" t="s">
        <v>7676</v>
      </c>
      <c r="AB392" s="1" t="s">
        <v>7677</v>
      </c>
      <c r="AC392" s="1" t="s">
        <v>7678</v>
      </c>
      <c r="AD392" s="1" t="s">
        <v>206</v>
      </c>
      <c r="AE392" s="1" t="s">
        <v>7679</v>
      </c>
      <c r="AF392" s="1" t="s">
        <v>897</v>
      </c>
      <c r="AG392" s="1" t="s">
        <v>898</v>
      </c>
      <c r="AH392" s="1" t="s">
        <v>82</v>
      </c>
      <c r="AI392" s="1" t="s">
        <v>82</v>
      </c>
      <c r="AJ392" s="1" t="s">
        <v>7680</v>
      </c>
      <c r="AK392" s="1" t="s">
        <v>7681</v>
      </c>
      <c r="AL392" s="1" t="s">
        <v>7682</v>
      </c>
      <c r="AM392" s="1" t="s">
        <v>82</v>
      </c>
      <c r="AN392" s="1">
        <v>99</v>
      </c>
      <c r="AO392" s="1">
        <v>11</v>
      </c>
      <c r="AP392" s="1">
        <v>11</v>
      </c>
      <c r="AQ392" s="1">
        <v>30</v>
      </c>
      <c r="AR392" s="1">
        <v>61</v>
      </c>
      <c r="AS392" s="1" t="s">
        <v>1002</v>
      </c>
      <c r="AT392" s="1" t="s">
        <v>1003</v>
      </c>
      <c r="AU392" s="1" t="s">
        <v>1004</v>
      </c>
      <c r="AV392" s="1" t="s">
        <v>7683</v>
      </c>
      <c r="AW392" s="1" t="s">
        <v>7684</v>
      </c>
      <c r="AX392" s="1" t="s">
        <v>82</v>
      </c>
      <c r="AY392" s="1" t="s">
        <v>7685</v>
      </c>
      <c r="AZ392" s="1" t="s">
        <v>7686</v>
      </c>
      <c r="BA392" s="1" t="s">
        <v>2622</v>
      </c>
      <c r="BB392" s="1">
        <v>2022</v>
      </c>
      <c r="BC392" s="1">
        <v>102</v>
      </c>
      <c r="BD392" s="1">
        <v>4</v>
      </c>
      <c r="BE392" s="1" t="s">
        <v>82</v>
      </c>
      <c r="BF392" s="1" t="s">
        <v>82</v>
      </c>
      <c r="BG392" s="1" t="s">
        <v>82</v>
      </c>
      <c r="BH392" s="1" t="s">
        <v>82</v>
      </c>
      <c r="BI392" s="1">
        <v>1341</v>
      </c>
      <c r="BJ392" s="1">
        <v>1352</v>
      </c>
      <c r="BK392" s="1" t="s">
        <v>82</v>
      </c>
      <c r="BL392" s="1" t="s">
        <v>7687</v>
      </c>
      <c r="BM392" s="1" t="str">
        <f>HYPERLINK("http://dx.doi.org/10.1002/jsfa.11647","http://dx.doi.org/10.1002/jsfa.11647")</f>
        <v>http://dx.doi.org/10.1002/jsfa.11647</v>
      </c>
      <c r="BN392" s="1" t="s">
        <v>82</v>
      </c>
      <c r="BO392" s="1" t="s">
        <v>904</v>
      </c>
      <c r="BP392" s="1">
        <v>12</v>
      </c>
      <c r="BQ392" s="1" t="s">
        <v>4631</v>
      </c>
      <c r="BR392" s="1" t="s">
        <v>104</v>
      </c>
      <c r="BS392" s="1" t="s">
        <v>4632</v>
      </c>
      <c r="BT392" s="1" t="s">
        <v>7688</v>
      </c>
      <c r="BU392" s="1">
        <v>34778973</v>
      </c>
      <c r="BV392" s="1" t="s">
        <v>82</v>
      </c>
      <c r="BW392" s="1" t="s">
        <v>82</v>
      </c>
      <c r="BX392" s="1" t="s">
        <v>82</v>
      </c>
      <c r="BY392" s="1" t="s">
        <v>108</v>
      </c>
      <c r="BZ392" s="1" t="s">
        <v>7689</v>
      </c>
      <c r="CA392" s="1" t="str">
        <f>HYPERLINK("https%3A%2F%2Fwww.webofscience.com%2Fwos%2Fwoscc%2Ffull-record%2FWOS:000723369500001","View Full Record in Web of Science")</f>
        <v>View Full Record in Web of Science</v>
      </c>
    </row>
    <row r="393" s="1" customFormat="1" ht="14.4" spans="1:79">
      <c r="A393">
        <v>392</v>
      </c>
      <c r="B393" s="2" t="s">
        <v>110</v>
      </c>
      <c r="C393" s="1" t="s">
        <v>80</v>
      </c>
      <c r="D393" s="1" t="s">
        <v>7690</v>
      </c>
      <c r="E393" s="1" t="s">
        <v>82</v>
      </c>
      <c r="F393" s="1" t="s">
        <v>82</v>
      </c>
      <c r="G393" s="1" t="s">
        <v>82</v>
      </c>
      <c r="H393" s="1" t="s">
        <v>7691</v>
      </c>
      <c r="I393" s="1" t="s">
        <v>82</v>
      </c>
      <c r="J393" s="1" t="s">
        <v>82</v>
      </c>
      <c r="K393" s="1" t="s">
        <v>7692</v>
      </c>
      <c r="L393" s="1" t="s">
        <v>7693</v>
      </c>
      <c r="M393" s="1">
        <v>4.036</v>
      </c>
      <c r="O393" s="1" t="s">
        <v>82</v>
      </c>
      <c r="P393" s="1" t="s">
        <v>82</v>
      </c>
      <c r="Q393" s="1" t="s">
        <v>87</v>
      </c>
      <c r="R393" s="1" t="s">
        <v>115</v>
      </c>
      <c r="S393" s="1" t="s">
        <v>82</v>
      </c>
      <c r="T393" s="1" t="s">
        <v>82</v>
      </c>
      <c r="U393" s="1" t="s">
        <v>82</v>
      </c>
      <c r="V393" s="1" t="s">
        <v>82</v>
      </c>
      <c r="W393" s="1" t="s">
        <v>82</v>
      </c>
      <c r="X393" s="1" t="s">
        <v>82</v>
      </c>
      <c r="Y393" s="1" t="s">
        <v>7694</v>
      </c>
      <c r="Z393" s="1" t="s">
        <v>7695</v>
      </c>
      <c r="AA393" s="1">
        <v>1</v>
      </c>
      <c r="AB393" s="1" t="s">
        <v>7696</v>
      </c>
      <c r="AC393" s="1" t="s">
        <v>7697</v>
      </c>
      <c r="AD393" s="1" t="s">
        <v>93</v>
      </c>
      <c r="AE393" s="1" t="s">
        <v>7698</v>
      </c>
      <c r="AF393" s="1" t="s">
        <v>7699</v>
      </c>
      <c r="AG393" s="1" t="s">
        <v>7700</v>
      </c>
      <c r="AH393" s="1" t="s">
        <v>82</v>
      </c>
      <c r="AI393" s="1" t="s">
        <v>858</v>
      </c>
      <c r="AJ393" s="1" t="s">
        <v>7701</v>
      </c>
      <c r="AK393" s="1" t="s">
        <v>7702</v>
      </c>
      <c r="AL393" s="1" t="s">
        <v>7703</v>
      </c>
      <c r="AM393" s="1" t="s">
        <v>82</v>
      </c>
      <c r="AN393" s="1">
        <v>15</v>
      </c>
      <c r="AO393" s="1">
        <v>1</v>
      </c>
      <c r="AP393" s="1">
        <v>1</v>
      </c>
      <c r="AQ393" s="1">
        <v>0</v>
      </c>
      <c r="AR393" s="1">
        <v>0</v>
      </c>
      <c r="AS393" s="1" t="s">
        <v>1480</v>
      </c>
      <c r="AT393" s="1" t="s">
        <v>416</v>
      </c>
      <c r="AU393" s="1" t="s">
        <v>1481</v>
      </c>
      <c r="AV393" s="1" t="s">
        <v>82</v>
      </c>
      <c r="AW393" s="1" t="s">
        <v>7704</v>
      </c>
      <c r="AX393" s="1" t="s">
        <v>82</v>
      </c>
      <c r="AY393" s="1" t="s">
        <v>7705</v>
      </c>
      <c r="AZ393" s="1" t="s">
        <v>7706</v>
      </c>
      <c r="BA393" s="1" t="s">
        <v>7707</v>
      </c>
      <c r="BB393" s="1">
        <v>2022</v>
      </c>
      <c r="BC393" s="1">
        <v>12</v>
      </c>
      <c r="BD393" s="1">
        <v>43</v>
      </c>
      <c r="BE393" s="1" t="s">
        <v>82</v>
      </c>
      <c r="BF393" s="1" t="s">
        <v>82</v>
      </c>
      <c r="BG393" s="1" t="s">
        <v>82</v>
      </c>
      <c r="BH393" s="1" t="s">
        <v>82</v>
      </c>
      <c r="BI393" s="1">
        <v>28147</v>
      </c>
      <c r="BJ393" s="1">
        <v>28151</v>
      </c>
      <c r="BK393" s="1" t="s">
        <v>82</v>
      </c>
      <c r="BL393" s="1" t="s">
        <v>7708</v>
      </c>
      <c r="BM393" s="1" t="str">
        <f>HYPERLINK("http://dx.doi.org/10.1039/d2ra05342j","http://dx.doi.org/10.1039/d2ra05342j")</f>
        <v>http://dx.doi.org/10.1039/d2ra05342j</v>
      </c>
      <c r="BN393" s="1" t="s">
        <v>82</v>
      </c>
      <c r="BO393" s="1" t="s">
        <v>82</v>
      </c>
      <c r="BP393" s="1">
        <v>5</v>
      </c>
      <c r="BQ393" s="1" t="s">
        <v>705</v>
      </c>
      <c r="BR393" s="1" t="s">
        <v>104</v>
      </c>
      <c r="BS393" s="1" t="s">
        <v>706</v>
      </c>
      <c r="BT393" s="1" t="s">
        <v>7709</v>
      </c>
      <c r="BU393" s="1">
        <v>36320238</v>
      </c>
      <c r="BV393" s="1" t="s">
        <v>592</v>
      </c>
      <c r="BW393" s="1" t="s">
        <v>82</v>
      </c>
      <c r="BX393" s="1" t="s">
        <v>82</v>
      </c>
      <c r="BY393" s="1" t="s">
        <v>108</v>
      </c>
      <c r="BZ393" s="1" t="s">
        <v>7710</v>
      </c>
      <c r="CA393" s="1" t="str">
        <f>HYPERLINK("https%3A%2F%2Fwww.webofscience.com%2Fwos%2Fwoscc%2Ffull-record%2FWOS:000862862200001","View Full Record in Web of Science")</f>
        <v>View Full Record in Web of Science</v>
      </c>
    </row>
    <row r="394" s="1" customFormat="1" ht="14.4" spans="1:79">
      <c r="A394">
        <v>393</v>
      </c>
      <c r="B394" s="2" t="s">
        <v>110</v>
      </c>
      <c r="C394" s="1" t="s">
        <v>80</v>
      </c>
      <c r="D394" s="1" t="s">
        <v>7711</v>
      </c>
      <c r="E394" s="1" t="s">
        <v>82</v>
      </c>
      <c r="F394" s="1" t="s">
        <v>82</v>
      </c>
      <c r="G394" s="1" t="s">
        <v>82</v>
      </c>
      <c r="H394" s="1" t="s">
        <v>7712</v>
      </c>
      <c r="I394" s="1" t="s">
        <v>82</v>
      </c>
      <c r="J394" s="1" t="s">
        <v>82</v>
      </c>
      <c r="K394" s="1" t="s">
        <v>7713</v>
      </c>
      <c r="L394" s="1" t="s">
        <v>7714</v>
      </c>
      <c r="M394" s="1">
        <v>4.004</v>
      </c>
      <c r="O394" s="1" t="s">
        <v>82</v>
      </c>
      <c r="Q394" s="1" t="s">
        <v>87</v>
      </c>
      <c r="R394" s="1" t="s">
        <v>115</v>
      </c>
      <c r="S394" s="1" t="s">
        <v>82</v>
      </c>
      <c r="T394" s="1" t="s">
        <v>82</v>
      </c>
      <c r="U394" s="1" t="s">
        <v>82</v>
      </c>
      <c r="V394" s="1" t="s">
        <v>82</v>
      </c>
      <c r="W394" s="1" t="s">
        <v>82</v>
      </c>
      <c r="X394" s="1" t="s">
        <v>7715</v>
      </c>
      <c r="Y394" s="1" t="s">
        <v>7716</v>
      </c>
      <c r="Z394" s="1" t="s">
        <v>7717</v>
      </c>
      <c r="AA394" s="1">
        <v>1</v>
      </c>
      <c r="AB394" s="3" t="s">
        <v>7718</v>
      </c>
      <c r="AC394" s="3" t="s">
        <v>7719</v>
      </c>
      <c r="AD394" s="1" t="s">
        <v>93</v>
      </c>
      <c r="AE394" s="1" t="s">
        <v>2596</v>
      </c>
      <c r="AF394" s="1" t="s">
        <v>7720</v>
      </c>
      <c r="AG394" s="1" t="s">
        <v>82</v>
      </c>
      <c r="AH394" s="1" t="s">
        <v>82</v>
      </c>
      <c r="AI394" s="1" t="s">
        <v>7721</v>
      </c>
      <c r="AJ394" s="1" t="s">
        <v>7722</v>
      </c>
      <c r="AK394" s="1" t="s">
        <v>7723</v>
      </c>
      <c r="AL394" s="1" t="s">
        <v>7724</v>
      </c>
      <c r="AM394" s="1" t="s">
        <v>82</v>
      </c>
      <c r="AN394" s="1">
        <v>44</v>
      </c>
      <c r="AO394" s="1">
        <v>1</v>
      </c>
      <c r="AP394" s="1">
        <v>1</v>
      </c>
      <c r="AQ394" s="1">
        <v>6</v>
      </c>
      <c r="AR394" s="1">
        <v>12</v>
      </c>
      <c r="AS394" s="1" t="s">
        <v>1700</v>
      </c>
      <c r="AT394" s="1" t="s">
        <v>329</v>
      </c>
      <c r="AU394" s="1" t="s">
        <v>1701</v>
      </c>
      <c r="AV394" s="1" t="s">
        <v>7725</v>
      </c>
      <c r="AW394" s="1" t="s">
        <v>7726</v>
      </c>
      <c r="AX394" s="1" t="s">
        <v>82</v>
      </c>
      <c r="AY394" s="1" t="s">
        <v>7714</v>
      </c>
      <c r="AZ394" s="1" t="s">
        <v>7727</v>
      </c>
      <c r="BA394" s="1" t="s">
        <v>1403</v>
      </c>
      <c r="BB394" s="1">
        <v>2022</v>
      </c>
      <c r="BC394" s="1">
        <v>199</v>
      </c>
      <c r="BD394" s="1" t="s">
        <v>82</v>
      </c>
      <c r="BE394" s="1" t="s">
        <v>82</v>
      </c>
      <c r="BF394" s="1" t="s">
        <v>82</v>
      </c>
      <c r="BG394" s="1" t="s">
        <v>82</v>
      </c>
      <c r="BH394" s="1" t="s">
        <v>82</v>
      </c>
      <c r="BI394" s="1" t="s">
        <v>82</v>
      </c>
      <c r="BJ394" s="1" t="s">
        <v>82</v>
      </c>
      <c r="BK394" s="1">
        <v>113204</v>
      </c>
      <c r="BL394" s="1" t="s">
        <v>7728</v>
      </c>
      <c r="BM394" s="1" t="s">
        <v>7729</v>
      </c>
      <c r="BN394" s="1" t="s">
        <v>82</v>
      </c>
      <c r="BO394" s="1" t="s">
        <v>82</v>
      </c>
      <c r="BP394" s="1">
        <v>8</v>
      </c>
      <c r="BQ394" s="1" t="s">
        <v>425</v>
      </c>
      <c r="BR394" s="1" t="s">
        <v>104</v>
      </c>
      <c r="BS394" s="1" t="s">
        <v>425</v>
      </c>
      <c r="BT394" s="1" t="s">
        <v>7730</v>
      </c>
      <c r="BU394" s="1">
        <v>35421433</v>
      </c>
      <c r="BV394" s="1" t="s">
        <v>82</v>
      </c>
      <c r="BW394" s="1" t="s">
        <v>82</v>
      </c>
      <c r="BX394" s="1" t="s">
        <v>82</v>
      </c>
      <c r="BY394" s="1" t="s">
        <v>771</v>
      </c>
      <c r="BZ394" s="1" t="s">
        <v>7731</v>
      </c>
      <c r="CA394" s="1" t="s">
        <v>342</v>
      </c>
    </row>
    <row r="395" s="1" customFormat="1" ht="14.4" spans="1:79">
      <c r="A395">
        <v>394</v>
      </c>
      <c r="B395" s="2" t="s">
        <v>110</v>
      </c>
      <c r="C395" s="1" t="s">
        <v>80</v>
      </c>
      <c r="D395" s="1" t="s">
        <v>7732</v>
      </c>
      <c r="E395" s="1" t="s">
        <v>82</v>
      </c>
      <c r="F395" s="1" t="s">
        <v>82</v>
      </c>
      <c r="G395" s="1" t="s">
        <v>82</v>
      </c>
      <c r="H395" s="1" t="s">
        <v>7733</v>
      </c>
      <c r="I395" s="1" t="s">
        <v>82</v>
      </c>
      <c r="J395" s="1" t="s">
        <v>82</v>
      </c>
      <c r="K395" s="1" t="s">
        <v>7734</v>
      </c>
      <c r="L395" s="1" t="s">
        <v>7714</v>
      </c>
      <c r="M395" s="1">
        <v>4.004</v>
      </c>
      <c r="O395" s="1" t="s">
        <v>82</v>
      </c>
      <c r="Q395" s="1" t="s">
        <v>87</v>
      </c>
      <c r="R395" s="1" t="s">
        <v>115</v>
      </c>
      <c r="S395" s="1" t="s">
        <v>82</v>
      </c>
      <c r="T395" s="1" t="s">
        <v>82</v>
      </c>
      <c r="U395" s="1" t="s">
        <v>82</v>
      </c>
      <c r="V395" s="1" t="s">
        <v>82</v>
      </c>
      <c r="W395" s="1" t="s">
        <v>82</v>
      </c>
      <c r="X395" s="1" t="s">
        <v>7735</v>
      </c>
      <c r="Y395" s="1" t="s">
        <v>7736</v>
      </c>
      <c r="Z395" s="1" t="s">
        <v>7737</v>
      </c>
      <c r="AB395" s="3" t="s">
        <v>7738</v>
      </c>
      <c r="AC395" s="3" t="s">
        <v>7739</v>
      </c>
      <c r="AD395" s="1" t="s">
        <v>120</v>
      </c>
      <c r="AE395" s="1" t="s">
        <v>7740</v>
      </c>
      <c r="AF395" s="1" t="s">
        <v>7741</v>
      </c>
      <c r="AG395" s="1" t="s">
        <v>5704</v>
      </c>
      <c r="AH395" s="1" t="s">
        <v>82</v>
      </c>
      <c r="AI395" s="1" t="s">
        <v>7742</v>
      </c>
      <c r="AJ395" s="1" t="s">
        <v>7743</v>
      </c>
      <c r="AK395" s="1" t="s">
        <v>7744</v>
      </c>
      <c r="AL395" s="1" t="s">
        <v>7745</v>
      </c>
      <c r="AM395" s="1" t="s">
        <v>82</v>
      </c>
      <c r="AN395" s="1">
        <v>28</v>
      </c>
      <c r="AO395" s="1">
        <v>0</v>
      </c>
      <c r="AP395" s="1">
        <v>0</v>
      </c>
      <c r="AQ395" s="1">
        <v>5</v>
      </c>
      <c r="AR395" s="1">
        <v>5</v>
      </c>
      <c r="AS395" s="1" t="s">
        <v>1700</v>
      </c>
      <c r="AT395" s="1" t="s">
        <v>329</v>
      </c>
      <c r="AU395" s="1" t="s">
        <v>1701</v>
      </c>
      <c r="AV395" s="1" t="s">
        <v>7725</v>
      </c>
      <c r="AW395" s="1" t="s">
        <v>7726</v>
      </c>
      <c r="AX395" s="1" t="s">
        <v>82</v>
      </c>
      <c r="AY395" s="1" t="s">
        <v>7714</v>
      </c>
      <c r="AZ395" s="1" t="s">
        <v>7727</v>
      </c>
      <c r="BA395" s="1" t="s">
        <v>397</v>
      </c>
      <c r="BB395" s="1">
        <v>2023</v>
      </c>
      <c r="BC395" s="1">
        <v>206</v>
      </c>
      <c r="BD395" s="1" t="s">
        <v>82</v>
      </c>
      <c r="BE395" s="1" t="s">
        <v>82</v>
      </c>
      <c r="BF395" s="1" t="s">
        <v>82</v>
      </c>
      <c r="BG395" s="1" t="s">
        <v>82</v>
      </c>
      <c r="BH395" s="1" t="s">
        <v>82</v>
      </c>
      <c r="BI395" s="1" t="s">
        <v>82</v>
      </c>
      <c r="BJ395" s="1" t="s">
        <v>82</v>
      </c>
      <c r="BK395" s="1">
        <v>113531</v>
      </c>
      <c r="BL395" s="1" t="s">
        <v>7746</v>
      </c>
      <c r="BM395" s="1" t="s">
        <v>7747</v>
      </c>
      <c r="BN395" s="1" t="s">
        <v>82</v>
      </c>
      <c r="BO395" s="1" t="s">
        <v>1618</v>
      </c>
      <c r="BP395" s="1">
        <v>10</v>
      </c>
      <c r="BQ395" s="1" t="s">
        <v>425</v>
      </c>
      <c r="BR395" s="1" t="s">
        <v>104</v>
      </c>
      <c r="BS395" s="1" t="s">
        <v>425</v>
      </c>
      <c r="BT395" s="1" t="s">
        <v>7748</v>
      </c>
      <c r="BU395" s="1">
        <v>36464100</v>
      </c>
      <c r="BV395" s="1" t="s">
        <v>82</v>
      </c>
      <c r="BW395" s="1" t="s">
        <v>82</v>
      </c>
      <c r="BX395" s="1" t="s">
        <v>82</v>
      </c>
      <c r="BY395" s="1" t="s">
        <v>771</v>
      </c>
      <c r="BZ395" s="1" t="s">
        <v>7749</v>
      </c>
      <c r="CA395" s="1" t="s">
        <v>342</v>
      </c>
    </row>
    <row r="396" s="1" customFormat="1" ht="14.4" spans="1:79">
      <c r="A396">
        <v>395</v>
      </c>
      <c r="B396" s="2" t="s">
        <v>79</v>
      </c>
      <c r="C396" s="1" t="s">
        <v>80</v>
      </c>
      <c r="D396" s="1" t="s">
        <v>7750</v>
      </c>
      <c r="E396" s="1" t="s">
        <v>82</v>
      </c>
      <c r="F396" s="1" t="s">
        <v>82</v>
      </c>
      <c r="G396" s="1" t="s">
        <v>82</v>
      </c>
      <c r="H396" s="1" t="s">
        <v>7751</v>
      </c>
      <c r="I396" s="1" t="s">
        <v>82</v>
      </c>
      <c r="J396" s="1" t="s">
        <v>82</v>
      </c>
      <c r="K396" s="1" t="s">
        <v>7752</v>
      </c>
      <c r="L396" s="1" t="s">
        <v>7714</v>
      </c>
      <c r="M396" s="1">
        <v>4.004</v>
      </c>
      <c r="O396" s="1" t="s">
        <v>82</v>
      </c>
      <c r="P396" s="1" t="s">
        <v>82</v>
      </c>
      <c r="Q396" s="1" t="s">
        <v>87</v>
      </c>
      <c r="R396" s="1" t="s">
        <v>115</v>
      </c>
      <c r="S396" s="1" t="s">
        <v>82</v>
      </c>
      <c r="T396" s="1" t="s">
        <v>82</v>
      </c>
      <c r="U396" s="1" t="s">
        <v>82</v>
      </c>
      <c r="V396" s="1" t="s">
        <v>82</v>
      </c>
      <c r="W396" s="1" t="s">
        <v>82</v>
      </c>
      <c r="X396" s="1" t="s">
        <v>7753</v>
      </c>
      <c r="Y396" s="1" t="s">
        <v>7754</v>
      </c>
      <c r="Z396" s="1" t="s">
        <v>7755</v>
      </c>
      <c r="AA396" s="1">
        <v>1</v>
      </c>
      <c r="AB396" s="1" t="s">
        <v>7756</v>
      </c>
      <c r="AC396" s="1" t="s">
        <v>7757</v>
      </c>
      <c r="AD396" s="1" t="s">
        <v>93</v>
      </c>
      <c r="AE396" s="1" t="s">
        <v>7758</v>
      </c>
      <c r="AF396" s="1" t="s">
        <v>7759</v>
      </c>
      <c r="AG396" s="1" t="s">
        <v>7760</v>
      </c>
      <c r="AH396" s="1" t="s">
        <v>82</v>
      </c>
      <c r="AI396" s="1" t="s">
        <v>82</v>
      </c>
      <c r="AJ396" s="1" t="s">
        <v>7761</v>
      </c>
      <c r="AK396" s="1" t="s">
        <v>7762</v>
      </c>
      <c r="AL396" s="1" t="s">
        <v>7763</v>
      </c>
      <c r="AM396" s="1" t="s">
        <v>82</v>
      </c>
      <c r="AN396" s="1">
        <v>33</v>
      </c>
      <c r="AO396" s="1">
        <v>0</v>
      </c>
      <c r="AP396" s="1">
        <v>0</v>
      </c>
      <c r="AQ396" s="1">
        <v>9</v>
      </c>
      <c r="AR396" s="1">
        <v>9</v>
      </c>
      <c r="AS396" s="1" t="s">
        <v>1700</v>
      </c>
      <c r="AT396" s="1" t="s">
        <v>329</v>
      </c>
      <c r="AU396" s="1" t="s">
        <v>1701</v>
      </c>
      <c r="AV396" s="1" t="s">
        <v>7725</v>
      </c>
      <c r="AW396" s="1" t="s">
        <v>7726</v>
      </c>
      <c r="AX396" s="1" t="s">
        <v>82</v>
      </c>
      <c r="AY396" s="1" t="s">
        <v>7714</v>
      </c>
      <c r="AZ396" s="1" t="s">
        <v>7727</v>
      </c>
      <c r="BA396" s="1" t="s">
        <v>2123</v>
      </c>
      <c r="BB396" s="1">
        <v>2022</v>
      </c>
      <c r="BC396" s="1">
        <v>204</v>
      </c>
      <c r="BD396" s="1" t="s">
        <v>82</v>
      </c>
      <c r="BE396" s="1" t="s">
        <v>82</v>
      </c>
      <c r="BF396" s="1" t="s">
        <v>82</v>
      </c>
      <c r="BG396" s="1" t="s">
        <v>82</v>
      </c>
      <c r="BH396" s="1" t="s">
        <v>82</v>
      </c>
      <c r="BI396" s="1" t="s">
        <v>82</v>
      </c>
      <c r="BJ396" s="1" t="s">
        <v>82</v>
      </c>
      <c r="BK396" s="1">
        <v>113452</v>
      </c>
      <c r="BL396" s="1" t="s">
        <v>7764</v>
      </c>
      <c r="BM396" s="1" t="str">
        <f>HYPERLINK("http://dx.doi.org/10.1016/j.phytochem.2022.113452","http://dx.doi.org/10.1016/j.phytochem.2022.113452")</f>
        <v>http://dx.doi.org/10.1016/j.phytochem.2022.113452</v>
      </c>
      <c r="BN396" s="1" t="s">
        <v>82</v>
      </c>
      <c r="BO396" s="1" t="s">
        <v>82</v>
      </c>
      <c r="BP396" s="1">
        <v>13</v>
      </c>
      <c r="BQ396" s="1" t="s">
        <v>425</v>
      </c>
      <c r="BR396" s="1" t="s">
        <v>745</v>
      </c>
      <c r="BS396" s="1" t="s">
        <v>425</v>
      </c>
      <c r="BT396" s="1" t="s">
        <v>7765</v>
      </c>
      <c r="BU396" s="1">
        <v>36162461</v>
      </c>
      <c r="BV396" s="1" t="s">
        <v>82</v>
      </c>
      <c r="BW396" s="1" t="s">
        <v>82</v>
      </c>
      <c r="BX396" s="1" t="s">
        <v>82</v>
      </c>
      <c r="BY396" s="1" t="s">
        <v>108</v>
      </c>
      <c r="BZ396" s="1" t="s">
        <v>7766</v>
      </c>
      <c r="CA396" s="1" t="str">
        <f>HYPERLINK("https%3A%2F%2Fwww.webofscience.com%2Fwos%2Fwoscc%2Ffull-record%2FWOS:000864654200004","View Full Record in Web of Science")</f>
        <v>View Full Record in Web of Science</v>
      </c>
    </row>
    <row r="397" s="1" customFormat="1" ht="14.4" spans="1:79">
      <c r="A397">
        <v>396</v>
      </c>
      <c r="B397" s="2" t="s">
        <v>110</v>
      </c>
      <c r="C397" s="1" t="s">
        <v>80</v>
      </c>
      <c r="D397" s="1" t="s">
        <v>7767</v>
      </c>
      <c r="E397" s="1" t="s">
        <v>82</v>
      </c>
      <c r="F397" s="1" t="s">
        <v>82</v>
      </c>
      <c r="G397" s="1" t="s">
        <v>82</v>
      </c>
      <c r="H397" s="1" t="s">
        <v>7768</v>
      </c>
      <c r="I397" s="1" t="s">
        <v>82</v>
      </c>
      <c r="J397" s="1" t="s">
        <v>82</v>
      </c>
      <c r="K397" s="1" t="s">
        <v>7769</v>
      </c>
      <c r="L397" s="1" t="s">
        <v>7714</v>
      </c>
      <c r="M397" s="1">
        <v>4.004</v>
      </c>
      <c r="O397" s="1" t="s">
        <v>82</v>
      </c>
      <c r="P397" s="1" t="s">
        <v>82</v>
      </c>
      <c r="Q397" s="1" t="s">
        <v>87</v>
      </c>
      <c r="R397" s="1" t="s">
        <v>115</v>
      </c>
      <c r="S397" s="1" t="s">
        <v>82</v>
      </c>
      <c r="T397" s="1" t="s">
        <v>82</v>
      </c>
      <c r="U397" s="1" t="s">
        <v>82</v>
      </c>
      <c r="V397" s="1" t="s">
        <v>82</v>
      </c>
      <c r="W397" s="1" t="s">
        <v>82</v>
      </c>
      <c r="X397" s="1" t="s">
        <v>7770</v>
      </c>
      <c r="Y397" s="1" t="s">
        <v>7771</v>
      </c>
      <c r="Z397" s="1" t="s">
        <v>7772</v>
      </c>
      <c r="AA397" s="1">
        <v>1</v>
      </c>
      <c r="AB397" s="1" t="s">
        <v>7773</v>
      </c>
      <c r="AC397" s="1" t="s">
        <v>7774</v>
      </c>
      <c r="AD397" s="1" t="s">
        <v>93</v>
      </c>
      <c r="AE397" s="1" t="s">
        <v>1630</v>
      </c>
      <c r="AF397" s="1" t="s">
        <v>7775</v>
      </c>
      <c r="AG397" s="1" t="s">
        <v>7776</v>
      </c>
      <c r="AH397" s="1" t="s">
        <v>82</v>
      </c>
      <c r="AI397" s="1" t="s">
        <v>82</v>
      </c>
      <c r="AJ397" s="1" t="s">
        <v>7777</v>
      </c>
      <c r="AK397" s="1" t="s">
        <v>7778</v>
      </c>
      <c r="AL397" s="1" t="s">
        <v>7779</v>
      </c>
      <c r="AM397" s="1" t="s">
        <v>82</v>
      </c>
      <c r="AN397" s="1">
        <v>36</v>
      </c>
      <c r="AO397" s="1">
        <v>1</v>
      </c>
      <c r="AP397" s="1">
        <v>1</v>
      </c>
      <c r="AQ397" s="1">
        <v>13</v>
      </c>
      <c r="AR397" s="1">
        <v>13</v>
      </c>
      <c r="AS397" s="1" t="s">
        <v>1700</v>
      </c>
      <c r="AT397" s="1" t="s">
        <v>329</v>
      </c>
      <c r="AU397" s="1" t="s">
        <v>1701</v>
      </c>
      <c r="AV397" s="1" t="s">
        <v>7725</v>
      </c>
      <c r="AW397" s="1" t="s">
        <v>7726</v>
      </c>
      <c r="AX397" s="1" t="s">
        <v>82</v>
      </c>
      <c r="AY397" s="1" t="s">
        <v>7714</v>
      </c>
      <c r="AZ397" s="1" t="s">
        <v>7727</v>
      </c>
      <c r="BA397" s="1" t="s">
        <v>486</v>
      </c>
      <c r="BB397" s="1">
        <v>2022</v>
      </c>
      <c r="BC397" s="1">
        <v>203</v>
      </c>
      <c r="BD397" s="1" t="s">
        <v>82</v>
      </c>
      <c r="BE397" s="1" t="s">
        <v>82</v>
      </c>
      <c r="BF397" s="1" t="s">
        <v>82</v>
      </c>
      <c r="BG397" s="1" t="s">
        <v>82</v>
      </c>
      <c r="BH397" s="1" t="s">
        <v>82</v>
      </c>
      <c r="BI397" s="1" t="s">
        <v>82</v>
      </c>
      <c r="BJ397" s="1" t="s">
        <v>82</v>
      </c>
      <c r="BK397" s="1">
        <v>113394</v>
      </c>
      <c r="BL397" s="1" t="s">
        <v>7780</v>
      </c>
      <c r="BM397" s="1" t="str">
        <f>HYPERLINK("http://dx.doi.org/10.1016/j.phytochem.2022.113394","http://dx.doi.org/10.1016/j.phytochem.2022.113394")</f>
        <v>http://dx.doi.org/10.1016/j.phytochem.2022.113394</v>
      </c>
      <c r="BN397" s="1" t="s">
        <v>82</v>
      </c>
      <c r="BO397" s="1" t="s">
        <v>424</v>
      </c>
      <c r="BP397" s="1">
        <v>8</v>
      </c>
      <c r="BQ397" s="1" t="s">
        <v>425</v>
      </c>
      <c r="BR397" s="1" t="s">
        <v>745</v>
      </c>
      <c r="BS397" s="1" t="s">
        <v>425</v>
      </c>
      <c r="BT397" s="1" t="s">
        <v>7781</v>
      </c>
      <c r="BU397" s="1">
        <v>36007662</v>
      </c>
      <c r="BV397" s="1" t="s">
        <v>82</v>
      </c>
      <c r="BW397" s="1" t="s">
        <v>82</v>
      </c>
      <c r="BX397" s="1" t="s">
        <v>82</v>
      </c>
      <c r="BY397" s="1" t="s">
        <v>108</v>
      </c>
      <c r="BZ397" s="1" t="s">
        <v>7782</v>
      </c>
      <c r="CA397" s="1" t="str">
        <f>HYPERLINK("https%3A%2F%2Fwww.webofscience.com%2Fwos%2Fwoscc%2Ffull-record%2FWOS:000863089100014","View Full Record in Web of Science")</f>
        <v>View Full Record in Web of Science</v>
      </c>
    </row>
    <row r="398" s="1" customFormat="1" ht="14.4" spans="1:79">
      <c r="A398">
        <v>397</v>
      </c>
      <c r="B398" s="2" t="s">
        <v>110</v>
      </c>
      <c r="C398" s="1" t="s">
        <v>80</v>
      </c>
      <c r="D398" s="1" t="s">
        <v>7783</v>
      </c>
      <c r="E398" s="1" t="s">
        <v>82</v>
      </c>
      <c r="F398" s="1" t="s">
        <v>82</v>
      </c>
      <c r="G398" s="1" t="s">
        <v>82</v>
      </c>
      <c r="H398" s="1" t="s">
        <v>7784</v>
      </c>
      <c r="I398" s="1" t="s">
        <v>82</v>
      </c>
      <c r="J398" s="1" t="s">
        <v>82</v>
      </c>
      <c r="K398" s="1" t="s">
        <v>7785</v>
      </c>
      <c r="L398" s="1" t="s">
        <v>7714</v>
      </c>
      <c r="M398" s="1">
        <v>4.004</v>
      </c>
      <c r="O398" s="1" t="s">
        <v>82</v>
      </c>
      <c r="P398" s="1" t="s">
        <v>82</v>
      </c>
      <c r="Q398" s="1" t="s">
        <v>87</v>
      </c>
      <c r="R398" s="1" t="s">
        <v>115</v>
      </c>
      <c r="S398" s="1" t="s">
        <v>82</v>
      </c>
      <c r="T398" s="1" t="s">
        <v>82</v>
      </c>
      <c r="U398" s="1" t="s">
        <v>82</v>
      </c>
      <c r="V398" s="1" t="s">
        <v>82</v>
      </c>
      <c r="W398" s="1" t="s">
        <v>82</v>
      </c>
      <c r="X398" s="1" t="s">
        <v>7786</v>
      </c>
      <c r="Y398" s="1" t="s">
        <v>7787</v>
      </c>
      <c r="Z398" s="1" t="s">
        <v>7788</v>
      </c>
      <c r="AA398" s="1">
        <v>1</v>
      </c>
      <c r="AB398" s="1" t="s">
        <v>7789</v>
      </c>
      <c r="AC398" s="1" t="s">
        <v>7790</v>
      </c>
      <c r="AD398" s="1" t="s">
        <v>93</v>
      </c>
      <c r="AE398" s="1" t="s">
        <v>7791</v>
      </c>
      <c r="AF398" s="1" t="s">
        <v>7792</v>
      </c>
      <c r="AG398" s="1" t="s">
        <v>7793</v>
      </c>
      <c r="AH398" s="1" t="s">
        <v>82</v>
      </c>
      <c r="AI398" s="1" t="s">
        <v>7794</v>
      </c>
      <c r="AJ398" s="1" t="s">
        <v>7795</v>
      </c>
      <c r="AK398" s="1" t="s">
        <v>7796</v>
      </c>
      <c r="AL398" s="1" t="s">
        <v>7797</v>
      </c>
      <c r="AM398" s="1" t="s">
        <v>82</v>
      </c>
      <c r="AN398" s="1">
        <v>56</v>
      </c>
      <c r="AO398" s="1">
        <v>0</v>
      </c>
      <c r="AP398" s="1">
        <v>0</v>
      </c>
      <c r="AQ398" s="1">
        <v>9</v>
      </c>
      <c r="AR398" s="1">
        <v>9</v>
      </c>
      <c r="AS398" s="1" t="s">
        <v>1700</v>
      </c>
      <c r="AT398" s="1" t="s">
        <v>329</v>
      </c>
      <c r="AU398" s="1" t="s">
        <v>1701</v>
      </c>
      <c r="AV398" s="1" t="s">
        <v>7725</v>
      </c>
      <c r="AW398" s="1" t="s">
        <v>7726</v>
      </c>
      <c r="AX398" s="1" t="s">
        <v>82</v>
      </c>
      <c r="AY398" s="1" t="s">
        <v>7714</v>
      </c>
      <c r="AZ398" s="1" t="s">
        <v>7727</v>
      </c>
      <c r="BA398" s="1" t="s">
        <v>486</v>
      </c>
      <c r="BB398" s="1">
        <v>2022</v>
      </c>
      <c r="BC398" s="1">
        <v>203</v>
      </c>
      <c r="BD398" s="1" t="s">
        <v>82</v>
      </c>
      <c r="BE398" s="1" t="s">
        <v>82</v>
      </c>
      <c r="BF398" s="1" t="s">
        <v>82</v>
      </c>
      <c r="BG398" s="1" t="s">
        <v>82</v>
      </c>
      <c r="BH398" s="1" t="s">
        <v>82</v>
      </c>
      <c r="BI398" s="1" t="s">
        <v>82</v>
      </c>
      <c r="BJ398" s="1" t="s">
        <v>82</v>
      </c>
      <c r="BK398" s="1">
        <v>113392</v>
      </c>
      <c r="BL398" s="1" t="s">
        <v>7798</v>
      </c>
      <c r="BM398" s="1" t="str">
        <f>HYPERLINK("http://dx.doi.org/10.1016/j.phytochem.2022.113392","http://dx.doi.org/10.1016/j.phytochem.2022.113392")</f>
        <v>http://dx.doi.org/10.1016/j.phytochem.2022.113392</v>
      </c>
      <c r="BN398" s="1" t="s">
        <v>82</v>
      </c>
      <c r="BO398" s="1" t="s">
        <v>224</v>
      </c>
      <c r="BP398" s="1">
        <v>11</v>
      </c>
      <c r="BQ398" s="1" t="s">
        <v>425</v>
      </c>
      <c r="BR398" s="1" t="s">
        <v>745</v>
      </c>
      <c r="BS398" s="1" t="s">
        <v>425</v>
      </c>
      <c r="BT398" s="1" t="s">
        <v>7799</v>
      </c>
      <c r="BU398" s="1">
        <v>36030903</v>
      </c>
      <c r="BV398" s="1" t="s">
        <v>82</v>
      </c>
      <c r="BW398" s="1" t="s">
        <v>82</v>
      </c>
      <c r="BX398" s="1" t="s">
        <v>82</v>
      </c>
      <c r="BY398" s="1" t="s">
        <v>108</v>
      </c>
      <c r="BZ398" s="1" t="s">
        <v>7800</v>
      </c>
      <c r="CA398" s="1" t="str">
        <f>HYPERLINK("https%3A%2F%2Fwww.webofscience.com%2Fwos%2Fwoscc%2Ffull-record%2FWOS:000860466700005","View Full Record in Web of Science")</f>
        <v>View Full Record in Web of Science</v>
      </c>
    </row>
    <row r="399" s="1" customFormat="1" ht="14.4" spans="1:79">
      <c r="A399">
        <v>398</v>
      </c>
      <c r="B399" s="2" t="s">
        <v>110</v>
      </c>
      <c r="C399" s="1" t="s">
        <v>80</v>
      </c>
      <c r="D399" s="1" t="s">
        <v>7801</v>
      </c>
      <c r="E399" s="1" t="s">
        <v>82</v>
      </c>
      <c r="F399" s="1" t="s">
        <v>82</v>
      </c>
      <c r="G399" s="1" t="s">
        <v>82</v>
      </c>
      <c r="H399" s="1" t="s">
        <v>7802</v>
      </c>
      <c r="I399" s="1" t="s">
        <v>82</v>
      </c>
      <c r="J399" s="1" t="s">
        <v>82</v>
      </c>
      <c r="K399" s="1" t="s">
        <v>7803</v>
      </c>
      <c r="L399" s="1" t="s">
        <v>7714</v>
      </c>
      <c r="M399" s="1">
        <v>4.004</v>
      </c>
      <c r="O399" s="1" t="s">
        <v>82</v>
      </c>
      <c r="P399" s="1" t="s">
        <v>82</v>
      </c>
      <c r="Q399" s="1" t="s">
        <v>87</v>
      </c>
      <c r="R399" s="1" t="s">
        <v>115</v>
      </c>
      <c r="S399" s="1" t="s">
        <v>82</v>
      </c>
      <c r="T399" s="1" t="s">
        <v>82</v>
      </c>
      <c r="U399" s="1" t="s">
        <v>82</v>
      </c>
      <c r="V399" s="1" t="s">
        <v>82</v>
      </c>
      <c r="W399" s="1" t="s">
        <v>82</v>
      </c>
      <c r="X399" s="1" t="s">
        <v>7804</v>
      </c>
      <c r="Y399" s="1" t="s">
        <v>7805</v>
      </c>
      <c r="Z399" s="1" t="s">
        <v>7806</v>
      </c>
      <c r="AA399" s="1">
        <v>1</v>
      </c>
      <c r="AB399" s="1" t="s">
        <v>7807</v>
      </c>
      <c r="AC399" s="1" t="s">
        <v>7808</v>
      </c>
      <c r="AD399" s="1" t="s">
        <v>93</v>
      </c>
      <c r="AE399" s="1" t="s">
        <v>7809</v>
      </c>
      <c r="AF399" s="1" t="s">
        <v>7810</v>
      </c>
      <c r="AG399" s="1" t="s">
        <v>7811</v>
      </c>
      <c r="AH399" s="1" t="s">
        <v>82</v>
      </c>
      <c r="AI399" s="1" t="s">
        <v>82</v>
      </c>
      <c r="AJ399" s="1" t="s">
        <v>7812</v>
      </c>
      <c r="AK399" s="1" t="s">
        <v>7813</v>
      </c>
      <c r="AL399" s="1" t="s">
        <v>7814</v>
      </c>
      <c r="AM399" s="1" t="s">
        <v>82</v>
      </c>
      <c r="AN399" s="1">
        <v>23</v>
      </c>
      <c r="AO399" s="1">
        <v>0</v>
      </c>
      <c r="AP399" s="1">
        <v>0</v>
      </c>
      <c r="AQ399" s="1">
        <v>6</v>
      </c>
      <c r="AR399" s="1">
        <v>6</v>
      </c>
      <c r="AS399" s="1" t="s">
        <v>1700</v>
      </c>
      <c r="AT399" s="1" t="s">
        <v>329</v>
      </c>
      <c r="AU399" s="1" t="s">
        <v>1701</v>
      </c>
      <c r="AV399" s="1" t="s">
        <v>7725</v>
      </c>
      <c r="AW399" s="1" t="s">
        <v>7726</v>
      </c>
      <c r="AX399" s="1" t="s">
        <v>82</v>
      </c>
      <c r="AY399" s="1" t="s">
        <v>7714</v>
      </c>
      <c r="AZ399" s="1" t="s">
        <v>7727</v>
      </c>
      <c r="BA399" s="1" t="s">
        <v>486</v>
      </c>
      <c r="BB399" s="1">
        <v>2022</v>
      </c>
      <c r="BC399" s="1">
        <v>203</v>
      </c>
      <c r="BD399" s="1" t="s">
        <v>82</v>
      </c>
      <c r="BE399" s="1" t="s">
        <v>82</v>
      </c>
      <c r="BF399" s="1" t="s">
        <v>82</v>
      </c>
      <c r="BG399" s="1" t="s">
        <v>82</v>
      </c>
      <c r="BH399" s="1" t="s">
        <v>82</v>
      </c>
      <c r="BI399" s="1" t="s">
        <v>82</v>
      </c>
      <c r="BJ399" s="1" t="s">
        <v>82</v>
      </c>
      <c r="BK399" s="1">
        <v>113379</v>
      </c>
      <c r="BL399" s="1" t="s">
        <v>7815</v>
      </c>
      <c r="BM399" s="1" t="str">
        <f>HYPERLINK("http://dx.doi.org/10.1016/j.phytochem.2022.113379","http://dx.doi.org/10.1016/j.phytochem.2022.113379")</f>
        <v>http://dx.doi.org/10.1016/j.phytochem.2022.113379</v>
      </c>
      <c r="BN399" s="1" t="s">
        <v>82</v>
      </c>
      <c r="BO399" s="1" t="s">
        <v>224</v>
      </c>
      <c r="BP399" s="1">
        <v>9</v>
      </c>
      <c r="BQ399" s="1" t="s">
        <v>425</v>
      </c>
      <c r="BR399" s="1" t="s">
        <v>745</v>
      </c>
      <c r="BS399" s="1" t="s">
        <v>425</v>
      </c>
      <c r="BT399" s="1" t="s">
        <v>7816</v>
      </c>
      <c r="BU399" s="1">
        <v>36029844</v>
      </c>
      <c r="BV399" s="1" t="s">
        <v>82</v>
      </c>
      <c r="BW399" s="1" t="s">
        <v>82</v>
      </c>
      <c r="BX399" s="1" t="s">
        <v>82</v>
      </c>
      <c r="BY399" s="1" t="s">
        <v>108</v>
      </c>
      <c r="BZ399" s="1" t="s">
        <v>7817</v>
      </c>
      <c r="CA399" s="1" t="str">
        <f>HYPERLINK("https%3A%2F%2Fwww.webofscience.com%2Fwos%2Fwoscc%2Ffull-record%2FWOS:000860320000004","View Full Record in Web of Science")</f>
        <v>View Full Record in Web of Science</v>
      </c>
    </row>
    <row r="400" s="1" customFormat="1" ht="14.4" spans="1:79">
      <c r="A400">
        <v>399</v>
      </c>
      <c r="B400" s="2" t="s">
        <v>79</v>
      </c>
      <c r="C400" s="1" t="s">
        <v>80</v>
      </c>
      <c r="D400" s="1" t="s">
        <v>7818</v>
      </c>
      <c r="E400" s="1" t="s">
        <v>82</v>
      </c>
      <c r="F400" s="1" t="s">
        <v>82</v>
      </c>
      <c r="G400" s="1" t="s">
        <v>82</v>
      </c>
      <c r="H400" s="1" t="s">
        <v>7819</v>
      </c>
      <c r="I400" s="1" t="s">
        <v>82</v>
      </c>
      <c r="J400" s="1" t="s">
        <v>82</v>
      </c>
      <c r="K400" s="1" t="s">
        <v>7820</v>
      </c>
      <c r="L400" s="1" t="s">
        <v>7714</v>
      </c>
      <c r="M400" s="1">
        <v>4.004</v>
      </c>
      <c r="O400" s="1" t="s">
        <v>82</v>
      </c>
      <c r="P400" s="1" t="s">
        <v>82</v>
      </c>
      <c r="Q400" s="1" t="s">
        <v>87</v>
      </c>
      <c r="R400" s="1" t="s">
        <v>115</v>
      </c>
      <c r="S400" s="1" t="s">
        <v>82</v>
      </c>
      <c r="T400" s="1" t="s">
        <v>82</v>
      </c>
      <c r="U400" s="1" t="s">
        <v>82</v>
      </c>
      <c r="V400" s="1" t="s">
        <v>82</v>
      </c>
      <c r="W400" s="1" t="s">
        <v>82</v>
      </c>
      <c r="X400" s="1" t="s">
        <v>7821</v>
      </c>
      <c r="Y400" s="1" t="s">
        <v>7822</v>
      </c>
      <c r="Z400" s="1" t="s">
        <v>7823</v>
      </c>
      <c r="AB400" s="1" t="s">
        <v>7824</v>
      </c>
      <c r="AC400" s="1" t="s">
        <v>7825</v>
      </c>
      <c r="AD400" s="1" t="s">
        <v>206</v>
      </c>
      <c r="AE400" s="1" t="s">
        <v>7826</v>
      </c>
      <c r="AF400" s="1" t="s">
        <v>7827</v>
      </c>
      <c r="AG400" s="1" t="s">
        <v>7828</v>
      </c>
      <c r="AH400" s="1" t="s">
        <v>82</v>
      </c>
      <c r="AI400" s="1" t="s">
        <v>7829</v>
      </c>
      <c r="AJ400" s="1" t="s">
        <v>7830</v>
      </c>
      <c r="AK400" s="1" t="s">
        <v>7831</v>
      </c>
      <c r="AL400" s="1" t="s">
        <v>7832</v>
      </c>
      <c r="AM400" s="1" t="s">
        <v>82</v>
      </c>
      <c r="AN400" s="1">
        <v>84</v>
      </c>
      <c r="AO400" s="1">
        <v>0</v>
      </c>
      <c r="AP400" s="1">
        <v>0</v>
      </c>
      <c r="AQ400" s="1">
        <v>5</v>
      </c>
      <c r="AR400" s="1">
        <v>5</v>
      </c>
      <c r="AS400" s="1" t="s">
        <v>1700</v>
      </c>
      <c r="AT400" s="1" t="s">
        <v>329</v>
      </c>
      <c r="AU400" s="1" t="s">
        <v>1701</v>
      </c>
      <c r="AV400" s="1" t="s">
        <v>7725</v>
      </c>
      <c r="AW400" s="1" t="s">
        <v>7726</v>
      </c>
      <c r="AX400" s="1" t="s">
        <v>82</v>
      </c>
      <c r="AY400" s="1" t="s">
        <v>7714</v>
      </c>
      <c r="AZ400" s="1" t="s">
        <v>7727</v>
      </c>
      <c r="BA400" s="1" t="s">
        <v>486</v>
      </c>
      <c r="BB400" s="1">
        <v>2022</v>
      </c>
      <c r="BC400" s="1">
        <v>203</v>
      </c>
      <c r="BD400" s="1" t="s">
        <v>82</v>
      </c>
      <c r="BE400" s="1" t="s">
        <v>82</v>
      </c>
      <c r="BF400" s="1" t="s">
        <v>82</v>
      </c>
      <c r="BG400" s="1" t="s">
        <v>82</v>
      </c>
      <c r="BH400" s="1" t="s">
        <v>82</v>
      </c>
      <c r="BI400" s="1" t="s">
        <v>82</v>
      </c>
      <c r="BJ400" s="1" t="s">
        <v>82</v>
      </c>
      <c r="BK400" s="1">
        <v>113419</v>
      </c>
      <c r="BL400" s="1" t="s">
        <v>7833</v>
      </c>
      <c r="BM400" s="1" t="str">
        <f>HYPERLINK("http://dx.doi.org/10.1016/j.phytochem.2022.113419","http://dx.doi.org/10.1016/j.phytochem.2022.113419")</f>
        <v>http://dx.doi.org/10.1016/j.phytochem.2022.113419</v>
      </c>
      <c r="BN400" s="1" t="s">
        <v>82</v>
      </c>
      <c r="BO400" s="1" t="s">
        <v>224</v>
      </c>
      <c r="BP400" s="1">
        <v>21</v>
      </c>
      <c r="BQ400" s="1" t="s">
        <v>425</v>
      </c>
      <c r="BR400" s="1" t="s">
        <v>104</v>
      </c>
      <c r="BS400" s="1" t="s">
        <v>425</v>
      </c>
      <c r="BT400" s="1" t="s">
        <v>7834</v>
      </c>
      <c r="BU400" s="1">
        <v>36055426</v>
      </c>
      <c r="BV400" s="1" t="s">
        <v>82</v>
      </c>
      <c r="BW400" s="1" t="s">
        <v>82</v>
      </c>
      <c r="BX400" s="1" t="s">
        <v>82</v>
      </c>
      <c r="BY400" s="1" t="s">
        <v>108</v>
      </c>
      <c r="BZ400" s="1" t="s">
        <v>7835</v>
      </c>
      <c r="CA400" s="1" t="str">
        <f>HYPERLINK("https%3A%2F%2Fwww.webofscience.com%2Fwos%2Fwoscc%2Ffull-record%2FWOS:000855552500002","View Full Record in Web of Science")</f>
        <v>View Full Record in Web of Science</v>
      </c>
    </row>
    <row r="401" s="1" customFormat="1" ht="14.4" spans="1:79">
      <c r="A401">
        <v>400</v>
      </c>
      <c r="B401" s="2" t="s">
        <v>79</v>
      </c>
      <c r="C401" s="1" t="s">
        <v>80</v>
      </c>
      <c r="D401" s="1" t="s">
        <v>7836</v>
      </c>
      <c r="E401" s="1" t="s">
        <v>82</v>
      </c>
      <c r="F401" s="1" t="s">
        <v>82</v>
      </c>
      <c r="G401" s="1" t="s">
        <v>82</v>
      </c>
      <c r="H401" s="1" t="s">
        <v>7837</v>
      </c>
      <c r="I401" s="1" t="s">
        <v>82</v>
      </c>
      <c r="J401" s="1" t="s">
        <v>82</v>
      </c>
      <c r="K401" s="1" t="s">
        <v>7838</v>
      </c>
      <c r="L401" s="1" t="s">
        <v>7714</v>
      </c>
      <c r="M401" s="1">
        <v>4.004</v>
      </c>
      <c r="O401" s="1" t="s">
        <v>82</v>
      </c>
      <c r="P401" s="1" t="s">
        <v>82</v>
      </c>
      <c r="Q401" s="1" t="s">
        <v>87</v>
      </c>
      <c r="R401" s="1" t="s">
        <v>115</v>
      </c>
      <c r="S401" s="1" t="s">
        <v>82</v>
      </c>
      <c r="T401" s="1" t="s">
        <v>82</v>
      </c>
      <c r="U401" s="1" t="s">
        <v>82</v>
      </c>
      <c r="V401" s="1" t="s">
        <v>82</v>
      </c>
      <c r="W401" s="1" t="s">
        <v>82</v>
      </c>
      <c r="X401" s="1" t="s">
        <v>7839</v>
      </c>
      <c r="Y401" s="1" t="s">
        <v>7840</v>
      </c>
      <c r="Z401" s="1" t="s">
        <v>7841</v>
      </c>
      <c r="AA401" s="1">
        <v>1</v>
      </c>
      <c r="AB401" s="1" t="s">
        <v>7842</v>
      </c>
      <c r="AC401" s="1" t="s">
        <v>7843</v>
      </c>
      <c r="AD401" s="1" t="s">
        <v>93</v>
      </c>
      <c r="AE401" s="1" t="s">
        <v>3467</v>
      </c>
      <c r="AF401" s="1" t="s">
        <v>7844</v>
      </c>
      <c r="AG401" s="1" t="s">
        <v>5379</v>
      </c>
      <c r="AH401" s="1" t="s">
        <v>3746</v>
      </c>
      <c r="AI401" s="1" t="s">
        <v>82</v>
      </c>
      <c r="AJ401" s="1" t="s">
        <v>7845</v>
      </c>
      <c r="AK401" s="1" t="s">
        <v>7846</v>
      </c>
      <c r="AL401" s="1" t="s">
        <v>7847</v>
      </c>
      <c r="AM401" s="1" t="s">
        <v>82</v>
      </c>
      <c r="AN401" s="1">
        <v>28</v>
      </c>
      <c r="AO401" s="1">
        <v>1</v>
      </c>
      <c r="AP401" s="1">
        <v>1</v>
      </c>
      <c r="AQ401" s="1">
        <v>3</v>
      </c>
      <c r="AR401" s="1">
        <v>3</v>
      </c>
      <c r="AS401" s="1" t="s">
        <v>1700</v>
      </c>
      <c r="AT401" s="1" t="s">
        <v>329</v>
      </c>
      <c r="AU401" s="1" t="s">
        <v>1701</v>
      </c>
      <c r="AV401" s="1" t="s">
        <v>7725</v>
      </c>
      <c r="AW401" s="1" t="s">
        <v>7726</v>
      </c>
      <c r="AX401" s="1" t="s">
        <v>82</v>
      </c>
      <c r="AY401" s="1" t="s">
        <v>7714</v>
      </c>
      <c r="AZ401" s="1" t="s">
        <v>7727</v>
      </c>
      <c r="BA401" s="1" t="s">
        <v>1340</v>
      </c>
      <c r="BB401" s="1">
        <v>2022</v>
      </c>
      <c r="BC401" s="1">
        <v>202</v>
      </c>
      <c r="BD401" s="1" t="s">
        <v>82</v>
      </c>
      <c r="BE401" s="1" t="s">
        <v>82</v>
      </c>
      <c r="BF401" s="1" t="s">
        <v>82</v>
      </c>
      <c r="BG401" s="1" t="s">
        <v>82</v>
      </c>
      <c r="BH401" s="1" t="s">
        <v>82</v>
      </c>
      <c r="BI401" s="1" t="s">
        <v>82</v>
      </c>
      <c r="BJ401" s="1" t="s">
        <v>82</v>
      </c>
      <c r="BK401" s="1">
        <v>113299</v>
      </c>
      <c r="BL401" s="1" t="s">
        <v>7848</v>
      </c>
      <c r="BM401" s="1" t="str">
        <f>HYPERLINK("http://dx.doi.org/10.1016/j.phytochem.2022.113299","http://dx.doi.org/10.1016/j.phytochem.2022.113299")</f>
        <v>http://dx.doi.org/10.1016/j.phytochem.2022.113299</v>
      </c>
      <c r="BN401" s="1" t="s">
        <v>82</v>
      </c>
      <c r="BO401" s="1" t="s">
        <v>1257</v>
      </c>
      <c r="BP401" s="1">
        <v>17</v>
      </c>
      <c r="BQ401" s="1" t="s">
        <v>425</v>
      </c>
      <c r="BR401" s="1" t="s">
        <v>745</v>
      </c>
      <c r="BS401" s="1" t="s">
        <v>425</v>
      </c>
      <c r="BT401" s="1" t="s">
        <v>7849</v>
      </c>
      <c r="BU401" s="1">
        <v>35809862</v>
      </c>
      <c r="BV401" s="1" t="s">
        <v>82</v>
      </c>
      <c r="BW401" s="1" t="s">
        <v>82</v>
      </c>
      <c r="BX401" s="1" t="s">
        <v>82</v>
      </c>
      <c r="BY401" s="1" t="s">
        <v>108</v>
      </c>
      <c r="BZ401" s="1" t="s">
        <v>7850</v>
      </c>
      <c r="CA401" s="1" t="str">
        <f>HYPERLINK("https%3A%2F%2Fwww.webofscience.com%2Fwos%2Fwoscc%2Ffull-record%2FWOS:000843673700006","View Full Record in Web of Science")</f>
        <v>View Full Record in Web of Science</v>
      </c>
    </row>
    <row r="402" s="1" customFormat="1" ht="14.4" spans="1:79">
      <c r="A402">
        <v>401</v>
      </c>
      <c r="B402" s="2" t="s">
        <v>110</v>
      </c>
      <c r="C402" s="1" t="s">
        <v>80</v>
      </c>
      <c r="D402" s="1" t="s">
        <v>7851</v>
      </c>
      <c r="E402" s="1" t="s">
        <v>82</v>
      </c>
      <c r="F402" s="1" t="s">
        <v>82</v>
      </c>
      <c r="G402" s="1" t="s">
        <v>82</v>
      </c>
      <c r="H402" s="1" t="s">
        <v>7852</v>
      </c>
      <c r="I402" s="1" t="s">
        <v>82</v>
      </c>
      <c r="J402" s="1" t="s">
        <v>82</v>
      </c>
      <c r="K402" s="1" t="s">
        <v>7853</v>
      </c>
      <c r="L402" s="1" t="s">
        <v>7714</v>
      </c>
      <c r="M402" s="1">
        <v>4.004</v>
      </c>
      <c r="O402" s="1" t="s">
        <v>82</v>
      </c>
      <c r="P402" s="1" t="s">
        <v>82</v>
      </c>
      <c r="Q402" s="1" t="s">
        <v>87</v>
      </c>
      <c r="R402" s="1" t="s">
        <v>115</v>
      </c>
      <c r="S402" s="1" t="s">
        <v>82</v>
      </c>
      <c r="T402" s="1" t="s">
        <v>82</v>
      </c>
      <c r="U402" s="1" t="s">
        <v>82</v>
      </c>
      <c r="V402" s="1" t="s">
        <v>82</v>
      </c>
      <c r="W402" s="1" t="s">
        <v>82</v>
      </c>
      <c r="X402" s="1" t="s">
        <v>7854</v>
      </c>
      <c r="Y402" s="1" t="s">
        <v>7855</v>
      </c>
      <c r="Z402" s="1" t="s">
        <v>7856</v>
      </c>
      <c r="AA402" s="1">
        <v>1</v>
      </c>
      <c r="AB402" s="1" t="s">
        <v>7857</v>
      </c>
      <c r="AC402" s="1" t="s">
        <v>7858</v>
      </c>
      <c r="AD402" s="1" t="s">
        <v>93</v>
      </c>
      <c r="AE402" s="1" t="s">
        <v>7859</v>
      </c>
      <c r="AF402" s="1" t="s">
        <v>7860</v>
      </c>
      <c r="AG402" s="1" t="s">
        <v>7861</v>
      </c>
      <c r="AH402" s="1" t="s">
        <v>5915</v>
      </c>
      <c r="AI402" s="1" t="s">
        <v>5916</v>
      </c>
      <c r="AJ402" s="1" t="s">
        <v>7862</v>
      </c>
      <c r="AK402" s="1" t="s">
        <v>442</v>
      </c>
      <c r="AL402" s="1" t="s">
        <v>7863</v>
      </c>
      <c r="AM402" s="1" t="s">
        <v>82</v>
      </c>
      <c r="AN402" s="1">
        <v>20</v>
      </c>
      <c r="AO402" s="1">
        <v>0</v>
      </c>
      <c r="AP402" s="1">
        <v>0</v>
      </c>
      <c r="AQ402" s="1">
        <v>10</v>
      </c>
      <c r="AR402" s="1">
        <v>11</v>
      </c>
      <c r="AS402" s="1" t="s">
        <v>1700</v>
      </c>
      <c r="AT402" s="1" t="s">
        <v>329</v>
      </c>
      <c r="AU402" s="1" t="s">
        <v>1701</v>
      </c>
      <c r="AV402" s="1" t="s">
        <v>7725</v>
      </c>
      <c r="AW402" s="1" t="s">
        <v>7726</v>
      </c>
      <c r="AX402" s="1" t="s">
        <v>82</v>
      </c>
      <c r="AY402" s="1" t="s">
        <v>7714</v>
      </c>
      <c r="AZ402" s="1" t="s">
        <v>7727</v>
      </c>
      <c r="BA402" s="1" t="s">
        <v>2521</v>
      </c>
      <c r="BB402" s="1">
        <v>2022</v>
      </c>
      <c r="BC402" s="1">
        <v>200</v>
      </c>
      <c r="BD402" s="1" t="s">
        <v>82</v>
      </c>
      <c r="BE402" s="1" t="s">
        <v>82</v>
      </c>
      <c r="BF402" s="1" t="s">
        <v>82</v>
      </c>
      <c r="BG402" s="1" t="s">
        <v>82</v>
      </c>
      <c r="BH402" s="1" t="s">
        <v>82</v>
      </c>
      <c r="BI402" s="1" t="s">
        <v>82</v>
      </c>
      <c r="BJ402" s="1" t="s">
        <v>82</v>
      </c>
      <c r="BK402" s="1">
        <v>113220</v>
      </c>
      <c r="BL402" s="1" t="s">
        <v>7864</v>
      </c>
      <c r="BM402" s="1" t="str">
        <f>HYPERLINK("http://dx.doi.org/10.1016/j.phytochem.2022.113220","http://dx.doi.org/10.1016/j.phytochem.2022.113220")</f>
        <v>http://dx.doi.org/10.1016/j.phytochem.2022.113220</v>
      </c>
      <c r="BN402" s="1" t="s">
        <v>82</v>
      </c>
      <c r="BO402" s="1" t="s">
        <v>247</v>
      </c>
      <c r="BP402" s="1">
        <v>7</v>
      </c>
      <c r="BQ402" s="1" t="s">
        <v>425</v>
      </c>
      <c r="BR402" s="1" t="s">
        <v>745</v>
      </c>
      <c r="BS402" s="1" t="s">
        <v>425</v>
      </c>
      <c r="BT402" s="1" t="s">
        <v>7865</v>
      </c>
      <c r="BU402" s="1">
        <v>35513135</v>
      </c>
      <c r="BV402" s="1" t="s">
        <v>82</v>
      </c>
      <c r="BW402" s="1" t="s">
        <v>82</v>
      </c>
      <c r="BX402" s="1" t="s">
        <v>82</v>
      </c>
      <c r="BY402" s="1" t="s">
        <v>108</v>
      </c>
      <c r="BZ402" s="1" t="s">
        <v>7866</v>
      </c>
      <c r="CA402" s="1" t="str">
        <f>HYPERLINK("https%3A%2F%2Fwww.webofscience.com%2Fwos%2Fwoscc%2Ffull-record%2FWOS:000831014500001","View Full Record in Web of Science")</f>
        <v>View Full Record in Web of Science</v>
      </c>
    </row>
    <row r="403" s="1" customFormat="1" ht="14.4" spans="1:79">
      <c r="A403">
        <v>402</v>
      </c>
      <c r="B403" s="2" t="s">
        <v>79</v>
      </c>
      <c r="C403" s="1" t="s">
        <v>80</v>
      </c>
      <c r="D403" s="1" t="s">
        <v>7867</v>
      </c>
      <c r="E403" s="1" t="s">
        <v>82</v>
      </c>
      <c r="F403" s="1" t="s">
        <v>82</v>
      </c>
      <c r="G403" s="1" t="s">
        <v>82</v>
      </c>
      <c r="H403" s="1" t="s">
        <v>7868</v>
      </c>
      <c r="I403" s="1" t="s">
        <v>82</v>
      </c>
      <c r="J403" s="1" t="s">
        <v>82</v>
      </c>
      <c r="K403" s="1" t="s">
        <v>7869</v>
      </c>
      <c r="L403" s="1" t="s">
        <v>7714</v>
      </c>
      <c r="M403" s="1">
        <v>4.004</v>
      </c>
      <c r="O403" s="1" t="s">
        <v>82</v>
      </c>
      <c r="P403" s="1" t="s">
        <v>82</v>
      </c>
      <c r="Q403" s="1" t="s">
        <v>87</v>
      </c>
      <c r="R403" s="1" t="s">
        <v>115</v>
      </c>
      <c r="S403" s="1" t="s">
        <v>82</v>
      </c>
      <c r="T403" s="1" t="s">
        <v>82</v>
      </c>
      <c r="U403" s="1" t="s">
        <v>82</v>
      </c>
      <c r="V403" s="1" t="s">
        <v>82</v>
      </c>
      <c r="W403" s="1" t="s">
        <v>82</v>
      </c>
      <c r="X403" s="1" t="s">
        <v>7870</v>
      </c>
      <c r="Y403" s="1" t="s">
        <v>7871</v>
      </c>
      <c r="Z403" s="1" t="s">
        <v>7872</v>
      </c>
      <c r="AB403" s="1" t="s">
        <v>7873</v>
      </c>
      <c r="AC403" s="1" t="s">
        <v>7874</v>
      </c>
      <c r="AD403" s="1" t="s">
        <v>120</v>
      </c>
      <c r="AE403" s="1" t="s">
        <v>7875</v>
      </c>
      <c r="AF403" s="1" t="s">
        <v>7876</v>
      </c>
      <c r="AG403" s="1" t="s">
        <v>7877</v>
      </c>
      <c r="AH403" s="1" t="s">
        <v>7878</v>
      </c>
      <c r="AI403" s="1" t="s">
        <v>82</v>
      </c>
      <c r="AJ403" s="1" t="s">
        <v>7879</v>
      </c>
      <c r="AK403" s="1" t="s">
        <v>7880</v>
      </c>
      <c r="AL403" s="1" t="s">
        <v>7881</v>
      </c>
      <c r="AM403" s="1" t="s">
        <v>82</v>
      </c>
      <c r="AN403" s="1">
        <v>25</v>
      </c>
      <c r="AO403" s="1">
        <v>1</v>
      </c>
      <c r="AP403" s="1">
        <v>1</v>
      </c>
      <c r="AQ403" s="1">
        <v>3</v>
      </c>
      <c r="AR403" s="1">
        <v>7</v>
      </c>
      <c r="AS403" s="1" t="s">
        <v>1700</v>
      </c>
      <c r="AT403" s="1" t="s">
        <v>329</v>
      </c>
      <c r="AU403" s="1" t="s">
        <v>1701</v>
      </c>
      <c r="AV403" s="1" t="s">
        <v>7725</v>
      </c>
      <c r="AW403" s="1" t="s">
        <v>7726</v>
      </c>
      <c r="AX403" s="1" t="s">
        <v>82</v>
      </c>
      <c r="AY403" s="1" t="s">
        <v>7714</v>
      </c>
      <c r="AZ403" s="1" t="s">
        <v>7727</v>
      </c>
      <c r="BA403" s="1" t="s">
        <v>222</v>
      </c>
      <c r="BB403" s="1">
        <v>2022</v>
      </c>
      <c r="BC403" s="1">
        <v>201</v>
      </c>
      <c r="BD403" s="1" t="s">
        <v>82</v>
      </c>
      <c r="BE403" s="1" t="s">
        <v>82</v>
      </c>
      <c r="BF403" s="1" t="s">
        <v>82</v>
      </c>
      <c r="BG403" s="1" t="s">
        <v>82</v>
      </c>
      <c r="BH403" s="1" t="s">
        <v>82</v>
      </c>
      <c r="BI403" s="1" t="s">
        <v>82</v>
      </c>
      <c r="BJ403" s="1" t="s">
        <v>82</v>
      </c>
      <c r="BK403" s="1">
        <v>113248</v>
      </c>
      <c r="BL403" s="1" t="s">
        <v>7882</v>
      </c>
      <c r="BM403" s="1" t="str">
        <f>HYPERLINK("http://dx.doi.org/10.1016/j.phytochem.2022.113248","http://dx.doi.org/10.1016/j.phytochem.2022.113248")</f>
        <v>http://dx.doi.org/10.1016/j.phytochem.2022.113248</v>
      </c>
      <c r="BN403" s="1" t="s">
        <v>82</v>
      </c>
      <c r="BO403" s="1" t="s">
        <v>1298</v>
      </c>
      <c r="BP403" s="1">
        <v>9</v>
      </c>
      <c r="BQ403" s="1" t="s">
        <v>425</v>
      </c>
      <c r="BR403" s="1" t="s">
        <v>745</v>
      </c>
      <c r="BS403" s="1" t="s">
        <v>425</v>
      </c>
      <c r="BT403" s="1" t="s">
        <v>7883</v>
      </c>
      <c r="BU403" s="1">
        <v>35643122</v>
      </c>
      <c r="BV403" s="1" t="s">
        <v>82</v>
      </c>
      <c r="BW403" s="1" t="s">
        <v>82</v>
      </c>
      <c r="BX403" s="1" t="s">
        <v>82</v>
      </c>
      <c r="BY403" s="1" t="s">
        <v>108</v>
      </c>
      <c r="BZ403" s="1" t="s">
        <v>7884</v>
      </c>
      <c r="CA403" s="1" t="str">
        <f>HYPERLINK("https%3A%2F%2Fwww.webofscience.com%2Fwos%2Fwoscc%2Ffull-record%2FWOS:000811432500009","View Full Record in Web of Science")</f>
        <v>View Full Record in Web of Science</v>
      </c>
    </row>
    <row r="404" s="1" customFormat="1" ht="14.4" spans="1:79">
      <c r="A404">
        <v>403</v>
      </c>
      <c r="B404" s="2" t="s">
        <v>79</v>
      </c>
      <c r="C404" s="1" t="s">
        <v>80</v>
      </c>
      <c r="D404" s="1" t="s">
        <v>7885</v>
      </c>
      <c r="E404" s="1" t="s">
        <v>82</v>
      </c>
      <c r="F404" s="1" t="s">
        <v>82</v>
      </c>
      <c r="G404" s="1" t="s">
        <v>82</v>
      </c>
      <c r="H404" s="1" t="s">
        <v>7886</v>
      </c>
      <c r="I404" s="1" t="s">
        <v>82</v>
      </c>
      <c r="J404" s="1" t="s">
        <v>82</v>
      </c>
      <c r="K404" s="1" t="s">
        <v>7887</v>
      </c>
      <c r="L404" s="1" t="s">
        <v>7714</v>
      </c>
      <c r="M404" s="1">
        <v>4.004</v>
      </c>
      <c r="O404" s="1" t="s">
        <v>82</v>
      </c>
      <c r="P404" s="1" t="s">
        <v>82</v>
      </c>
      <c r="Q404" s="1" t="s">
        <v>87</v>
      </c>
      <c r="R404" s="1" t="s">
        <v>115</v>
      </c>
      <c r="S404" s="1" t="s">
        <v>82</v>
      </c>
      <c r="T404" s="1" t="s">
        <v>82</v>
      </c>
      <c r="U404" s="1" t="s">
        <v>82</v>
      </c>
      <c r="V404" s="1" t="s">
        <v>82</v>
      </c>
      <c r="W404" s="1" t="s">
        <v>82</v>
      </c>
      <c r="X404" s="1" t="s">
        <v>7888</v>
      </c>
      <c r="Y404" s="1" t="s">
        <v>7889</v>
      </c>
      <c r="Z404" s="1" t="s">
        <v>7890</v>
      </c>
      <c r="AA404" s="1">
        <v>1</v>
      </c>
      <c r="AB404" s="1" t="s">
        <v>7891</v>
      </c>
      <c r="AC404" s="1" t="s">
        <v>7892</v>
      </c>
      <c r="AD404" s="1" t="s">
        <v>93</v>
      </c>
      <c r="AE404" s="1" t="s">
        <v>3467</v>
      </c>
      <c r="AF404" s="1" t="s">
        <v>3679</v>
      </c>
      <c r="AG404" s="1" t="s">
        <v>1552</v>
      </c>
      <c r="AH404" s="1" t="s">
        <v>82</v>
      </c>
      <c r="AI404" s="1" t="s">
        <v>82</v>
      </c>
      <c r="AJ404" s="1" t="s">
        <v>7893</v>
      </c>
      <c r="AK404" s="1" t="s">
        <v>7894</v>
      </c>
      <c r="AL404" s="1" t="s">
        <v>7895</v>
      </c>
      <c r="AM404" s="1" t="s">
        <v>82</v>
      </c>
      <c r="AN404" s="1">
        <v>31</v>
      </c>
      <c r="AO404" s="1">
        <v>0</v>
      </c>
      <c r="AP404" s="1">
        <v>0</v>
      </c>
      <c r="AQ404" s="1">
        <v>11</v>
      </c>
      <c r="AR404" s="1">
        <v>16</v>
      </c>
      <c r="AS404" s="1" t="s">
        <v>1700</v>
      </c>
      <c r="AT404" s="1" t="s">
        <v>329</v>
      </c>
      <c r="AU404" s="1" t="s">
        <v>1701</v>
      </c>
      <c r="AV404" s="1" t="s">
        <v>7725</v>
      </c>
      <c r="AW404" s="1" t="s">
        <v>7726</v>
      </c>
      <c r="AX404" s="1" t="s">
        <v>82</v>
      </c>
      <c r="AY404" s="1" t="s">
        <v>7714</v>
      </c>
      <c r="AZ404" s="1" t="s">
        <v>7727</v>
      </c>
      <c r="BA404" s="1" t="s">
        <v>2521</v>
      </c>
      <c r="BB404" s="1">
        <v>2022</v>
      </c>
      <c r="BC404" s="1">
        <v>200</v>
      </c>
      <c r="BD404" s="1" t="s">
        <v>82</v>
      </c>
      <c r="BE404" s="1" t="s">
        <v>82</v>
      </c>
      <c r="BF404" s="1" t="s">
        <v>82</v>
      </c>
      <c r="BG404" s="1" t="s">
        <v>82</v>
      </c>
      <c r="BH404" s="1" t="s">
        <v>82</v>
      </c>
      <c r="BI404" s="1" t="s">
        <v>82</v>
      </c>
      <c r="BJ404" s="1" t="s">
        <v>82</v>
      </c>
      <c r="BK404" s="1">
        <v>113223</v>
      </c>
      <c r="BL404" s="1" t="s">
        <v>7896</v>
      </c>
      <c r="BM404" s="1" t="str">
        <f>HYPERLINK("http://dx.doi.org/10.1016/j.phytochem.2022.113223","http://dx.doi.org/10.1016/j.phytochem.2022.113223")</f>
        <v>http://dx.doi.org/10.1016/j.phytochem.2022.113223</v>
      </c>
      <c r="BN404" s="1" t="s">
        <v>82</v>
      </c>
      <c r="BO404" s="1" t="s">
        <v>247</v>
      </c>
      <c r="BP404" s="1">
        <v>8</v>
      </c>
      <c r="BQ404" s="1" t="s">
        <v>425</v>
      </c>
      <c r="BR404" s="1" t="s">
        <v>104</v>
      </c>
      <c r="BS404" s="1" t="s">
        <v>425</v>
      </c>
      <c r="BT404" s="1" t="s">
        <v>7897</v>
      </c>
      <c r="BU404" s="1">
        <v>35513134</v>
      </c>
      <c r="BV404" s="1" t="s">
        <v>82</v>
      </c>
      <c r="BW404" s="1" t="s">
        <v>82</v>
      </c>
      <c r="BX404" s="1" t="s">
        <v>82</v>
      </c>
      <c r="BY404" s="1" t="s">
        <v>108</v>
      </c>
      <c r="BZ404" s="1" t="s">
        <v>7898</v>
      </c>
      <c r="CA404" s="1" t="str">
        <f>HYPERLINK("https%3A%2F%2Fwww.webofscience.com%2Fwos%2Fwoscc%2Ffull-record%2FWOS:000805433900005","View Full Record in Web of Science")</f>
        <v>View Full Record in Web of Science</v>
      </c>
    </row>
    <row r="405" s="1" customFormat="1" ht="14.4" spans="1:79">
      <c r="A405">
        <v>404</v>
      </c>
      <c r="B405" s="2" t="s">
        <v>110</v>
      </c>
      <c r="C405" s="1" t="s">
        <v>80</v>
      </c>
      <c r="D405" s="1" t="s">
        <v>7899</v>
      </c>
      <c r="E405" s="1" t="s">
        <v>82</v>
      </c>
      <c r="F405" s="1" t="s">
        <v>82</v>
      </c>
      <c r="G405" s="1" t="s">
        <v>82</v>
      </c>
      <c r="H405" s="1" t="s">
        <v>7900</v>
      </c>
      <c r="I405" s="1" t="s">
        <v>82</v>
      </c>
      <c r="J405" s="1" t="s">
        <v>82</v>
      </c>
      <c r="K405" s="1" t="s">
        <v>7901</v>
      </c>
      <c r="L405" s="1" t="s">
        <v>7714</v>
      </c>
      <c r="M405" s="1">
        <v>4.004</v>
      </c>
      <c r="O405" s="1" t="s">
        <v>82</v>
      </c>
      <c r="P405" s="1" t="s">
        <v>82</v>
      </c>
      <c r="Q405" s="1" t="s">
        <v>87</v>
      </c>
      <c r="R405" s="1" t="s">
        <v>115</v>
      </c>
      <c r="S405" s="1" t="s">
        <v>82</v>
      </c>
      <c r="T405" s="1" t="s">
        <v>82</v>
      </c>
      <c r="U405" s="1" t="s">
        <v>82</v>
      </c>
      <c r="V405" s="1" t="s">
        <v>82</v>
      </c>
      <c r="W405" s="1" t="s">
        <v>82</v>
      </c>
      <c r="X405" s="1" t="s">
        <v>7902</v>
      </c>
      <c r="Y405" s="1" t="s">
        <v>7903</v>
      </c>
      <c r="Z405" s="1" t="s">
        <v>7904</v>
      </c>
      <c r="AA405" s="1">
        <v>1</v>
      </c>
      <c r="AB405" s="1" t="s">
        <v>7905</v>
      </c>
      <c r="AC405" s="1" t="s">
        <v>7906</v>
      </c>
      <c r="AD405" s="1" t="s">
        <v>93</v>
      </c>
      <c r="AE405" s="1" t="s">
        <v>5931</v>
      </c>
      <c r="AF405" s="1" t="s">
        <v>5932</v>
      </c>
      <c r="AG405" s="1" t="s">
        <v>5933</v>
      </c>
      <c r="AH405" s="1" t="s">
        <v>7907</v>
      </c>
      <c r="AI405" s="1" t="s">
        <v>82</v>
      </c>
      <c r="AJ405" s="1" t="s">
        <v>7908</v>
      </c>
      <c r="AK405" s="1" t="s">
        <v>7909</v>
      </c>
      <c r="AL405" s="1" t="s">
        <v>7910</v>
      </c>
      <c r="AM405" s="1" t="s">
        <v>82</v>
      </c>
      <c r="AN405" s="1">
        <v>34</v>
      </c>
      <c r="AO405" s="1">
        <v>2</v>
      </c>
      <c r="AP405" s="1">
        <v>3</v>
      </c>
      <c r="AQ405" s="1">
        <v>1</v>
      </c>
      <c r="AR405" s="1">
        <v>14</v>
      </c>
      <c r="AS405" s="1" t="s">
        <v>1700</v>
      </c>
      <c r="AT405" s="1" t="s">
        <v>329</v>
      </c>
      <c r="AU405" s="1" t="s">
        <v>1701</v>
      </c>
      <c r="AV405" s="1" t="s">
        <v>7725</v>
      </c>
      <c r="AW405" s="1" t="s">
        <v>7726</v>
      </c>
      <c r="AX405" s="1" t="s">
        <v>82</v>
      </c>
      <c r="AY405" s="1" t="s">
        <v>7714</v>
      </c>
      <c r="AZ405" s="1" t="s">
        <v>7727</v>
      </c>
      <c r="BA405" s="1" t="s">
        <v>1826</v>
      </c>
      <c r="BB405" s="1">
        <v>2022</v>
      </c>
      <c r="BC405" s="1">
        <v>193</v>
      </c>
      <c r="BD405" s="1" t="s">
        <v>82</v>
      </c>
      <c r="BE405" s="1" t="s">
        <v>82</v>
      </c>
      <c r="BF405" s="1" t="s">
        <v>82</v>
      </c>
      <c r="BG405" s="1" t="s">
        <v>82</v>
      </c>
      <c r="BH405" s="1" t="s">
        <v>82</v>
      </c>
      <c r="BI405" s="1" t="s">
        <v>82</v>
      </c>
      <c r="BJ405" s="1" t="s">
        <v>82</v>
      </c>
      <c r="BK405" s="1">
        <v>112973</v>
      </c>
      <c r="BL405" s="1" t="s">
        <v>7911</v>
      </c>
      <c r="BM405" s="1" t="str">
        <f>HYPERLINK("http://dx.doi.org/10.1016/j.phytochem.2021.112973","http://dx.doi.org/10.1016/j.phytochem.2021.112973")</f>
        <v>http://dx.doi.org/10.1016/j.phytochem.2021.112973</v>
      </c>
      <c r="BN405" s="1" t="s">
        <v>82</v>
      </c>
      <c r="BO405" s="1" t="s">
        <v>82</v>
      </c>
      <c r="BP405" s="1">
        <v>11</v>
      </c>
      <c r="BQ405" s="1" t="s">
        <v>425</v>
      </c>
      <c r="BR405" s="1" t="s">
        <v>745</v>
      </c>
      <c r="BS405" s="1" t="s">
        <v>425</v>
      </c>
      <c r="BT405" s="1" t="s">
        <v>7912</v>
      </c>
      <c r="BU405" s="1">
        <v>34656025</v>
      </c>
      <c r="BV405" s="1" t="s">
        <v>82</v>
      </c>
      <c r="BW405" s="1" t="s">
        <v>82</v>
      </c>
      <c r="BX405" s="1" t="s">
        <v>82</v>
      </c>
      <c r="BY405" s="1" t="s">
        <v>108</v>
      </c>
      <c r="BZ405" s="1" t="s">
        <v>7913</v>
      </c>
      <c r="CA405" s="1" t="str">
        <f>HYPERLINK("https%3A%2F%2Fwww.webofscience.com%2Fwos%2Fwoscc%2Ffull-record%2FWOS:000805238400001","View Full Record in Web of Science")</f>
        <v>View Full Record in Web of Science</v>
      </c>
    </row>
    <row r="406" s="1" customFormat="1" ht="14.4" spans="1:79">
      <c r="A406">
        <v>405</v>
      </c>
      <c r="B406" s="2" t="s">
        <v>110</v>
      </c>
      <c r="C406" s="1" t="s">
        <v>80</v>
      </c>
      <c r="D406" s="1" t="s">
        <v>7914</v>
      </c>
      <c r="E406" s="1" t="s">
        <v>82</v>
      </c>
      <c r="F406" s="1" t="s">
        <v>82</v>
      </c>
      <c r="G406" s="1" t="s">
        <v>82</v>
      </c>
      <c r="H406" s="1" t="s">
        <v>7915</v>
      </c>
      <c r="I406" s="1" t="s">
        <v>82</v>
      </c>
      <c r="J406" s="1" t="s">
        <v>82</v>
      </c>
      <c r="K406" s="1" t="s">
        <v>7916</v>
      </c>
      <c r="L406" s="1" t="s">
        <v>7714</v>
      </c>
      <c r="M406" s="1">
        <v>4.004</v>
      </c>
      <c r="O406" s="1" t="s">
        <v>82</v>
      </c>
      <c r="P406" s="1" t="s">
        <v>82</v>
      </c>
      <c r="Q406" s="1" t="s">
        <v>87</v>
      </c>
      <c r="R406" s="1" t="s">
        <v>115</v>
      </c>
      <c r="S406" s="1" t="s">
        <v>82</v>
      </c>
      <c r="T406" s="1" t="s">
        <v>82</v>
      </c>
      <c r="U406" s="1" t="s">
        <v>82</v>
      </c>
      <c r="V406" s="1" t="s">
        <v>82</v>
      </c>
      <c r="W406" s="1" t="s">
        <v>82</v>
      </c>
      <c r="X406" s="1" t="s">
        <v>7917</v>
      </c>
      <c r="Y406" s="1" t="s">
        <v>82</v>
      </c>
      <c r="Z406" s="1" t="s">
        <v>7918</v>
      </c>
      <c r="AB406" s="1" t="s">
        <v>7919</v>
      </c>
      <c r="AC406" s="1" t="s">
        <v>7920</v>
      </c>
      <c r="AD406" s="1" t="s">
        <v>206</v>
      </c>
      <c r="AE406" s="1" t="s">
        <v>7921</v>
      </c>
      <c r="AF406" s="1" t="s">
        <v>7922</v>
      </c>
      <c r="AG406" s="1" t="s">
        <v>7923</v>
      </c>
      <c r="AH406" s="1" t="s">
        <v>82</v>
      </c>
      <c r="AI406" s="1" t="s">
        <v>7924</v>
      </c>
      <c r="AJ406" s="1" t="s">
        <v>7862</v>
      </c>
      <c r="AK406" s="1" t="s">
        <v>442</v>
      </c>
      <c r="AL406" s="1" t="s">
        <v>7925</v>
      </c>
      <c r="AM406" s="1" t="s">
        <v>82</v>
      </c>
      <c r="AN406" s="1">
        <v>14</v>
      </c>
      <c r="AO406" s="1">
        <v>0</v>
      </c>
      <c r="AP406" s="1">
        <v>0</v>
      </c>
      <c r="AQ406" s="1">
        <v>7</v>
      </c>
      <c r="AR406" s="1">
        <v>9</v>
      </c>
      <c r="AS406" s="1" t="s">
        <v>1700</v>
      </c>
      <c r="AT406" s="1" t="s">
        <v>329</v>
      </c>
      <c r="AU406" s="1" t="s">
        <v>1701</v>
      </c>
      <c r="AV406" s="1" t="s">
        <v>7725</v>
      </c>
      <c r="AW406" s="1" t="s">
        <v>7726</v>
      </c>
      <c r="AX406" s="1" t="s">
        <v>82</v>
      </c>
      <c r="AY406" s="1" t="s">
        <v>7714</v>
      </c>
      <c r="AZ406" s="1" t="s">
        <v>7727</v>
      </c>
      <c r="BA406" s="1" t="s">
        <v>1146</v>
      </c>
      <c r="BB406" s="1">
        <v>2022</v>
      </c>
      <c r="BC406" s="1">
        <v>198</v>
      </c>
      <c r="BD406" s="1" t="s">
        <v>82</v>
      </c>
      <c r="BE406" s="1" t="s">
        <v>82</v>
      </c>
      <c r="BF406" s="1" t="s">
        <v>82</v>
      </c>
      <c r="BG406" s="1" t="s">
        <v>82</v>
      </c>
      <c r="BH406" s="1" t="s">
        <v>82</v>
      </c>
      <c r="BI406" s="1" t="s">
        <v>82</v>
      </c>
      <c r="BJ406" s="1" t="s">
        <v>82</v>
      </c>
      <c r="BK406" s="1">
        <v>113160</v>
      </c>
      <c r="BL406" s="1" t="s">
        <v>7926</v>
      </c>
      <c r="BM406" s="1" t="str">
        <f>HYPERLINK("http://dx.doi.org/10.1016/j.phytochem.2022.113160","http://dx.doi.org/10.1016/j.phytochem.2022.113160")</f>
        <v>http://dx.doi.org/10.1016/j.phytochem.2022.113160</v>
      </c>
      <c r="BN406" s="1" t="s">
        <v>82</v>
      </c>
      <c r="BO406" s="1" t="s">
        <v>282</v>
      </c>
      <c r="BP406" s="1">
        <v>8</v>
      </c>
      <c r="BQ406" s="1" t="s">
        <v>425</v>
      </c>
      <c r="BR406" s="1" t="s">
        <v>745</v>
      </c>
      <c r="BS406" s="1" t="s">
        <v>425</v>
      </c>
      <c r="BT406" s="1" t="s">
        <v>7927</v>
      </c>
      <c r="BU406" s="1">
        <v>35292327</v>
      </c>
      <c r="BV406" s="1" t="s">
        <v>82</v>
      </c>
      <c r="BW406" s="1" t="s">
        <v>82</v>
      </c>
      <c r="BX406" s="1" t="s">
        <v>82</v>
      </c>
      <c r="BY406" s="1" t="s">
        <v>108</v>
      </c>
      <c r="BZ406" s="1" t="s">
        <v>7928</v>
      </c>
      <c r="CA406" s="1" t="str">
        <f>HYPERLINK("https%3A%2F%2Fwww.webofscience.com%2Fwos%2Fwoscc%2Ffull-record%2FWOS:000791218100003","View Full Record in Web of Science")</f>
        <v>View Full Record in Web of Science</v>
      </c>
    </row>
    <row r="407" s="1" customFormat="1" ht="14.4" spans="1:79">
      <c r="A407">
        <v>406</v>
      </c>
      <c r="B407" s="2" t="s">
        <v>110</v>
      </c>
      <c r="C407" s="1" t="s">
        <v>80</v>
      </c>
      <c r="D407" s="1" t="s">
        <v>7929</v>
      </c>
      <c r="E407" s="1" t="s">
        <v>82</v>
      </c>
      <c r="F407" s="1" t="s">
        <v>82</v>
      </c>
      <c r="G407" s="1" t="s">
        <v>82</v>
      </c>
      <c r="H407" s="1" t="s">
        <v>7930</v>
      </c>
      <c r="I407" s="1" t="s">
        <v>82</v>
      </c>
      <c r="J407" s="1" t="s">
        <v>82</v>
      </c>
      <c r="K407" s="1" t="s">
        <v>7931</v>
      </c>
      <c r="L407" s="1" t="s">
        <v>7714</v>
      </c>
      <c r="M407" s="1">
        <v>4.004</v>
      </c>
      <c r="O407" s="1" t="s">
        <v>82</v>
      </c>
      <c r="P407" s="1" t="s">
        <v>82</v>
      </c>
      <c r="Q407" s="1" t="s">
        <v>87</v>
      </c>
      <c r="R407" s="1" t="s">
        <v>115</v>
      </c>
      <c r="S407" s="1" t="s">
        <v>82</v>
      </c>
      <c r="T407" s="1" t="s">
        <v>82</v>
      </c>
      <c r="U407" s="1" t="s">
        <v>82</v>
      </c>
      <c r="V407" s="1" t="s">
        <v>82</v>
      </c>
      <c r="W407" s="1" t="s">
        <v>82</v>
      </c>
      <c r="X407" s="1" t="s">
        <v>7932</v>
      </c>
      <c r="Y407" s="1" t="s">
        <v>7933</v>
      </c>
      <c r="Z407" s="1" t="s">
        <v>7934</v>
      </c>
      <c r="AB407" s="1" t="s">
        <v>7935</v>
      </c>
      <c r="AC407" s="1" t="s">
        <v>7936</v>
      </c>
      <c r="AD407" s="1" t="s">
        <v>120</v>
      </c>
      <c r="AE407" s="1" t="s">
        <v>7937</v>
      </c>
      <c r="AF407" s="1" t="s">
        <v>7938</v>
      </c>
      <c r="AG407" s="1" t="s">
        <v>7939</v>
      </c>
      <c r="AH407" s="1" t="s">
        <v>7940</v>
      </c>
      <c r="AI407" s="1" t="s">
        <v>7941</v>
      </c>
      <c r="AJ407" s="1" t="s">
        <v>7942</v>
      </c>
      <c r="AK407" s="1" t="s">
        <v>7943</v>
      </c>
      <c r="AL407" s="1" t="s">
        <v>7944</v>
      </c>
      <c r="AM407" s="1" t="s">
        <v>82</v>
      </c>
      <c r="AN407" s="1">
        <v>28</v>
      </c>
      <c r="AO407" s="1">
        <v>2</v>
      </c>
      <c r="AP407" s="1">
        <v>2</v>
      </c>
      <c r="AQ407" s="1">
        <v>0</v>
      </c>
      <c r="AR407" s="1">
        <v>11</v>
      </c>
      <c r="AS407" s="1" t="s">
        <v>1700</v>
      </c>
      <c r="AT407" s="1" t="s">
        <v>329</v>
      </c>
      <c r="AU407" s="1" t="s">
        <v>1701</v>
      </c>
      <c r="AV407" s="1" t="s">
        <v>7725</v>
      </c>
      <c r="AW407" s="1" t="s">
        <v>7726</v>
      </c>
      <c r="AX407" s="1" t="s">
        <v>82</v>
      </c>
      <c r="AY407" s="1" t="s">
        <v>7714</v>
      </c>
      <c r="AZ407" s="1" t="s">
        <v>7727</v>
      </c>
      <c r="BA407" s="1" t="s">
        <v>397</v>
      </c>
      <c r="BB407" s="1">
        <v>2022</v>
      </c>
      <c r="BC407" s="1">
        <v>194</v>
      </c>
      <c r="BD407" s="1" t="s">
        <v>82</v>
      </c>
      <c r="BE407" s="1" t="s">
        <v>82</v>
      </c>
      <c r="BF407" s="1" t="s">
        <v>82</v>
      </c>
      <c r="BG407" s="1" t="s">
        <v>82</v>
      </c>
      <c r="BH407" s="1" t="s">
        <v>82</v>
      </c>
      <c r="BI407" s="1" t="s">
        <v>82</v>
      </c>
      <c r="BJ407" s="1" t="s">
        <v>82</v>
      </c>
      <c r="BK407" s="1">
        <v>112969</v>
      </c>
      <c r="BL407" s="1" t="s">
        <v>7945</v>
      </c>
      <c r="BM407" s="1" t="str">
        <f>HYPERLINK("http://dx.doi.org/10.1016/j.phytochem.2021.112969","http://dx.doi.org/10.1016/j.phytochem.2021.112969")</f>
        <v>http://dx.doi.org/10.1016/j.phytochem.2021.112969</v>
      </c>
      <c r="BN407" s="1" t="s">
        <v>82</v>
      </c>
      <c r="BO407" s="1" t="s">
        <v>904</v>
      </c>
      <c r="BP407" s="1">
        <v>6</v>
      </c>
      <c r="BQ407" s="1" t="s">
        <v>425</v>
      </c>
      <c r="BR407" s="1" t="s">
        <v>745</v>
      </c>
      <c r="BS407" s="1" t="s">
        <v>425</v>
      </c>
      <c r="BT407" s="1" t="s">
        <v>7946</v>
      </c>
      <c r="BU407" s="1">
        <v>34861538</v>
      </c>
      <c r="BV407" s="1" t="s">
        <v>82</v>
      </c>
      <c r="BW407" s="1" t="s">
        <v>82</v>
      </c>
      <c r="BX407" s="1" t="s">
        <v>82</v>
      </c>
      <c r="BY407" s="1" t="s">
        <v>108</v>
      </c>
      <c r="BZ407" s="1" t="s">
        <v>7947</v>
      </c>
      <c r="CA407" s="1" t="str">
        <f>HYPERLINK("https%3A%2F%2Fwww.webofscience.com%2Fwos%2Fwoscc%2Ffull-record%2FWOS:000737602700001","View Full Record in Web of Science")</f>
        <v>View Full Record in Web of Science</v>
      </c>
    </row>
    <row r="408" s="1" customFormat="1" ht="14.4" spans="1:79">
      <c r="A408">
        <v>407</v>
      </c>
      <c r="B408" s="2" t="s">
        <v>110</v>
      </c>
      <c r="C408" s="1" t="s">
        <v>80</v>
      </c>
      <c r="D408" s="1" t="s">
        <v>7948</v>
      </c>
      <c r="E408" s="1" t="s">
        <v>82</v>
      </c>
      <c r="F408" s="1" t="s">
        <v>82</v>
      </c>
      <c r="G408" s="1" t="s">
        <v>82</v>
      </c>
      <c r="H408" s="1" t="s">
        <v>7949</v>
      </c>
      <c r="I408" s="1" t="s">
        <v>82</v>
      </c>
      <c r="J408" s="1" t="s">
        <v>82</v>
      </c>
      <c r="K408" s="1" t="s">
        <v>7950</v>
      </c>
      <c r="L408" s="1" t="s">
        <v>7714</v>
      </c>
      <c r="M408" s="1">
        <v>4.004</v>
      </c>
      <c r="O408" s="1" t="s">
        <v>82</v>
      </c>
      <c r="P408" s="1" t="s">
        <v>82</v>
      </c>
      <c r="Q408" s="1" t="s">
        <v>87</v>
      </c>
      <c r="R408" s="1" t="s">
        <v>115</v>
      </c>
      <c r="S408" s="1" t="s">
        <v>82</v>
      </c>
      <c r="T408" s="1" t="s">
        <v>82</v>
      </c>
      <c r="U408" s="1" t="s">
        <v>82</v>
      </c>
      <c r="V408" s="1" t="s">
        <v>82</v>
      </c>
      <c r="W408" s="1" t="s">
        <v>82</v>
      </c>
      <c r="X408" s="1" t="s">
        <v>7951</v>
      </c>
      <c r="Y408" s="1" t="s">
        <v>7952</v>
      </c>
      <c r="Z408" s="1" t="s">
        <v>7953</v>
      </c>
      <c r="AB408" s="1" t="s">
        <v>7954</v>
      </c>
      <c r="AC408" s="1" t="s">
        <v>7955</v>
      </c>
      <c r="AD408" s="1" t="s">
        <v>120</v>
      </c>
      <c r="AE408" s="1" t="s">
        <v>7956</v>
      </c>
      <c r="AF408" s="1" t="s">
        <v>7957</v>
      </c>
      <c r="AG408" s="1" t="s">
        <v>7958</v>
      </c>
      <c r="AH408" s="1" t="s">
        <v>82</v>
      </c>
      <c r="AI408" s="1" t="s">
        <v>82</v>
      </c>
      <c r="AJ408" s="1" t="s">
        <v>7959</v>
      </c>
      <c r="AK408" s="1" t="s">
        <v>7960</v>
      </c>
      <c r="AL408" s="1" t="s">
        <v>7961</v>
      </c>
      <c r="AM408" s="1" t="s">
        <v>82</v>
      </c>
      <c r="AN408" s="1">
        <v>48</v>
      </c>
      <c r="AO408" s="1">
        <v>0</v>
      </c>
      <c r="AP408" s="1">
        <v>0</v>
      </c>
      <c r="AQ408" s="1">
        <v>0</v>
      </c>
      <c r="AR408" s="1">
        <v>3</v>
      </c>
      <c r="AS408" s="1" t="s">
        <v>1700</v>
      </c>
      <c r="AT408" s="1" t="s">
        <v>329</v>
      </c>
      <c r="AU408" s="1" t="s">
        <v>1701</v>
      </c>
      <c r="AV408" s="1" t="s">
        <v>7725</v>
      </c>
      <c r="AW408" s="1" t="s">
        <v>7726</v>
      </c>
      <c r="AX408" s="1" t="s">
        <v>82</v>
      </c>
      <c r="AY408" s="1" t="s">
        <v>7714</v>
      </c>
      <c r="AZ408" s="1" t="s">
        <v>7727</v>
      </c>
      <c r="BA408" s="1" t="s">
        <v>397</v>
      </c>
      <c r="BB408" s="1">
        <v>2022</v>
      </c>
      <c r="BC408" s="1">
        <v>194</v>
      </c>
      <c r="BD408" s="1" t="s">
        <v>82</v>
      </c>
      <c r="BE408" s="1" t="s">
        <v>82</v>
      </c>
      <c r="BF408" s="1" t="s">
        <v>82</v>
      </c>
      <c r="BG408" s="1" t="s">
        <v>82</v>
      </c>
      <c r="BH408" s="1" t="s">
        <v>82</v>
      </c>
      <c r="BI408" s="1" t="s">
        <v>82</v>
      </c>
      <c r="BJ408" s="1" t="s">
        <v>82</v>
      </c>
      <c r="BK408" s="1">
        <v>113019</v>
      </c>
      <c r="BL408" s="1" t="s">
        <v>7962</v>
      </c>
      <c r="BM408" s="1" t="str">
        <f>HYPERLINK("http://dx.doi.org/10.1016/j.phytochem.2021.113019","http://dx.doi.org/10.1016/j.phytochem.2021.113019")</f>
        <v>http://dx.doi.org/10.1016/j.phytochem.2021.113019</v>
      </c>
      <c r="BN408" s="1" t="s">
        <v>82</v>
      </c>
      <c r="BO408" s="1" t="s">
        <v>904</v>
      </c>
      <c r="BP408" s="1">
        <v>9</v>
      </c>
      <c r="BQ408" s="1" t="s">
        <v>425</v>
      </c>
      <c r="BR408" s="1" t="s">
        <v>745</v>
      </c>
      <c r="BS408" s="1" t="s">
        <v>425</v>
      </c>
      <c r="BT408" s="1" t="s">
        <v>7963</v>
      </c>
      <c r="BU408" s="1">
        <v>34826794</v>
      </c>
      <c r="BV408" s="1" t="s">
        <v>82</v>
      </c>
      <c r="BW408" s="1" t="s">
        <v>82</v>
      </c>
      <c r="BX408" s="1" t="s">
        <v>82</v>
      </c>
      <c r="BY408" s="1" t="s">
        <v>108</v>
      </c>
      <c r="BZ408" s="1" t="s">
        <v>7964</v>
      </c>
      <c r="CA408" s="1" t="str">
        <f>HYPERLINK("https%3A%2F%2Fwww.webofscience.com%2Fwos%2Fwoscc%2Ffull-record%2FWOS:000723417800004","View Full Record in Web of Science")</f>
        <v>View Full Record in Web of Science</v>
      </c>
    </row>
    <row r="409" s="1" customFormat="1" ht="14.4" spans="1:79">
      <c r="A409">
        <v>408</v>
      </c>
      <c r="B409" s="2" t="s">
        <v>110</v>
      </c>
      <c r="C409" s="1" t="s">
        <v>80</v>
      </c>
      <c r="D409" s="1" t="s">
        <v>7965</v>
      </c>
      <c r="E409" s="1" t="s">
        <v>82</v>
      </c>
      <c r="F409" s="1" t="s">
        <v>82</v>
      </c>
      <c r="G409" s="1" t="s">
        <v>82</v>
      </c>
      <c r="H409" s="1" t="s">
        <v>7966</v>
      </c>
      <c r="I409" s="1" t="s">
        <v>82</v>
      </c>
      <c r="J409" s="1" t="s">
        <v>82</v>
      </c>
      <c r="K409" s="1" t="s">
        <v>7967</v>
      </c>
      <c r="L409" s="1" t="s">
        <v>7714</v>
      </c>
      <c r="M409" s="1">
        <v>4.004</v>
      </c>
      <c r="O409" s="1" t="s">
        <v>82</v>
      </c>
      <c r="P409" s="1" t="s">
        <v>82</v>
      </c>
      <c r="Q409" s="1" t="s">
        <v>87</v>
      </c>
      <c r="R409" s="1" t="s">
        <v>115</v>
      </c>
      <c r="S409" s="1" t="s">
        <v>82</v>
      </c>
      <c r="T409" s="1" t="s">
        <v>82</v>
      </c>
      <c r="U409" s="1" t="s">
        <v>82</v>
      </c>
      <c r="V409" s="1" t="s">
        <v>82</v>
      </c>
      <c r="W409" s="1" t="s">
        <v>82</v>
      </c>
      <c r="X409" s="1" t="s">
        <v>7968</v>
      </c>
      <c r="Y409" s="1" t="s">
        <v>82</v>
      </c>
      <c r="Z409" s="1" t="s">
        <v>7969</v>
      </c>
      <c r="AB409" s="1" t="s">
        <v>7970</v>
      </c>
      <c r="AC409" s="1" t="s">
        <v>7971</v>
      </c>
      <c r="AD409" s="1" t="s">
        <v>120</v>
      </c>
      <c r="AE409" s="1" t="s">
        <v>7972</v>
      </c>
      <c r="AF409" s="1" t="s">
        <v>7973</v>
      </c>
      <c r="AG409" s="1" t="s">
        <v>3975</v>
      </c>
      <c r="AH409" s="1" t="s">
        <v>7974</v>
      </c>
      <c r="AI409" s="1" t="s">
        <v>82</v>
      </c>
      <c r="AJ409" s="1" t="s">
        <v>7975</v>
      </c>
      <c r="AK409" s="1" t="s">
        <v>7976</v>
      </c>
      <c r="AL409" s="1" t="s">
        <v>7977</v>
      </c>
      <c r="AM409" s="1" t="s">
        <v>82</v>
      </c>
      <c r="AN409" s="1">
        <v>20</v>
      </c>
      <c r="AO409" s="1">
        <v>4</v>
      </c>
      <c r="AP409" s="1">
        <v>4</v>
      </c>
      <c r="AQ409" s="1">
        <v>7</v>
      </c>
      <c r="AR409" s="1">
        <v>48</v>
      </c>
      <c r="AS409" s="1" t="s">
        <v>1700</v>
      </c>
      <c r="AT409" s="1" t="s">
        <v>329</v>
      </c>
      <c r="AU409" s="1" t="s">
        <v>1701</v>
      </c>
      <c r="AV409" s="1" t="s">
        <v>7725</v>
      </c>
      <c r="AW409" s="1" t="s">
        <v>7726</v>
      </c>
      <c r="AX409" s="1" t="s">
        <v>82</v>
      </c>
      <c r="AY409" s="1" t="s">
        <v>7714</v>
      </c>
      <c r="AZ409" s="1" t="s">
        <v>7727</v>
      </c>
      <c r="BA409" s="1" t="s">
        <v>1826</v>
      </c>
      <c r="BB409" s="1">
        <v>2022</v>
      </c>
      <c r="BC409" s="1">
        <v>193</v>
      </c>
      <c r="BD409" s="1" t="s">
        <v>82</v>
      </c>
      <c r="BE409" s="1" t="s">
        <v>82</v>
      </c>
      <c r="BF409" s="1" t="s">
        <v>82</v>
      </c>
      <c r="BG409" s="1" t="s">
        <v>82</v>
      </c>
      <c r="BH409" s="1" t="s">
        <v>82</v>
      </c>
      <c r="BI409" s="1" t="s">
        <v>82</v>
      </c>
      <c r="BJ409" s="1" t="s">
        <v>82</v>
      </c>
      <c r="BK409" s="1">
        <v>112970</v>
      </c>
      <c r="BL409" s="1" t="s">
        <v>7978</v>
      </c>
      <c r="BM409" s="1" t="str">
        <f>HYPERLINK("http://dx.doi.org/10.1016/j.phytochem.2021.112970","http://dx.doi.org/10.1016/j.phytochem.2021.112970")</f>
        <v>http://dx.doi.org/10.1016/j.phytochem.2021.112970</v>
      </c>
      <c r="BN409" s="1" t="s">
        <v>82</v>
      </c>
      <c r="BO409" s="1" t="s">
        <v>1233</v>
      </c>
      <c r="BP409" s="1">
        <v>8</v>
      </c>
      <c r="BQ409" s="1" t="s">
        <v>425</v>
      </c>
      <c r="BR409" s="1" t="s">
        <v>745</v>
      </c>
      <c r="BS409" s="1" t="s">
        <v>425</v>
      </c>
      <c r="BT409" s="1" t="s">
        <v>7979</v>
      </c>
      <c r="BU409" s="1">
        <v>34689099</v>
      </c>
      <c r="BV409" s="1" t="s">
        <v>82</v>
      </c>
      <c r="BW409" s="1" t="s">
        <v>82</v>
      </c>
      <c r="BX409" s="1" t="s">
        <v>82</v>
      </c>
      <c r="BY409" s="1" t="s">
        <v>108</v>
      </c>
      <c r="BZ409" s="1" t="s">
        <v>7980</v>
      </c>
      <c r="CA409" s="1" t="str">
        <f>HYPERLINK("https%3A%2F%2Fwww.webofscience.com%2Fwos%2Fwoscc%2Ffull-record%2FWOS:000715094900001","View Full Record in Web of Science")</f>
        <v>View Full Record in Web of Science</v>
      </c>
    </row>
    <row r="410" s="1" customFormat="1" ht="14.4" spans="1:79">
      <c r="A410">
        <v>409</v>
      </c>
      <c r="B410" s="2" t="s">
        <v>79</v>
      </c>
      <c r="C410" s="1" t="s">
        <v>80</v>
      </c>
      <c r="D410" s="1" t="s">
        <v>7981</v>
      </c>
      <c r="E410" s="1" t="s">
        <v>82</v>
      </c>
      <c r="F410" s="1" t="s">
        <v>82</v>
      </c>
      <c r="G410" s="1" t="s">
        <v>82</v>
      </c>
      <c r="H410" s="1" t="s">
        <v>7982</v>
      </c>
      <c r="I410" s="1" t="s">
        <v>82</v>
      </c>
      <c r="J410" s="1" t="s">
        <v>82</v>
      </c>
      <c r="K410" s="1" t="s">
        <v>7983</v>
      </c>
      <c r="L410" s="1" t="s">
        <v>7984</v>
      </c>
      <c r="M410" s="1">
        <v>3.969</v>
      </c>
      <c r="O410" s="1" t="s">
        <v>82</v>
      </c>
      <c r="P410" s="1" t="s">
        <v>82</v>
      </c>
      <c r="Q410" s="1" t="s">
        <v>87</v>
      </c>
      <c r="R410" s="1" t="s">
        <v>115</v>
      </c>
      <c r="S410" s="1" t="s">
        <v>82</v>
      </c>
      <c r="T410" s="1" t="s">
        <v>82</v>
      </c>
      <c r="U410" s="1" t="s">
        <v>82</v>
      </c>
      <c r="V410" s="1" t="s">
        <v>82</v>
      </c>
      <c r="W410" s="1" t="s">
        <v>82</v>
      </c>
      <c r="X410" s="1" t="s">
        <v>7985</v>
      </c>
      <c r="Y410" s="1" t="s">
        <v>7986</v>
      </c>
      <c r="Z410" s="1" t="s">
        <v>7987</v>
      </c>
      <c r="AB410" s="1" t="s">
        <v>7988</v>
      </c>
      <c r="AC410" s="1" t="s">
        <v>7989</v>
      </c>
      <c r="AD410" s="1" t="s">
        <v>206</v>
      </c>
      <c r="AE410" s="1" t="s">
        <v>7990</v>
      </c>
      <c r="AF410" s="1" t="s">
        <v>7991</v>
      </c>
      <c r="AG410" s="1" t="s">
        <v>3421</v>
      </c>
      <c r="AH410" s="1" t="s">
        <v>82</v>
      </c>
      <c r="AI410" s="1" t="s">
        <v>82</v>
      </c>
      <c r="AJ410" s="1" t="s">
        <v>7992</v>
      </c>
      <c r="AK410" s="1" t="s">
        <v>7993</v>
      </c>
      <c r="AL410" s="1" t="s">
        <v>7994</v>
      </c>
      <c r="AM410" s="1" t="s">
        <v>82</v>
      </c>
      <c r="AN410" s="1">
        <v>65</v>
      </c>
      <c r="AO410" s="1">
        <v>0</v>
      </c>
      <c r="AP410" s="1">
        <v>0</v>
      </c>
      <c r="AQ410" s="1">
        <v>6</v>
      </c>
      <c r="AR410" s="1">
        <v>6</v>
      </c>
      <c r="AS410" s="1" t="s">
        <v>479</v>
      </c>
      <c r="AT410" s="1" t="s">
        <v>480</v>
      </c>
      <c r="AU410" s="1" t="s">
        <v>481</v>
      </c>
      <c r="AV410" s="1" t="s">
        <v>82</v>
      </c>
      <c r="AW410" s="1" t="s">
        <v>7995</v>
      </c>
      <c r="AX410" s="1" t="s">
        <v>82</v>
      </c>
      <c r="AY410" s="1" t="s">
        <v>7996</v>
      </c>
      <c r="AZ410" s="1" t="s">
        <v>7997</v>
      </c>
      <c r="BA410" s="1" t="s">
        <v>2123</v>
      </c>
      <c r="BB410" s="1">
        <v>2022</v>
      </c>
      <c r="BC410" s="1">
        <v>40</v>
      </c>
      <c r="BD410" s="1" t="s">
        <v>82</v>
      </c>
      <c r="BE410" s="1" t="s">
        <v>82</v>
      </c>
      <c r="BF410" s="1" t="s">
        <v>82</v>
      </c>
      <c r="BG410" s="1" t="s">
        <v>82</v>
      </c>
      <c r="BH410" s="1" t="s">
        <v>82</v>
      </c>
      <c r="BI410" s="1" t="s">
        <v>82</v>
      </c>
      <c r="BJ410" s="1" t="s">
        <v>82</v>
      </c>
      <c r="BK410" s="1" t="s">
        <v>7998</v>
      </c>
      <c r="BL410" s="1" t="s">
        <v>7999</v>
      </c>
      <c r="BM410" s="1" t="str">
        <f>HYPERLINK("http://dx.doi.org/10.1016/j.gecco.2022.e02337","http://dx.doi.org/10.1016/j.gecco.2022.e02337")</f>
        <v>http://dx.doi.org/10.1016/j.gecco.2022.e02337</v>
      </c>
      <c r="BN410" s="1" t="s">
        <v>82</v>
      </c>
      <c r="BO410" s="1" t="s">
        <v>82</v>
      </c>
      <c r="BP410" s="1">
        <v>11</v>
      </c>
      <c r="BQ410" s="1" t="s">
        <v>2773</v>
      </c>
      <c r="BR410" s="1" t="s">
        <v>104</v>
      </c>
      <c r="BS410" s="1" t="s">
        <v>1011</v>
      </c>
      <c r="BT410" s="1" t="s">
        <v>8000</v>
      </c>
      <c r="BU410" s="1" t="s">
        <v>82</v>
      </c>
      <c r="BV410" s="1" t="s">
        <v>808</v>
      </c>
      <c r="BW410" s="1" t="s">
        <v>82</v>
      </c>
      <c r="BX410" s="1" t="s">
        <v>82</v>
      </c>
      <c r="BY410" s="1" t="s">
        <v>108</v>
      </c>
      <c r="BZ410" s="1" t="s">
        <v>8001</v>
      </c>
      <c r="CA410" s="1" t="str">
        <f>HYPERLINK("https%3A%2F%2Fwww.webofscience.com%2Fwos%2Fwoscc%2Ffull-record%2FWOS:000890303100004","View Full Record in Web of Science")</f>
        <v>View Full Record in Web of Science</v>
      </c>
    </row>
    <row r="411" s="1" customFormat="1" ht="14.4" spans="1:79">
      <c r="A411">
        <v>410</v>
      </c>
      <c r="B411" s="2" t="s">
        <v>79</v>
      </c>
      <c r="C411" s="1" t="s">
        <v>80</v>
      </c>
      <c r="D411" s="1" t="s">
        <v>8002</v>
      </c>
      <c r="E411" s="1" t="s">
        <v>82</v>
      </c>
      <c r="F411" s="1" t="s">
        <v>82</v>
      </c>
      <c r="G411" s="1" t="s">
        <v>82</v>
      </c>
      <c r="H411" s="1" t="s">
        <v>8003</v>
      </c>
      <c r="I411" s="1" t="s">
        <v>82</v>
      </c>
      <c r="J411" s="1" t="s">
        <v>82</v>
      </c>
      <c r="K411" s="1" t="s">
        <v>8004</v>
      </c>
      <c r="L411" s="1" t="s">
        <v>7984</v>
      </c>
      <c r="M411" s="1">
        <v>3.969</v>
      </c>
      <c r="O411" s="1" t="s">
        <v>82</v>
      </c>
      <c r="P411" s="1" t="s">
        <v>82</v>
      </c>
      <c r="Q411" s="1" t="s">
        <v>87</v>
      </c>
      <c r="R411" s="1" t="s">
        <v>115</v>
      </c>
      <c r="S411" s="1" t="s">
        <v>82</v>
      </c>
      <c r="T411" s="1" t="s">
        <v>82</v>
      </c>
      <c r="U411" s="1" t="s">
        <v>82</v>
      </c>
      <c r="V411" s="1" t="s">
        <v>82</v>
      </c>
      <c r="W411" s="1" t="s">
        <v>82</v>
      </c>
      <c r="X411" s="1" t="s">
        <v>8005</v>
      </c>
      <c r="Y411" s="1" t="s">
        <v>8006</v>
      </c>
      <c r="Z411" s="1" t="s">
        <v>8007</v>
      </c>
      <c r="AA411" s="1">
        <v>1</v>
      </c>
      <c r="AB411" s="1" t="s">
        <v>8008</v>
      </c>
      <c r="AC411" s="1" t="s">
        <v>8009</v>
      </c>
      <c r="AD411" s="1" t="s">
        <v>93</v>
      </c>
      <c r="AE411" s="1" t="s">
        <v>8010</v>
      </c>
      <c r="AF411" s="1" t="s">
        <v>8011</v>
      </c>
      <c r="AG411" s="1" t="s">
        <v>8012</v>
      </c>
      <c r="AH411" s="1" t="s">
        <v>82</v>
      </c>
      <c r="AI411" s="1" t="s">
        <v>82</v>
      </c>
      <c r="AJ411" s="1" t="s">
        <v>8013</v>
      </c>
      <c r="AK411" s="1" t="s">
        <v>8014</v>
      </c>
      <c r="AL411" s="1" t="s">
        <v>8015</v>
      </c>
      <c r="AM411" s="1" t="s">
        <v>82</v>
      </c>
      <c r="AN411" s="1">
        <v>119</v>
      </c>
      <c r="AO411" s="1">
        <v>0</v>
      </c>
      <c r="AP411" s="1">
        <v>0</v>
      </c>
      <c r="AQ411" s="1">
        <v>6</v>
      </c>
      <c r="AR411" s="1">
        <v>13</v>
      </c>
      <c r="AS411" s="1" t="s">
        <v>479</v>
      </c>
      <c r="AT411" s="1" t="s">
        <v>480</v>
      </c>
      <c r="AU411" s="1" t="s">
        <v>481</v>
      </c>
      <c r="AV411" s="1" t="s">
        <v>82</v>
      </c>
      <c r="AW411" s="1" t="s">
        <v>7995</v>
      </c>
      <c r="AX411" s="1" t="s">
        <v>82</v>
      </c>
      <c r="AY411" s="1" t="s">
        <v>7996</v>
      </c>
      <c r="AZ411" s="1" t="s">
        <v>7997</v>
      </c>
      <c r="BA411" s="1" t="s">
        <v>2521</v>
      </c>
      <c r="BB411" s="1">
        <v>2022</v>
      </c>
      <c r="BC411" s="1">
        <v>36</v>
      </c>
      <c r="BD411" s="1" t="s">
        <v>82</v>
      </c>
      <c r="BE411" s="1" t="s">
        <v>82</v>
      </c>
      <c r="BF411" s="1" t="s">
        <v>82</v>
      </c>
      <c r="BG411" s="1" t="s">
        <v>82</v>
      </c>
      <c r="BH411" s="1" t="s">
        <v>82</v>
      </c>
      <c r="BI411" s="1" t="s">
        <v>82</v>
      </c>
      <c r="BJ411" s="1" t="s">
        <v>82</v>
      </c>
      <c r="BK411" s="1" t="s">
        <v>8016</v>
      </c>
      <c r="BL411" s="1" t="s">
        <v>8017</v>
      </c>
      <c r="BM411" s="1" t="str">
        <f>HYPERLINK("http://dx.doi.org/10.1016/j.gecco.2022.e02136","http://dx.doi.org/10.1016/j.gecco.2022.e02136")</f>
        <v>http://dx.doi.org/10.1016/j.gecco.2022.e02136</v>
      </c>
      <c r="BN411" s="1" t="s">
        <v>82</v>
      </c>
      <c r="BO411" s="1" t="s">
        <v>267</v>
      </c>
      <c r="BP411" s="1">
        <v>17</v>
      </c>
      <c r="BQ411" s="1" t="s">
        <v>2773</v>
      </c>
      <c r="BR411" s="1" t="s">
        <v>104</v>
      </c>
      <c r="BS411" s="1" t="s">
        <v>1011</v>
      </c>
      <c r="BT411" s="1" t="s">
        <v>8018</v>
      </c>
      <c r="BU411" s="1" t="s">
        <v>82</v>
      </c>
      <c r="BV411" s="1" t="s">
        <v>808</v>
      </c>
      <c r="BW411" s="1" t="s">
        <v>82</v>
      </c>
      <c r="BX411" s="1" t="s">
        <v>82</v>
      </c>
      <c r="BY411" s="1" t="s">
        <v>108</v>
      </c>
      <c r="BZ411" s="1" t="s">
        <v>8019</v>
      </c>
      <c r="CA411" s="1" t="str">
        <f>HYPERLINK("https%3A%2F%2Fwww.webofscience.com%2Fwos%2Fwoscc%2Ffull-record%2FWOS:000802792700006","View Full Record in Web of Science")</f>
        <v>View Full Record in Web of Science</v>
      </c>
    </row>
    <row r="412" s="1" customFormat="1" ht="14.4" spans="1:79">
      <c r="A412">
        <v>411</v>
      </c>
      <c r="B412" s="2" t="s">
        <v>79</v>
      </c>
      <c r="C412" s="1" t="s">
        <v>80</v>
      </c>
      <c r="D412" s="1" t="s">
        <v>8020</v>
      </c>
      <c r="E412" s="1" t="s">
        <v>82</v>
      </c>
      <c r="F412" s="1" t="s">
        <v>82</v>
      </c>
      <c r="G412" s="1" t="s">
        <v>82</v>
      </c>
      <c r="H412" s="1" t="s">
        <v>8021</v>
      </c>
      <c r="I412" s="1" t="s">
        <v>82</v>
      </c>
      <c r="J412" s="1" t="s">
        <v>82</v>
      </c>
      <c r="K412" s="1" t="s">
        <v>8022</v>
      </c>
      <c r="L412" s="1" t="s">
        <v>7984</v>
      </c>
      <c r="M412" s="1">
        <v>3.969</v>
      </c>
      <c r="O412" s="1" t="s">
        <v>82</v>
      </c>
      <c r="P412" s="1" t="s">
        <v>82</v>
      </c>
      <c r="Q412" s="1" t="s">
        <v>87</v>
      </c>
      <c r="R412" s="1" t="s">
        <v>115</v>
      </c>
      <c r="S412" s="1" t="s">
        <v>82</v>
      </c>
      <c r="T412" s="1" t="s">
        <v>82</v>
      </c>
      <c r="U412" s="1" t="s">
        <v>82</v>
      </c>
      <c r="V412" s="1" t="s">
        <v>82</v>
      </c>
      <c r="W412" s="1" t="s">
        <v>82</v>
      </c>
      <c r="X412" s="1" t="s">
        <v>8023</v>
      </c>
      <c r="Y412" s="1" t="s">
        <v>8024</v>
      </c>
      <c r="Z412" s="1" t="s">
        <v>8025</v>
      </c>
      <c r="AB412" s="1" t="s">
        <v>8026</v>
      </c>
      <c r="AC412" s="1" t="s">
        <v>8027</v>
      </c>
      <c r="AD412" s="1" t="s">
        <v>120</v>
      </c>
      <c r="AE412" s="1" t="s">
        <v>8028</v>
      </c>
      <c r="AF412" s="1" t="s">
        <v>8029</v>
      </c>
      <c r="AG412" s="1" t="s">
        <v>8030</v>
      </c>
      <c r="AH412" s="1" t="s">
        <v>8031</v>
      </c>
      <c r="AI412" s="1" t="s">
        <v>8032</v>
      </c>
      <c r="AJ412" s="1" t="s">
        <v>8033</v>
      </c>
      <c r="AK412" s="1" t="s">
        <v>8034</v>
      </c>
      <c r="AL412" s="1" t="s">
        <v>8035</v>
      </c>
      <c r="AM412" s="1" t="s">
        <v>82</v>
      </c>
      <c r="AN412" s="1">
        <v>94</v>
      </c>
      <c r="AO412" s="1">
        <v>0</v>
      </c>
      <c r="AP412" s="1">
        <v>0</v>
      </c>
      <c r="AQ412" s="1">
        <v>17</v>
      </c>
      <c r="AR412" s="1">
        <v>24</v>
      </c>
      <c r="AS412" s="1" t="s">
        <v>479</v>
      </c>
      <c r="AT412" s="1" t="s">
        <v>480</v>
      </c>
      <c r="AU412" s="1" t="s">
        <v>481</v>
      </c>
      <c r="AV412" s="1" t="s">
        <v>82</v>
      </c>
      <c r="AW412" s="1" t="s">
        <v>7995</v>
      </c>
      <c r="AX412" s="1" t="s">
        <v>82</v>
      </c>
      <c r="AY412" s="1" t="s">
        <v>7996</v>
      </c>
      <c r="AZ412" s="1" t="s">
        <v>7997</v>
      </c>
      <c r="BA412" s="1" t="s">
        <v>1146</v>
      </c>
      <c r="BB412" s="1">
        <v>2022</v>
      </c>
      <c r="BC412" s="1">
        <v>35</v>
      </c>
      <c r="BD412" s="1" t="s">
        <v>82</v>
      </c>
      <c r="BE412" s="1" t="s">
        <v>82</v>
      </c>
      <c r="BF412" s="1" t="s">
        <v>82</v>
      </c>
      <c r="BG412" s="1" t="s">
        <v>82</v>
      </c>
      <c r="BH412" s="1" t="s">
        <v>82</v>
      </c>
      <c r="BI412" s="1" t="s">
        <v>82</v>
      </c>
      <c r="BJ412" s="1" t="s">
        <v>82</v>
      </c>
      <c r="BK412" s="1" t="s">
        <v>8036</v>
      </c>
      <c r="BL412" s="1" t="s">
        <v>8037</v>
      </c>
      <c r="BM412" s="1" t="str">
        <f>HYPERLINK("http://dx.doi.org/10.1016/j.gecco.2022.e02085","http://dx.doi.org/10.1016/j.gecco.2022.e02085")</f>
        <v>http://dx.doi.org/10.1016/j.gecco.2022.e02085</v>
      </c>
      <c r="BN412" s="1" t="s">
        <v>82</v>
      </c>
      <c r="BO412" s="1" t="s">
        <v>282</v>
      </c>
      <c r="BP412" s="1">
        <v>12</v>
      </c>
      <c r="BQ412" s="1" t="s">
        <v>2773</v>
      </c>
      <c r="BR412" s="1" t="s">
        <v>104</v>
      </c>
      <c r="BS412" s="1" t="s">
        <v>1011</v>
      </c>
      <c r="BT412" s="1" t="s">
        <v>8038</v>
      </c>
      <c r="BU412" s="1" t="s">
        <v>82</v>
      </c>
      <c r="BV412" s="1" t="s">
        <v>808</v>
      </c>
      <c r="BW412" s="1" t="s">
        <v>82</v>
      </c>
      <c r="BX412" s="1" t="s">
        <v>82</v>
      </c>
      <c r="BY412" s="1" t="s">
        <v>108</v>
      </c>
      <c r="BZ412" s="1" t="s">
        <v>8039</v>
      </c>
      <c r="CA412" s="1" t="str">
        <f>HYPERLINK("https%3A%2F%2Fwww.webofscience.com%2Fwos%2Fwoscc%2Ffull-record%2FWOS:000790789400007","View Full Record in Web of Science")</f>
        <v>View Full Record in Web of Science</v>
      </c>
    </row>
    <row r="413" s="1" customFormat="1" ht="14.4" spans="1:79">
      <c r="A413">
        <v>412</v>
      </c>
      <c r="B413" s="2" t="s">
        <v>79</v>
      </c>
      <c r="C413" s="1" t="s">
        <v>80</v>
      </c>
      <c r="D413" s="1" t="s">
        <v>8040</v>
      </c>
      <c r="E413" s="1" t="s">
        <v>82</v>
      </c>
      <c r="F413" s="1" t="s">
        <v>82</v>
      </c>
      <c r="G413" s="1" t="s">
        <v>82</v>
      </c>
      <c r="H413" s="1" t="s">
        <v>8041</v>
      </c>
      <c r="I413" s="1" t="s">
        <v>82</v>
      </c>
      <c r="J413" s="1" t="s">
        <v>82</v>
      </c>
      <c r="K413" s="1" t="s">
        <v>8042</v>
      </c>
      <c r="L413" s="1" t="s">
        <v>7984</v>
      </c>
      <c r="M413" s="1">
        <v>3.969</v>
      </c>
      <c r="O413" s="1" t="s">
        <v>82</v>
      </c>
      <c r="P413" s="1" t="s">
        <v>82</v>
      </c>
      <c r="Q413" s="1" t="s">
        <v>87</v>
      </c>
      <c r="R413" s="1" t="s">
        <v>200</v>
      </c>
      <c r="S413" s="1" t="s">
        <v>82</v>
      </c>
      <c r="T413" s="1" t="s">
        <v>82</v>
      </c>
      <c r="U413" s="1" t="s">
        <v>82</v>
      </c>
      <c r="V413" s="1" t="s">
        <v>82</v>
      </c>
      <c r="W413" s="1" t="s">
        <v>82</v>
      </c>
      <c r="X413" s="1" t="s">
        <v>8043</v>
      </c>
      <c r="Y413" s="1" t="s">
        <v>8044</v>
      </c>
      <c r="Z413" s="1" t="s">
        <v>8045</v>
      </c>
      <c r="AB413" s="1" t="s">
        <v>8046</v>
      </c>
      <c r="AC413" s="1" t="s">
        <v>8047</v>
      </c>
      <c r="AD413" s="1" t="s">
        <v>120</v>
      </c>
      <c r="AE413" s="1" t="s">
        <v>8048</v>
      </c>
      <c r="AF413" s="1" t="s">
        <v>8049</v>
      </c>
      <c r="AG413" s="1" t="s">
        <v>8050</v>
      </c>
      <c r="AH413" s="1" t="s">
        <v>8051</v>
      </c>
      <c r="AI413" s="1" t="s">
        <v>8052</v>
      </c>
      <c r="AJ413" s="1" t="s">
        <v>8053</v>
      </c>
      <c r="AK413" s="1" t="s">
        <v>8053</v>
      </c>
      <c r="AL413" s="1" t="s">
        <v>8054</v>
      </c>
      <c r="AM413" s="1" t="s">
        <v>82</v>
      </c>
      <c r="AN413" s="1">
        <v>120</v>
      </c>
      <c r="AO413" s="1">
        <v>0</v>
      </c>
      <c r="AP413" s="1">
        <v>0</v>
      </c>
      <c r="AQ413" s="1">
        <v>5</v>
      </c>
      <c r="AR413" s="1">
        <v>23</v>
      </c>
      <c r="AS413" s="1" t="s">
        <v>479</v>
      </c>
      <c r="AT413" s="1" t="s">
        <v>480</v>
      </c>
      <c r="AU413" s="1" t="s">
        <v>481</v>
      </c>
      <c r="AV413" s="1" t="s">
        <v>82</v>
      </c>
      <c r="AW413" s="1" t="s">
        <v>7995</v>
      </c>
      <c r="AX413" s="1" t="s">
        <v>82</v>
      </c>
      <c r="AY413" s="1" t="s">
        <v>7996</v>
      </c>
      <c r="AZ413" s="1" t="s">
        <v>7997</v>
      </c>
      <c r="BA413" s="1" t="s">
        <v>657</v>
      </c>
      <c r="BB413" s="1">
        <v>2022</v>
      </c>
      <c r="BC413" s="1">
        <v>34</v>
      </c>
      <c r="BD413" s="1" t="s">
        <v>82</v>
      </c>
      <c r="BE413" s="1" t="s">
        <v>82</v>
      </c>
      <c r="BF413" s="1" t="s">
        <v>82</v>
      </c>
      <c r="BG413" s="1" t="s">
        <v>82</v>
      </c>
      <c r="BH413" s="1" t="s">
        <v>82</v>
      </c>
      <c r="BI413" s="1" t="s">
        <v>82</v>
      </c>
      <c r="BJ413" s="1" t="s">
        <v>82</v>
      </c>
      <c r="BK413" s="1" t="s">
        <v>8055</v>
      </c>
      <c r="BL413" s="1" t="s">
        <v>8056</v>
      </c>
      <c r="BM413" s="1" t="str">
        <f>HYPERLINK("http://dx.doi.org/10.1016/j.gecco.2022.e02003","http://dx.doi.org/10.1016/j.gecco.2022.e02003")</f>
        <v>http://dx.doi.org/10.1016/j.gecco.2022.e02003</v>
      </c>
      <c r="BN413" s="1" t="s">
        <v>82</v>
      </c>
      <c r="BO413" s="1" t="s">
        <v>82</v>
      </c>
      <c r="BP413" s="1">
        <v>18</v>
      </c>
      <c r="BQ413" s="1" t="s">
        <v>2773</v>
      </c>
      <c r="BR413" s="1" t="s">
        <v>104</v>
      </c>
      <c r="BS413" s="1" t="s">
        <v>1011</v>
      </c>
      <c r="BT413" s="1" t="s">
        <v>8057</v>
      </c>
      <c r="BU413" s="1" t="s">
        <v>82</v>
      </c>
      <c r="BV413" s="1" t="s">
        <v>808</v>
      </c>
      <c r="BW413" s="1" t="s">
        <v>82</v>
      </c>
      <c r="BX413" s="1" t="s">
        <v>82</v>
      </c>
      <c r="BY413" s="1" t="s">
        <v>108</v>
      </c>
      <c r="BZ413" s="1" t="s">
        <v>8058</v>
      </c>
      <c r="CA413" s="1" t="str">
        <f>HYPERLINK("https%3A%2F%2Fwww.webofscience.com%2Fwos%2Fwoscc%2Ffull-record%2FWOS:000748714000005","View Full Record in Web of Science")</f>
        <v>View Full Record in Web of Science</v>
      </c>
    </row>
    <row r="414" s="1" customFormat="1" ht="14.4" spans="1:79">
      <c r="A414">
        <v>413</v>
      </c>
      <c r="B414" s="2" t="s">
        <v>79</v>
      </c>
      <c r="C414" s="1" t="s">
        <v>80</v>
      </c>
      <c r="D414" s="1" t="s">
        <v>8059</v>
      </c>
      <c r="E414" s="1" t="s">
        <v>82</v>
      </c>
      <c r="F414" s="1" t="s">
        <v>82</v>
      </c>
      <c r="G414" s="1" t="s">
        <v>82</v>
      </c>
      <c r="H414" s="1" t="s">
        <v>8060</v>
      </c>
      <c r="I414" s="1" t="s">
        <v>82</v>
      </c>
      <c r="J414" s="1" t="s">
        <v>82</v>
      </c>
      <c r="K414" s="1" t="s">
        <v>8061</v>
      </c>
      <c r="L414" s="1" t="s">
        <v>8062</v>
      </c>
      <c r="M414" s="1">
        <v>3.949</v>
      </c>
      <c r="O414" s="1" t="s">
        <v>82</v>
      </c>
      <c r="P414" s="1" t="s">
        <v>82</v>
      </c>
      <c r="Q414" s="1" t="s">
        <v>87</v>
      </c>
      <c r="R414" s="1" t="s">
        <v>115</v>
      </c>
      <c r="S414" s="1" t="s">
        <v>82</v>
      </c>
      <c r="T414" s="1" t="s">
        <v>82</v>
      </c>
      <c r="U414" s="1" t="s">
        <v>82</v>
      </c>
      <c r="V414" s="1" t="s">
        <v>82</v>
      </c>
      <c r="W414" s="1" t="s">
        <v>82</v>
      </c>
      <c r="X414" s="1" t="s">
        <v>8063</v>
      </c>
      <c r="Y414" s="1" t="s">
        <v>8064</v>
      </c>
      <c r="Z414" s="1" t="s">
        <v>8065</v>
      </c>
      <c r="AA414" s="1">
        <v>1</v>
      </c>
      <c r="AB414" s="1" t="s">
        <v>8066</v>
      </c>
      <c r="AC414" s="1" t="s">
        <v>8067</v>
      </c>
      <c r="AD414" s="1" t="s">
        <v>93</v>
      </c>
      <c r="AE414" s="1" t="s">
        <v>8068</v>
      </c>
      <c r="AF414" s="1" t="s">
        <v>8069</v>
      </c>
      <c r="AG414" s="1" t="s">
        <v>239</v>
      </c>
      <c r="AH414" s="1" t="s">
        <v>8070</v>
      </c>
      <c r="AI414" s="1" t="s">
        <v>82</v>
      </c>
      <c r="AJ414" s="1" t="s">
        <v>8071</v>
      </c>
      <c r="AK414" s="1" t="s">
        <v>8072</v>
      </c>
      <c r="AL414" s="1" t="s">
        <v>8073</v>
      </c>
      <c r="AM414" s="1" t="s">
        <v>82</v>
      </c>
      <c r="AN414" s="1">
        <v>80</v>
      </c>
      <c r="AO414" s="1">
        <v>0</v>
      </c>
      <c r="AP414" s="1">
        <v>0</v>
      </c>
      <c r="AQ414" s="1">
        <v>3</v>
      </c>
      <c r="AR414" s="1">
        <v>3</v>
      </c>
      <c r="AS414" s="1" t="s">
        <v>2117</v>
      </c>
      <c r="AT414" s="1" t="s">
        <v>2118</v>
      </c>
      <c r="AU414" s="1" t="s">
        <v>2119</v>
      </c>
      <c r="AV414" s="1" t="s">
        <v>82</v>
      </c>
      <c r="AW414" s="1" t="s">
        <v>8074</v>
      </c>
      <c r="AX414" s="1" t="s">
        <v>82</v>
      </c>
      <c r="AY414" s="1" t="s">
        <v>8062</v>
      </c>
      <c r="AZ414" s="1" t="s">
        <v>8075</v>
      </c>
      <c r="BA414" s="1" t="s">
        <v>222</v>
      </c>
      <c r="BB414" s="1">
        <v>2022</v>
      </c>
      <c r="BC414" s="1">
        <v>12</v>
      </c>
      <c r="BD414" s="1">
        <v>9</v>
      </c>
      <c r="BE414" s="1" t="s">
        <v>82</v>
      </c>
      <c r="BF414" s="1" t="s">
        <v>82</v>
      </c>
      <c r="BG414" s="1" t="s">
        <v>82</v>
      </c>
      <c r="BH414" s="1" t="s">
        <v>82</v>
      </c>
      <c r="BI414" s="1" t="s">
        <v>82</v>
      </c>
      <c r="BJ414" s="1" t="s">
        <v>82</v>
      </c>
      <c r="BK414" s="1">
        <v>2034</v>
      </c>
      <c r="BL414" s="1" t="s">
        <v>8076</v>
      </c>
      <c r="BM414" s="1" t="str">
        <f>HYPERLINK("http://dx.doi.org/10.3390/agronomy12092034","http://dx.doi.org/10.3390/agronomy12092034")</f>
        <v>http://dx.doi.org/10.3390/agronomy12092034</v>
      </c>
      <c r="BN414" s="1" t="s">
        <v>82</v>
      </c>
      <c r="BO414" s="1" t="s">
        <v>82</v>
      </c>
      <c r="BP414" s="1">
        <v>17</v>
      </c>
      <c r="BQ414" s="1" t="s">
        <v>8077</v>
      </c>
      <c r="BR414" s="1" t="s">
        <v>104</v>
      </c>
      <c r="BS414" s="1" t="s">
        <v>6677</v>
      </c>
      <c r="BT414" s="1" t="s">
        <v>8078</v>
      </c>
      <c r="BU414" s="1" t="s">
        <v>82</v>
      </c>
      <c r="BV414" s="1" t="s">
        <v>808</v>
      </c>
      <c r="BW414" s="1" t="s">
        <v>82</v>
      </c>
      <c r="BX414" s="1" t="s">
        <v>82</v>
      </c>
      <c r="BY414" s="1" t="s">
        <v>108</v>
      </c>
      <c r="BZ414" s="1" t="s">
        <v>8079</v>
      </c>
      <c r="CA414" s="1" t="str">
        <f>HYPERLINK("https%3A%2F%2Fwww.webofscience.com%2Fwos%2Fwoscc%2Ffull-record%2FWOS:000856182900001","View Full Record in Web of Science")</f>
        <v>View Full Record in Web of Science</v>
      </c>
    </row>
    <row r="415" s="1" customFormat="1" ht="14.4" spans="1:79">
      <c r="A415">
        <v>414</v>
      </c>
      <c r="B415" s="2" t="s">
        <v>79</v>
      </c>
      <c r="C415" s="1" t="s">
        <v>80</v>
      </c>
      <c r="D415" s="1" t="s">
        <v>8080</v>
      </c>
      <c r="E415" s="1" t="s">
        <v>82</v>
      </c>
      <c r="F415" s="1" t="s">
        <v>82</v>
      </c>
      <c r="G415" s="1" t="s">
        <v>82</v>
      </c>
      <c r="H415" s="1" t="s">
        <v>8081</v>
      </c>
      <c r="I415" s="1" t="s">
        <v>82</v>
      </c>
      <c r="J415" s="1" t="s">
        <v>82</v>
      </c>
      <c r="K415" s="1" t="s">
        <v>8082</v>
      </c>
      <c r="L415" s="1" t="s">
        <v>8062</v>
      </c>
      <c r="M415" s="1">
        <v>3.949</v>
      </c>
      <c r="O415" s="1" t="s">
        <v>82</v>
      </c>
      <c r="P415" s="1" t="s">
        <v>82</v>
      </c>
      <c r="Q415" s="1" t="s">
        <v>87</v>
      </c>
      <c r="R415" s="1" t="s">
        <v>115</v>
      </c>
      <c r="S415" s="1" t="s">
        <v>82</v>
      </c>
      <c r="T415" s="1" t="s">
        <v>82</v>
      </c>
      <c r="U415" s="1" t="s">
        <v>82</v>
      </c>
      <c r="V415" s="1" t="s">
        <v>82</v>
      </c>
      <c r="W415" s="1" t="s">
        <v>82</v>
      </c>
      <c r="X415" s="1" t="s">
        <v>8083</v>
      </c>
      <c r="Y415" s="1" t="s">
        <v>8084</v>
      </c>
      <c r="Z415" s="1" t="s">
        <v>8085</v>
      </c>
      <c r="AB415" s="1" t="s">
        <v>8086</v>
      </c>
      <c r="AC415" s="1" t="s">
        <v>8087</v>
      </c>
      <c r="AD415" s="1" t="s">
        <v>120</v>
      </c>
      <c r="AE415" s="1" t="s">
        <v>8088</v>
      </c>
      <c r="AF415" s="1" t="s">
        <v>8089</v>
      </c>
      <c r="AG415" s="1" t="s">
        <v>8090</v>
      </c>
      <c r="AH415" s="1" t="s">
        <v>8091</v>
      </c>
      <c r="AI415" s="1" t="s">
        <v>82</v>
      </c>
      <c r="AJ415" s="1" t="s">
        <v>8092</v>
      </c>
      <c r="AK415" s="1" t="s">
        <v>8093</v>
      </c>
      <c r="AL415" s="1" t="s">
        <v>8094</v>
      </c>
      <c r="AM415" s="1" t="s">
        <v>82</v>
      </c>
      <c r="AN415" s="1">
        <v>66</v>
      </c>
      <c r="AO415" s="1">
        <v>1</v>
      </c>
      <c r="AP415" s="1">
        <v>1</v>
      </c>
      <c r="AQ415" s="1">
        <v>31</v>
      </c>
      <c r="AR415" s="1">
        <v>31</v>
      </c>
      <c r="AS415" s="1" t="s">
        <v>2117</v>
      </c>
      <c r="AT415" s="1" t="s">
        <v>2118</v>
      </c>
      <c r="AU415" s="1" t="s">
        <v>2119</v>
      </c>
      <c r="AV415" s="1" t="s">
        <v>82</v>
      </c>
      <c r="AW415" s="1" t="s">
        <v>8074</v>
      </c>
      <c r="AX415" s="1" t="s">
        <v>82</v>
      </c>
      <c r="AY415" s="1" t="s">
        <v>8062</v>
      </c>
      <c r="AZ415" s="1" t="s">
        <v>8075</v>
      </c>
      <c r="BA415" s="1" t="s">
        <v>2521</v>
      </c>
      <c r="BB415" s="1">
        <v>2022</v>
      </c>
      <c r="BC415" s="1">
        <v>12</v>
      </c>
      <c r="BD415" s="1">
        <v>8</v>
      </c>
      <c r="BE415" s="1" t="s">
        <v>82</v>
      </c>
      <c r="BF415" s="1" t="s">
        <v>82</v>
      </c>
      <c r="BG415" s="1" t="s">
        <v>82</v>
      </c>
      <c r="BH415" s="1" t="s">
        <v>82</v>
      </c>
      <c r="BI415" s="1" t="s">
        <v>82</v>
      </c>
      <c r="BJ415" s="1" t="s">
        <v>82</v>
      </c>
      <c r="BK415" s="1">
        <v>1751</v>
      </c>
      <c r="BL415" s="1" t="s">
        <v>8095</v>
      </c>
      <c r="BM415" s="1" t="str">
        <f>HYPERLINK("http://dx.doi.org/10.3390/agronomy12081751","http://dx.doi.org/10.3390/agronomy12081751")</f>
        <v>http://dx.doi.org/10.3390/agronomy12081751</v>
      </c>
      <c r="BN415" s="1" t="s">
        <v>82</v>
      </c>
      <c r="BO415" s="1" t="s">
        <v>82</v>
      </c>
      <c r="BP415" s="1">
        <v>14</v>
      </c>
      <c r="BQ415" s="1" t="s">
        <v>8077</v>
      </c>
      <c r="BR415" s="1" t="s">
        <v>104</v>
      </c>
      <c r="BS415" s="1" t="s">
        <v>6677</v>
      </c>
      <c r="BT415" s="1" t="s">
        <v>8096</v>
      </c>
      <c r="BU415" s="1" t="s">
        <v>82</v>
      </c>
      <c r="BV415" s="1" t="s">
        <v>808</v>
      </c>
      <c r="BW415" s="1" t="s">
        <v>82</v>
      </c>
      <c r="BX415" s="1" t="s">
        <v>82</v>
      </c>
      <c r="BY415" s="1" t="s">
        <v>108</v>
      </c>
      <c r="BZ415" s="1" t="s">
        <v>8097</v>
      </c>
      <c r="CA415" s="1" t="str">
        <f>HYPERLINK("https%3A%2F%2Fwww.webofscience.com%2Fwos%2Fwoscc%2Ffull-record%2FWOS:000846267400001","View Full Record in Web of Science")</f>
        <v>View Full Record in Web of Science</v>
      </c>
    </row>
    <row r="416" s="1" customFormat="1" ht="14.4" spans="1:79">
      <c r="A416">
        <v>415</v>
      </c>
      <c r="B416" s="2" t="s">
        <v>79</v>
      </c>
      <c r="C416" s="1" t="s">
        <v>80</v>
      </c>
      <c r="D416" s="1" t="s">
        <v>8098</v>
      </c>
      <c r="E416" s="1" t="s">
        <v>82</v>
      </c>
      <c r="F416" s="1" t="s">
        <v>82</v>
      </c>
      <c r="G416" s="1" t="s">
        <v>82</v>
      </c>
      <c r="H416" s="1" t="s">
        <v>8099</v>
      </c>
      <c r="I416" s="1" t="s">
        <v>82</v>
      </c>
      <c r="J416" s="1" t="s">
        <v>82</v>
      </c>
      <c r="K416" s="1" t="s">
        <v>8100</v>
      </c>
      <c r="L416" s="1" t="s">
        <v>8062</v>
      </c>
      <c r="M416" s="1">
        <v>3.949</v>
      </c>
      <c r="O416" s="1" t="s">
        <v>82</v>
      </c>
      <c r="P416" s="1" t="s">
        <v>82</v>
      </c>
      <c r="Q416" s="1" t="s">
        <v>87</v>
      </c>
      <c r="R416" s="1" t="s">
        <v>115</v>
      </c>
      <c r="S416" s="1" t="s">
        <v>82</v>
      </c>
      <c r="T416" s="1" t="s">
        <v>82</v>
      </c>
      <c r="U416" s="1" t="s">
        <v>82</v>
      </c>
      <c r="V416" s="1" t="s">
        <v>82</v>
      </c>
      <c r="W416" s="1" t="s">
        <v>82</v>
      </c>
      <c r="X416" s="1" t="s">
        <v>8101</v>
      </c>
      <c r="Y416" s="1" t="s">
        <v>8102</v>
      </c>
      <c r="Z416" s="1" t="s">
        <v>8103</v>
      </c>
      <c r="AA416" s="1">
        <v>1</v>
      </c>
      <c r="AB416" s="1" t="s">
        <v>8104</v>
      </c>
      <c r="AC416" s="1" t="s">
        <v>8105</v>
      </c>
      <c r="AD416" s="1" t="s">
        <v>93</v>
      </c>
      <c r="AE416" s="1" t="s">
        <v>1630</v>
      </c>
      <c r="AF416" s="1" t="s">
        <v>8106</v>
      </c>
      <c r="AG416" s="1" t="s">
        <v>8107</v>
      </c>
      <c r="AH416" s="1" t="s">
        <v>82</v>
      </c>
      <c r="AI416" s="1" t="s">
        <v>8108</v>
      </c>
      <c r="AJ416" s="1" t="s">
        <v>8109</v>
      </c>
      <c r="AK416" s="1" t="s">
        <v>8110</v>
      </c>
      <c r="AL416" s="1" t="s">
        <v>8111</v>
      </c>
      <c r="AM416" s="1" t="s">
        <v>82</v>
      </c>
      <c r="AN416" s="1">
        <v>77</v>
      </c>
      <c r="AO416" s="1">
        <v>1</v>
      </c>
      <c r="AP416" s="1">
        <v>1</v>
      </c>
      <c r="AQ416" s="1">
        <v>7</v>
      </c>
      <c r="AR416" s="1">
        <v>7</v>
      </c>
      <c r="AS416" s="1" t="s">
        <v>2117</v>
      </c>
      <c r="AT416" s="1" t="s">
        <v>2118</v>
      </c>
      <c r="AU416" s="1" t="s">
        <v>2119</v>
      </c>
      <c r="AV416" s="1" t="s">
        <v>82</v>
      </c>
      <c r="AW416" s="1" t="s">
        <v>8074</v>
      </c>
      <c r="AX416" s="1" t="s">
        <v>82</v>
      </c>
      <c r="AY416" s="1" t="s">
        <v>8062</v>
      </c>
      <c r="AZ416" s="1" t="s">
        <v>8075</v>
      </c>
      <c r="BA416" s="1" t="s">
        <v>1403</v>
      </c>
      <c r="BB416" s="1">
        <v>2022</v>
      </c>
      <c r="BC416" s="1">
        <v>12</v>
      </c>
      <c r="BD416" s="1">
        <v>7</v>
      </c>
      <c r="BE416" s="1" t="s">
        <v>82</v>
      </c>
      <c r="BF416" s="1" t="s">
        <v>82</v>
      </c>
      <c r="BG416" s="1" t="s">
        <v>82</v>
      </c>
      <c r="BH416" s="1" t="s">
        <v>82</v>
      </c>
      <c r="BI416" s="1" t="s">
        <v>82</v>
      </c>
      <c r="BJ416" s="1" t="s">
        <v>82</v>
      </c>
      <c r="BK416" s="1">
        <v>1612</v>
      </c>
      <c r="BL416" s="1" t="s">
        <v>8112</v>
      </c>
      <c r="BM416" s="1" t="str">
        <f>HYPERLINK("http://dx.doi.org/10.3390/agronomy12071612","http://dx.doi.org/10.3390/agronomy12071612")</f>
        <v>http://dx.doi.org/10.3390/agronomy12071612</v>
      </c>
      <c r="BN416" s="1" t="s">
        <v>82</v>
      </c>
      <c r="BO416" s="1" t="s">
        <v>82</v>
      </c>
      <c r="BP416" s="1">
        <v>15</v>
      </c>
      <c r="BQ416" s="1" t="s">
        <v>8077</v>
      </c>
      <c r="BR416" s="1" t="s">
        <v>104</v>
      </c>
      <c r="BS416" s="1" t="s">
        <v>6677</v>
      </c>
      <c r="BT416" s="1" t="s">
        <v>8113</v>
      </c>
      <c r="BU416" s="1" t="s">
        <v>82</v>
      </c>
      <c r="BV416" s="1" t="s">
        <v>808</v>
      </c>
      <c r="BW416" s="1" t="s">
        <v>82</v>
      </c>
      <c r="BX416" s="1" t="s">
        <v>82</v>
      </c>
      <c r="BY416" s="1" t="s">
        <v>108</v>
      </c>
      <c r="BZ416" s="1" t="s">
        <v>8114</v>
      </c>
      <c r="CA416" s="1" t="str">
        <f>HYPERLINK("https%3A%2F%2Fwww.webofscience.com%2Fwos%2Fwoscc%2Ffull-record%2FWOS:000833153300001","View Full Record in Web of Science")</f>
        <v>View Full Record in Web of Science</v>
      </c>
    </row>
    <row r="417" s="1" customFormat="1" ht="14.4" spans="1:79">
      <c r="A417">
        <v>416</v>
      </c>
      <c r="B417" s="2" t="s">
        <v>79</v>
      </c>
      <c r="C417" s="1" t="s">
        <v>80</v>
      </c>
      <c r="D417" s="1" t="s">
        <v>8115</v>
      </c>
      <c r="E417" s="1" t="s">
        <v>82</v>
      </c>
      <c r="F417" s="1" t="s">
        <v>82</v>
      </c>
      <c r="G417" s="1" t="s">
        <v>82</v>
      </c>
      <c r="H417" s="1" t="s">
        <v>8116</v>
      </c>
      <c r="I417" s="1" t="s">
        <v>82</v>
      </c>
      <c r="J417" s="1" t="s">
        <v>82</v>
      </c>
      <c r="K417" s="1" t="s">
        <v>8117</v>
      </c>
      <c r="L417" s="1" t="s">
        <v>8062</v>
      </c>
      <c r="M417" s="1">
        <v>3.949</v>
      </c>
      <c r="O417" s="1" t="s">
        <v>82</v>
      </c>
      <c r="P417" s="1" t="s">
        <v>82</v>
      </c>
      <c r="Q417" s="1" t="s">
        <v>87</v>
      </c>
      <c r="R417" s="1" t="s">
        <v>200</v>
      </c>
      <c r="S417" s="1" t="s">
        <v>82</v>
      </c>
      <c r="T417" s="1" t="s">
        <v>82</v>
      </c>
      <c r="U417" s="1" t="s">
        <v>82</v>
      </c>
      <c r="V417" s="1" t="s">
        <v>82</v>
      </c>
      <c r="W417" s="1" t="s">
        <v>82</v>
      </c>
      <c r="X417" s="1" t="s">
        <v>8118</v>
      </c>
      <c r="Y417" s="1" t="s">
        <v>8119</v>
      </c>
      <c r="Z417" s="1" t="s">
        <v>8120</v>
      </c>
      <c r="AA417" s="1">
        <v>1</v>
      </c>
      <c r="AB417" s="1" t="s">
        <v>8121</v>
      </c>
      <c r="AC417" s="1" t="s">
        <v>8122</v>
      </c>
      <c r="AD417" s="1" t="s">
        <v>93</v>
      </c>
      <c r="AE417" s="1" t="s">
        <v>8123</v>
      </c>
      <c r="AF417" s="1" t="s">
        <v>8124</v>
      </c>
      <c r="AG417" s="1" t="s">
        <v>8125</v>
      </c>
      <c r="AH417" s="1" t="s">
        <v>8126</v>
      </c>
      <c r="AI417" s="1" t="s">
        <v>8127</v>
      </c>
      <c r="AJ417" s="1" t="s">
        <v>8128</v>
      </c>
      <c r="AK417" s="1" t="s">
        <v>8129</v>
      </c>
      <c r="AL417" s="1" t="s">
        <v>8130</v>
      </c>
      <c r="AM417" s="1" t="s">
        <v>82</v>
      </c>
      <c r="AN417" s="1">
        <v>144</v>
      </c>
      <c r="AO417" s="1">
        <v>0</v>
      </c>
      <c r="AP417" s="1">
        <v>0</v>
      </c>
      <c r="AQ417" s="1">
        <v>24</v>
      </c>
      <c r="AR417" s="1">
        <v>30</v>
      </c>
      <c r="AS417" s="1" t="s">
        <v>2117</v>
      </c>
      <c r="AT417" s="1" t="s">
        <v>2118</v>
      </c>
      <c r="AU417" s="1" t="s">
        <v>2119</v>
      </c>
      <c r="AV417" s="1" t="s">
        <v>82</v>
      </c>
      <c r="AW417" s="1" t="s">
        <v>8074</v>
      </c>
      <c r="AX417" s="1" t="s">
        <v>82</v>
      </c>
      <c r="AY417" s="1" t="s">
        <v>8062</v>
      </c>
      <c r="AZ417" s="1" t="s">
        <v>8075</v>
      </c>
      <c r="BA417" s="1" t="s">
        <v>245</v>
      </c>
      <c r="BB417" s="1">
        <v>2022</v>
      </c>
      <c r="BC417" s="1">
        <v>12</v>
      </c>
      <c r="BD417" s="1">
        <v>5</v>
      </c>
      <c r="BE417" s="1" t="s">
        <v>82</v>
      </c>
      <c r="BF417" s="1" t="s">
        <v>82</v>
      </c>
      <c r="BG417" s="1" t="s">
        <v>82</v>
      </c>
      <c r="BH417" s="1" t="s">
        <v>82</v>
      </c>
      <c r="BI417" s="1" t="s">
        <v>82</v>
      </c>
      <c r="BJ417" s="1" t="s">
        <v>82</v>
      </c>
      <c r="BK417" s="1">
        <v>1041</v>
      </c>
      <c r="BL417" s="1" t="s">
        <v>8131</v>
      </c>
      <c r="BM417" s="1" t="str">
        <f>HYPERLINK("http://dx.doi.org/10.3390/agronomy12051041","http://dx.doi.org/10.3390/agronomy12051041")</f>
        <v>http://dx.doi.org/10.3390/agronomy12051041</v>
      </c>
      <c r="BN417" s="1" t="s">
        <v>82</v>
      </c>
      <c r="BO417" s="1" t="s">
        <v>82</v>
      </c>
      <c r="BP417" s="1">
        <v>17</v>
      </c>
      <c r="BQ417" s="1" t="s">
        <v>8077</v>
      </c>
      <c r="BR417" s="1" t="s">
        <v>104</v>
      </c>
      <c r="BS417" s="1" t="s">
        <v>6677</v>
      </c>
      <c r="BT417" s="1" t="s">
        <v>8132</v>
      </c>
      <c r="BU417" s="1" t="s">
        <v>82</v>
      </c>
      <c r="BV417" s="1" t="s">
        <v>808</v>
      </c>
      <c r="BW417" s="1" t="s">
        <v>82</v>
      </c>
      <c r="BX417" s="1" t="s">
        <v>82</v>
      </c>
      <c r="BY417" s="1" t="s">
        <v>108</v>
      </c>
      <c r="BZ417" s="1" t="s">
        <v>8133</v>
      </c>
      <c r="CA417" s="1" t="str">
        <f>HYPERLINK("https%3A%2F%2Fwww.webofscience.com%2Fwos%2Fwoscc%2Ffull-record%2FWOS:000801695100001","View Full Record in Web of Science")</f>
        <v>View Full Record in Web of Science</v>
      </c>
    </row>
    <row r="418" s="1" customFormat="1" ht="14.4" spans="1:79">
      <c r="A418">
        <v>417</v>
      </c>
      <c r="B418" s="2" t="s">
        <v>79</v>
      </c>
      <c r="C418" s="1" t="s">
        <v>80</v>
      </c>
      <c r="D418" s="1" t="s">
        <v>8134</v>
      </c>
      <c r="E418" s="1" t="s">
        <v>82</v>
      </c>
      <c r="F418" s="1" t="s">
        <v>82</v>
      </c>
      <c r="G418" s="1" t="s">
        <v>82</v>
      </c>
      <c r="H418" s="1" t="s">
        <v>8135</v>
      </c>
      <c r="I418" s="1" t="s">
        <v>82</v>
      </c>
      <c r="J418" s="1" t="s">
        <v>82</v>
      </c>
      <c r="K418" s="1" t="s">
        <v>8136</v>
      </c>
      <c r="L418" s="1" t="s">
        <v>8062</v>
      </c>
      <c r="M418" s="1">
        <v>3.949</v>
      </c>
      <c r="O418" s="1" t="s">
        <v>82</v>
      </c>
      <c r="P418" s="1" t="s">
        <v>82</v>
      </c>
      <c r="Q418" s="1" t="s">
        <v>87</v>
      </c>
      <c r="R418" s="1" t="s">
        <v>115</v>
      </c>
      <c r="S418" s="1" t="s">
        <v>82</v>
      </c>
      <c r="T418" s="1" t="s">
        <v>82</v>
      </c>
      <c r="U418" s="1" t="s">
        <v>82</v>
      </c>
      <c r="V418" s="1" t="s">
        <v>82</v>
      </c>
      <c r="W418" s="1" t="s">
        <v>82</v>
      </c>
      <c r="X418" s="1" t="s">
        <v>8137</v>
      </c>
      <c r="Y418" s="1" t="s">
        <v>8138</v>
      </c>
      <c r="Z418" s="1" t="s">
        <v>8139</v>
      </c>
      <c r="AB418" s="1" t="s">
        <v>8140</v>
      </c>
      <c r="AC418" s="1" t="s">
        <v>8141</v>
      </c>
      <c r="AD418" s="1" t="s">
        <v>120</v>
      </c>
      <c r="AE418" s="1" t="s">
        <v>8142</v>
      </c>
      <c r="AF418" s="1" t="s">
        <v>8143</v>
      </c>
      <c r="AG418" s="1" t="s">
        <v>8144</v>
      </c>
      <c r="AH418" s="1" t="s">
        <v>8145</v>
      </c>
      <c r="AI418" s="1" t="s">
        <v>8146</v>
      </c>
      <c r="AJ418" s="1" t="s">
        <v>8147</v>
      </c>
      <c r="AK418" s="1" t="s">
        <v>8148</v>
      </c>
      <c r="AL418" s="1" t="s">
        <v>8149</v>
      </c>
      <c r="AM418" s="1" t="s">
        <v>82</v>
      </c>
      <c r="AN418" s="1">
        <v>86</v>
      </c>
      <c r="AO418" s="1">
        <v>0</v>
      </c>
      <c r="AP418" s="1">
        <v>0</v>
      </c>
      <c r="AQ418" s="1">
        <v>14</v>
      </c>
      <c r="AR418" s="1">
        <v>26</v>
      </c>
      <c r="AS418" s="1" t="s">
        <v>2117</v>
      </c>
      <c r="AT418" s="1" t="s">
        <v>2118</v>
      </c>
      <c r="AU418" s="1" t="s">
        <v>2119</v>
      </c>
      <c r="AV418" s="1" t="s">
        <v>82</v>
      </c>
      <c r="AW418" s="1" t="s">
        <v>8074</v>
      </c>
      <c r="AX418" s="1" t="s">
        <v>82</v>
      </c>
      <c r="AY418" s="1" t="s">
        <v>8062</v>
      </c>
      <c r="AZ418" s="1" t="s">
        <v>8075</v>
      </c>
      <c r="BA418" s="1" t="s">
        <v>657</v>
      </c>
      <c r="BB418" s="1">
        <v>2022</v>
      </c>
      <c r="BC418" s="1">
        <v>12</v>
      </c>
      <c r="BD418" s="1">
        <v>4</v>
      </c>
      <c r="BE418" s="1" t="s">
        <v>82</v>
      </c>
      <c r="BF418" s="1" t="s">
        <v>82</v>
      </c>
      <c r="BG418" s="1" t="s">
        <v>82</v>
      </c>
      <c r="BH418" s="1" t="s">
        <v>82</v>
      </c>
      <c r="BI418" s="1" t="s">
        <v>82</v>
      </c>
      <c r="BJ418" s="1" t="s">
        <v>82</v>
      </c>
      <c r="BK418" s="1">
        <v>976</v>
      </c>
      <c r="BL418" s="1" t="s">
        <v>8150</v>
      </c>
      <c r="BM418" s="1" t="str">
        <f>HYPERLINK("http://dx.doi.org/10.3390/agronomy12040976","http://dx.doi.org/10.3390/agronomy12040976")</f>
        <v>http://dx.doi.org/10.3390/agronomy12040976</v>
      </c>
      <c r="BN418" s="1" t="s">
        <v>82</v>
      </c>
      <c r="BO418" s="1" t="s">
        <v>82</v>
      </c>
      <c r="BP418" s="1">
        <v>17</v>
      </c>
      <c r="BQ418" s="1" t="s">
        <v>8077</v>
      </c>
      <c r="BR418" s="1" t="s">
        <v>104</v>
      </c>
      <c r="BS418" s="1" t="s">
        <v>6677</v>
      </c>
      <c r="BT418" s="1" t="s">
        <v>8151</v>
      </c>
      <c r="BU418" s="1" t="s">
        <v>82</v>
      </c>
      <c r="BV418" s="1" t="s">
        <v>635</v>
      </c>
      <c r="BW418" s="1" t="s">
        <v>82</v>
      </c>
      <c r="BX418" s="1" t="s">
        <v>82</v>
      </c>
      <c r="BY418" s="1" t="s">
        <v>108</v>
      </c>
      <c r="BZ418" s="1" t="s">
        <v>8152</v>
      </c>
      <c r="CA418" s="1" t="str">
        <f>HYPERLINK("https%3A%2F%2Fwww.webofscience.com%2Fwos%2Fwoscc%2Ffull-record%2FWOS:000786891400001","View Full Record in Web of Science")</f>
        <v>View Full Record in Web of Science</v>
      </c>
    </row>
    <row r="419" s="1" customFormat="1" ht="14.4" spans="1:79">
      <c r="A419">
        <v>418</v>
      </c>
      <c r="B419" s="2" t="s">
        <v>79</v>
      </c>
      <c r="C419" s="1" t="s">
        <v>80</v>
      </c>
      <c r="D419" s="1" t="s">
        <v>8153</v>
      </c>
      <c r="E419" s="1" t="s">
        <v>82</v>
      </c>
      <c r="F419" s="1" t="s">
        <v>82</v>
      </c>
      <c r="G419" s="1" t="s">
        <v>82</v>
      </c>
      <c r="H419" s="1" t="s">
        <v>8154</v>
      </c>
      <c r="I419" s="1" t="s">
        <v>82</v>
      </c>
      <c r="J419" s="1" t="s">
        <v>82</v>
      </c>
      <c r="K419" s="1" t="s">
        <v>8155</v>
      </c>
      <c r="L419" s="1" t="s">
        <v>8062</v>
      </c>
      <c r="M419" s="1">
        <v>3.949</v>
      </c>
      <c r="O419" s="1" t="s">
        <v>82</v>
      </c>
      <c r="P419" s="1" t="s">
        <v>82</v>
      </c>
      <c r="Q419" s="1" t="s">
        <v>87</v>
      </c>
      <c r="R419" s="1" t="s">
        <v>115</v>
      </c>
      <c r="S419" s="1" t="s">
        <v>82</v>
      </c>
      <c r="T419" s="1" t="s">
        <v>82</v>
      </c>
      <c r="U419" s="1" t="s">
        <v>82</v>
      </c>
      <c r="V419" s="1" t="s">
        <v>82</v>
      </c>
      <c r="W419" s="1" t="s">
        <v>82</v>
      </c>
      <c r="X419" s="1" t="s">
        <v>8156</v>
      </c>
      <c r="Y419" s="1" t="s">
        <v>8157</v>
      </c>
      <c r="Z419" s="1" t="s">
        <v>8158</v>
      </c>
      <c r="AA419" s="1">
        <v>1</v>
      </c>
      <c r="AB419" s="1" t="s">
        <v>8159</v>
      </c>
      <c r="AC419" s="1" t="s">
        <v>8160</v>
      </c>
      <c r="AD419" s="1" t="s">
        <v>93</v>
      </c>
      <c r="AE419" s="1" t="s">
        <v>8161</v>
      </c>
      <c r="AF419" s="1" t="s">
        <v>8162</v>
      </c>
      <c r="AG419" s="1" t="s">
        <v>8163</v>
      </c>
      <c r="AH419" s="1" t="s">
        <v>3515</v>
      </c>
      <c r="AI419" s="1" t="s">
        <v>3516</v>
      </c>
      <c r="AJ419" s="1" t="s">
        <v>8164</v>
      </c>
      <c r="AK419" s="1" t="s">
        <v>8165</v>
      </c>
      <c r="AL419" s="1" t="s">
        <v>8166</v>
      </c>
      <c r="AM419" s="1" t="s">
        <v>82</v>
      </c>
      <c r="AN419" s="1">
        <v>63</v>
      </c>
      <c r="AO419" s="1">
        <v>1</v>
      </c>
      <c r="AP419" s="1">
        <v>1</v>
      </c>
      <c r="AQ419" s="1">
        <v>8</v>
      </c>
      <c r="AR419" s="1">
        <v>12</v>
      </c>
      <c r="AS419" s="1" t="s">
        <v>2117</v>
      </c>
      <c r="AT419" s="1" t="s">
        <v>2118</v>
      </c>
      <c r="AU419" s="1" t="s">
        <v>2119</v>
      </c>
      <c r="AV419" s="1" t="s">
        <v>82</v>
      </c>
      <c r="AW419" s="1" t="s">
        <v>8074</v>
      </c>
      <c r="AX419" s="1" t="s">
        <v>82</v>
      </c>
      <c r="AY419" s="1" t="s">
        <v>8062</v>
      </c>
      <c r="AZ419" s="1" t="s">
        <v>8075</v>
      </c>
      <c r="BA419" s="1" t="s">
        <v>2145</v>
      </c>
      <c r="BB419" s="1">
        <v>2022</v>
      </c>
      <c r="BC419" s="1">
        <v>12</v>
      </c>
      <c r="BD419" s="1">
        <v>3</v>
      </c>
      <c r="BE419" s="1" t="s">
        <v>82</v>
      </c>
      <c r="BF419" s="1" t="s">
        <v>82</v>
      </c>
      <c r="BG419" s="1" t="s">
        <v>82</v>
      </c>
      <c r="BH419" s="1" t="s">
        <v>82</v>
      </c>
      <c r="BI419" s="1" t="s">
        <v>82</v>
      </c>
      <c r="BJ419" s="1" t="s">
        <v>82</v>
      </c>
      <c r="BK419" s="1">
        <v>704</v>
      </c>
      <c r="BL419" s="1" t="s">
        <v>8167</v>
      </c>
      <c r="BM419" s="1" t="str">
        <f>HYPERLINK("http://dx.doi.org/10.3390/agronomy12030704","http://dx.doi.org/10.3390/agronomy12030704")</f>
        <v>http://dx.doi.org/10.3390/agronomy12030704</v>
      </c>
      <c r="BN419" s="1" t="s">
        <v>82</v>
      </c>
      <c r="BO419" s="1" t="s">
        <v>82</v>
      </c>
      <c r="BP419" s="1">
        <v>23</v>
      </c>
      <c r="BQ419" s="1" t="s">
        <v>8077</v>
      </c>
      <c r="BR419" s="1" t="s">
        <v>104</v>
      </c>
      <c r="BS419" s="1" t="s">
        <v>6677</v>
      </c>
      <c r="BT419" s="1" t="s">
        <v>8168</v>
      </c>
      <c r="BU419" s="1" t="s">
        <v>82</v>
      </c>
      <c r="BV419" s="1" t="s">
        <v>6374</v>
      </c>
      <c r="BW419" s="1" t="s">
        <v>82</v>
      </c>
      <c r="BX419" s="1" t="s">
        <v>82</v>
      </c>
      <c r="BY419" s="1" t="s">
        <v>108</v>
      </c>
      <c r="BZ419" s="1" t="s">
        <v>8169</v>
      </c>
      <c r="CA419" s="1" t="str">
        <f>HYPERLINK("https%3A%2F%2Fwww.webofscience.com%2Fwos%2Fwoscc%2Ffull-record%2FWOS:000775715300001","View Full Record in Web of Science")</f>
        <v>View Full Record in Web of Science</v>
      </c>
    </row>
    <row r="420" s="1" customFormat="1" ht="14.4" spans="1:79">
      <c r="A420">
        <v>419</v>
      </c>
      <c r="B420" s="2" t="s">
        <v>79</v>
      </c>
      <c r="C420" s="1" t="s">
        <v>80</v>
      </c>
      <c r="D420" s="1" t="s">
        <v>8170</v>
      </c>
      <c r="E420" s="1" t="s">
        <v>82</v>
      </c>
      <c r="G420" s="1" t="s">
        <v>82</v>
      </c>
      <c r="H420" s="1" t="s">
        <v>8171</v>
      </c>
      <c r="I420" s="1" t="s">
        <v>82</v>
      </c>
      <c r="J420" s="1" t="s">
        <v>82</v>
      </c>
      <c r="K420" s="1" t="s">
        <v>8172</v>
      </c>
      <c r="L420" s="1" t="s">
        <v>8173</v>
      </c>
      <c r="M420" s="1">
        <v>3.925</v>
      </c>
      <c r="O420" s="1" t="s">
        <v>82</v>
      </c>
      <c r="P420" s="1" t="s">
        <v>82</v>
      </c>
      <c r="Q420" s="1" t="s">
        <v>87</v>
      </c>
      <c r="R420" s="1" t="s">
        <v>115</v>
      </c>
      <c r="S420" s="1" t="s">
        <v>82</v>
      </c>
      <c r="T420" s="1" t="s">
        <v>82</v>
      </c>
      <c r="U420" s="1" t="s">
        <v>82</v>
      </c>
      <c r="V420" s="1" t="s">
        <v>82</v>
      </c>
      <c r="W420" s="1" t="s">
        <v>82</v>
      </c>
      <c r="X420" s="1" t="s">
        <v>82</v>
      </c>
      <c r="Y420" s="1" t="s">
        <v>8174</v>
      </c>
      <c r="Z420" s="1" t="s">
        <v>8175</v>
      </c>
      <c r="AA420" s="1">
        <v>1</v>
      </c>
      <c r="AB420" s="1" t="s">
        <v>3676</v>
      </c>
      <c r="AC420" s="1" t="s">
        <v>8176</v>
      </c>
      <c r="AD420" s="1" t="s">
        <v>93</v>
      </c>
      <c r="AE420" s="1" t="s">
        <v>8177</v>
      </c>
      <c r="AF420" s="1" t="s">
        <v>8178</v>
      </c>
      <c r="AG420" s="1" t="s">
        <v>8179</v>
      </c>
      <c r="AH420" s="1" t="s">
        <v>82</v>
      </c>
      <c r="AI420" s="1" t="s">
        <v>82</v>
      </c>
      <c r="AJ420" s="1" t="s">
        <v>8180</v>
      </c>
      <c r="AK420" s="1" t="s">
        <v>8181</v>
      </c>
      <c r="AL420" s="1" t="s">
        <v>8182</v>
      </c>
      <c r="AM420" s="1" t="s">
        <v>82</v>
      </c>
      <c r="AN420" s="1">
        <v>26</v>
      </c>
      <c r="AO420" s="1">
        <v>0</v>
      </c>
      <c r="AP420" s="1">
        <v>0</v>
      </c>
      <c r="AQ420" s="1">
        <v>0</v>
      </c>
      <c r="AR420" s="1">
        <v>0</v>
      </c>
      <c r="AS420" s="1" t="s">
        <v>1480</v>
      </c>
      <c r="AT420" s="1" t="s">
        <v>416</v>
      </c>
      <c r="AU420" s="1" t="s">
        <v>1481</v>
      </c>
      <c r="AV420" s="1" t="s">
        <v>8183</v>
      </c>
      <c r="AW420" s="1" t="s">
        <v>8184</v>
      </c>
      <c r="AX420" s="1" t="s">
        <v>82</v>
      </c>
      <c r="AY420" s="1" t="s">
        <v>8185</v>
      </c>
      <c r="AZ420" s="1" t="s">
        <v>8186</v>
      </c>
      <c r="BA420" s="1" t="s">
        <v>8187</v>
      </c>
      <c r="BB420" s="1">
        <v>2022</v>
      </c>
      <c r="BC420" s="1">
        <v>47</v>
      </c>
      <c r="BD420" s="1">
        <v>1</v>
      </c>
      <c r="BE420" s="1" t="s">
        <v>82</v>
      </c>
      <c r="BF420" s="1" t="s">
        <v>82</v>
      </c>
      <c r="BG420" s="1" t="s">
        <v>82</v>
      </c>
      <c r="BH420" s="1" t="s">
        <v>82</v>
      </c>
      <c r="BI420" s="1">
        <v>324</v>
      </c>
      <c r="BJ420" s="1">
        <v>332</v>
      </c>
      <c r="BK420" s="1" t="s">
        <v>82</v>
      </c>
      <c r="BL420" s="1" t="s">
        <v>8188</v>
      </c>
      <c r="BM420" s="1" t="str">
        <f>HYPERLINK("http://dx.doi.org/10.1039/d2nj04576a","http://dx.doi.org/10.1039/d2nj04576a")</f>
        <v>http://dx.doi.org/10.1039/d2nj04576a</v>
      </c>
      <c r="BN420" s="1" t="s">
        <v>82</v>
      </c>
      <c r="BO420" s="1" t="s">
        <v>82</v>
      </c>
      <c r="BP420" s="1">
        <v>9</v>
      </c>
      <c r="BQ420" s="1" t="s">
        <v>705</v>
      </c>
      <c r="BR420" s="1" t="s">
        <v>104</v>
      </c>
      <c r="BS420" s="1" t="s">
        <v>706</v>
      </c>
      <c r="BT420" s="1" t="s">
        <v>8189</v>
      </c>
      <c r="BU420" s="1" t="s">
        <v>82</v>
      </c>
      <c r="BV420" s="1" t="s">
        <v>82</v>
      </c>
      <c r="BW420" s="1" t="s">
        <v>82</v>
      </c>
      <c r="BX420" s="1" t="s">
        <v>82</v>
      </c>
      <c r="BY420" s="1" t="s">
        <v>108</v>
      </c>
      <c r="BZ420" s="1" t="s">
        <v>8190</v>
      </c>
      <c r="CA420" s="1" t="str">
        <f>HYPERLINK("https%3A%2F%2Fwww.webofscience.com%2Fwos%2Fwoscc%2Ffull-record%2FWOS:000900709800001","View Full Record in Web of Science")</f>
        <v>View Full Record in Web of Science</v>
      </c>
    </row>
    <row r="421" s="1" customFormat="1" ht="14.4" spans="1:79">
      <c r="A421">
        <v>420</v>
      </c>
      <c r="B421" s="2" t="s">
        <v>110</v>
      </c>
      <c r="C421" s="1" t="s">
        <v>80</v>
      </c>
      <c r="D421" s="1" t="s">
        <v>8191</v>
      </c>
      <c r="E421" s="1" t="s">
        <v>82</v>
      </c>
      <c r="F421" s="1" t="s">
        <v>82</v>
      </c>
      <c r="G421" s="1" t="s">
        <v>82</v>
      </c>
      <c r="H421" s="1" t="s">
        <v>8192</v>
      </c>
      <c r="I421" s="1" t="s">
        <v>82</v>
      </c>
      <c r="J421" s="1" t="s">
        <v>82</v>
      </c>
      <c r="K421" s="1" t="s">
        <v>8193</v>
      </c>
      <c r="L421" s="1" t="s">
        <v>8173</v>
      </c>
      <c r="M421" s="1">
        <v>3.925</v>
      </c>
      <c r="O421" s="1" t="s">
        <v>82</v>
      </c>
      <c r="P421" s="1" t="s">
        <v>82</v>
      </c>
      <c r="Q421" s="1" t="s">
        <v>87</v>
      </c>
      <c r="R421" s="1" t="s">
        <v>115</v>
      </c>
      <c r="S421" s="1" t="s">
        <v>82</v>
      </c>
      <c r="T421" s="1" t="s">
        <v>82</v>
      </c>
      <c r="U421" s="1" t="s">
        <v>82</v>
      </c>
      <c r="V421" s="1" t="s">
        <v>82</v>
      </c>
      <c r="W421" s="1" t="s">
        <v>82</v>
      </c>
      <c r="X421" s="1" t="s">
        <v>82</v>
      </c>
      <c r="Y421" s="1" t="s">
        <v>8194</v>
      </c>
      <c r="Z421" s="1" t="s">
        <v>8195</v>
      </c>
      <c r="AA421" s="1">
        <v>1</v>
      </c>
      <c r="AB421" s="1" t="s">
        <v>7756</v>
      </c>
      <c r="AC421" s="1" t="s">
        <v>8196</v>
      </c>
      <c r="AD421" s="1" t="s">
        <v>93</v>
      </c>
      <c r="AE421" s="1" t="s">
        <v>1818</v>
      </c>
      <c r="AF421" s="1" t="s">
        <v>8197</v>
      </c>
      <c r="AG421" s="1" t="s">
        <v>7760</v>
      </c>
      <c r="AH421" s="1" t="s">
        <v>82</v>
      </c>
      <c r="AI421" s="1" t="s">
        <v>82</v>
      </c>
      <c r="AJ421" s="1" t="s">
        <v>8198</v>
      </c>
      <c r="AK421" s="1" t="s">
        <v>8199</v>
      </c>
      <c r="AL421" s="1" t="s">
        <v>8200</v>
      </c>
      <c r="AM421" s="1" t="s">
        <v>82</v>
      </c>
      <c r="AN421" s="1">
        <v>31</v>
      </c>
      <c r="AO421" s="1">
        <v>0</v>
      </c>
      <c r="AP421" s="1">
        <v>0</v>
      </c>
      <c r="AQ421" s="1">
        <v>7</v>
      </c>
      <c r="AR421" s="1">
        <v>7</v>
      </c>
      <c r="AS421" s="1" t="s">
        <v>1480</v>
      </c>
      <c r="AT421" s="1" t="s">
        <v>416</v>
      </c>
      <c r="AU421" s="1" t="s">
        <v>1481</v>
      </c>
      <c r="AV421" s="1" t="s">
        <v>8183</v>
      </c>
      <c r="AW421" s="1" t="s">
        <v>8184</v>
      </c>
      <c r="AX421" s="1" t="s">
        <v>82</v>
      </c>
      <c r="AY421" s="1" t="s">
        <v>8185</v>
      </c>
      <c r="AZ421" s="1" t="s">
        <v>8186</v>
      </c>
      <c r="BA421" s="1" t="s">
        <v>3117</v>
      </c>
      <c r="BB421" s="1">
        <v>2022</v>
      </c>
      <c r="BC421" s="1">
        <v>46</v>
      </c>
      <c r="BD421" s="1">
        <v>40</v>
      </c>
      <c r="BE421" s="1" t="s">
        <v>82</v>
      </c>
      <c r="BF421" s="1" t="s">
        <v>82</v>
      </c>
      <c r="BG421" s="1" t="s">
        <v>82</v>
      </c>
      <c r="BH421" s="1" t="s">
        <v>82</v>
      </c>
      <c r="BI421" s="1">
        <v>19136</v>
      </c>
      <c r="BJ421" s="1">
        <v>19146</v>
      </c>
      <c r="BK421" s="1" t="s">
        <v>82</v>
      </c>
      <c r="BL421" s="1" t="s">
        <v>8201</v>
      </c>
      <c r="BM421" s="1" t="str">
        <f>HYPERLINK("http://dx.doi.org/10.1039/d2nj03666e","http://dx.doi.org/10.1039/d2nj03666e")</f>
        <v>http://dx.doi.org/10.1039/d2nj03666e</v>
      </c>
      <c r="BN421" s="1" t="s">
        <v>82</v>
      </c>
      <c r="BO421" s="1" t="s">
        <v>224</v>
      </c>
      <c r="BP421" s="1">
        <v>11</v>
      </c>
      <c r="BQ421" s="1" t="s">
        <v>705</v>
      </c>
      <c r="BR421" s="1" t="s">
        <v>745</v>
      </c>
      <c r="BS421" s="1" t="s">
        <v>706</v>
      </c>
      <c r="BT421" s="1" t="s">
        <v>8202</v>
      </c>
      <c r="BU421" s="1" t="s">
        <v>82</v>
      </c>
      <c r="BV421" s="1" t="s">
        <v>82</v>
      </c>
      <c r="BW421" s="1" t="s">
        <v>82</v>
      </c>
      <c r="BX421" s="1" t="s">
        <v>82</v>
      </c>
      <c r="BY421" s="1" t="s">
        <v>108</v>
      </c>
      <c r="BZ421" s="1" t="s">
        <v>8203</v>
      </c>
      <c r="CA421" s="1" t="str">
        <f>HYPERLINK("https%3A%2F%2Fwww.webofscience.com%2Fwos%2Fwoscc%2Ffull-record%2FWOS:000860874600001","View Full Record in Web of Science")</f>
        <v>View Full Record in Web of Science</v>
      </c>
    </row>
    <row r="422" s="1" customFormat="1" ht="14.4" spans="1:79">
      <c r="A422">
        <v>421</v>
      </c>
      <c r="B422" s="2" t="s">
        <v>79</v>
      </c>
      <c r="C422" s="1" t="s">
        <v>80</v>
      </c>
      <c r="D422" s="1" t="s">
        <v>8204</v>
      </c>
      <c r="E422" s="1" t="s">
        <v>82</v>
      </c>
      <c r="F422" s="1" t="s">
        <v>82</v>
      </c>
      <c r="G422" s="1" t="s">
        <v>82</v>
      </c>
      <c r="H422" s="1" t="s">
        <v>8205</v>
      </c>
      <c r="I422" s="1" t="s">
        <v>82</v>
      </c>
      <c r="J422" s="1" t="s">
        <v>82</v>
      </c>
      <c r="K422" s="1" t="s">
        <v>8206</v>
      </c>
      <c r="L422" s="1" t="s">
        <v>8207</v>
      </c>
      <c r="M422" s="1">
        <v>3.913</v>
      </c>
      <c r="O422" s="1" t="s">
        <v>82</v>
      </c>
      <c r="P422" s="1" t="s">
        <v>82</v>
      </c>
      <c r="Q422" s="1" t="s">
        <v>87</v>
      </c>
      <c r="R422" s="1" t="s">
        <v>115</v>
      </c>
      <c r="S422" s="1" t="s">
        <v>82</v>
      </c>
      <c r="T422" s="1" t="s">
        <v>82</v>
      </c>
      <c r="U422" s="1" t="s">
        <v>82</v>
      </c>
      <c r="V422" s="1" t="s">
        <v>82</v>
      </c>
      <c r="W422" s="1" t="s">
        <v>82</v>
      </c>
      <c r="X422" s="1" t="s">
        <v>8208</v>
      </c>
      <c r="Y422" s="1" t="s">
        <v>8209</v>
      </c>
      <c r="Z422" s="1" t="s">
        <v>8210</v>
      </c>
      <c r="AB422" s="1" t="s">
        <v>8211</v>
      </c>
      <c r="AC422" s="1" t="s">
        <v>8212</v>
      </c>
      <c r="AD422" s="1" t="s">
        <v>120</v>
      </c>
      <c r="AE422" s="1" t="s">
        <v>8213</v>
      </c>
      <c r="AF422" s="1" t="s">
        <v>8214</v>
      </c>
      <c r="AG422" s="1" t="s">
        <v>82</v>
      </c>
      <c r="AH422" s="1" t="s">
        <v>82</v>
      </c>
      <c r="AI422" s="1" t="s">
        <v>82</v>
      </c>
      <c r="AJ422" s="1" t="s">
        <v>8215</v>
      </c>
      <c r="AK422" s="1" t="s">
        <v>8216</v>
      </c>
      <c r="AL422" s="1" t="s">
        <v>8217</v>
      </c>
      <c r="AM422" s="1" t="s">
        <v>82</v>
      </c>
      <c r="AN422" s="1">
        <v>69</v>
      </c>
      <c r="AO422" s="1">
        <v>1</v>
      </c>
      <c r="AP422" s="1">
        <v>1</v>
      </c>
      <c r="AQ422" s="1">
        <v>2</v>
      </c>
      <c r="AR422" s="1">
        <v>16</v>
      </c>
      <c r="AS422" s="1" t="s">
        <v>479</v>
      </c>
      <c r="AT422" s="1" t="s">
        <v>480</v>
      </c>
      <c r="AU422" s="1" t="s">
        <v>481</v>
      </c>
      <c r="AV422" s="1" t="s">
        <v>8218</v>
      </c>
      <c r="AW422" s="1" t="s">
        <v>8219</v>
      </c>
      <c r="AX422" s="1" t="s">
        <v>82</v>
      </c>
      <c r="AY422" s="1" t="s">
        <v>8207</v>
      </c>
      <c r="AZ422" s="1" t="s">
        <v>8220</v>
      </c>
      <c r="BA422" s="1" t="s">
        <v>8221</v>
      </c>
      <c r="BB422" s="1">
        <v>2022</v>
      </c>
      <c r="BC422" s="1">
        <v>823</v>
      </c>
      <c r="BD422" s="1" t="s">
        <v>82</v>
      </c>
      <c r="BE422" s="1" t="s">
        <v>82</v>
      </c>
      <c r="BF422" s="1" t="s">
        <v>82</v>
      </c>
      <c r="BG422" s="1" t="s">
        <v>82</v>
      </c>
      <c r="BH422" s="1" t="s">
        <v>82</v>
      </c>
      <c r="BI422" s="1" t="s">
        <v>82</v>
      </c>
      <c r="BJ422" s="1" t="s">
        <v>82</v>
      </c>
      <c r="BK422" s="1">
        <v>146320</v>
      </c>
      <c r="BL422" s="1" t="s">
        <v>8222</v>
      </c>
      <c r="BM422" s="1" t="str">
        <f>HYPERLINK("http://dx.doi.org/10.1016/j.gene.2022.146320","http://dx.doi.org/10.1016/j.gene.2022.146320")</f>
        <v>http://dx.doi.org/10.1016/j.gene.2022.146320</v>
      </c>
      <c r="BN422" s="1" t="s">
        <v>82</v>
      </c>
      <c r="BO422" s="1" t="s">
        <v>282</v>
      </c>
      <c r="BP422" s="1">
        <v>10</v>
      </c>
      <c r="BQ422" s="1" t="s">
        <v>7013</v>
      </c>
      <c r="BR422" s="1" t="s">
        <v>104</v>
      </c>
      <c r="BS422" s="1" t="s">
        <v>7013</v>
      </c>
      <c r="BT422" s="1" t="s">
        <v>8223</v>
      </c>
      <c r="BU422" s="1">
        <v>35218893</v>
      </c>
      <c r="BV422" s="1" t="s">
        <v>82</v>
      </c>
      <c r="BW422" s="1" t="s">
        <v>82</v>
      </c>
      <c r="BX422" s="1" t="s">
        <v>82</v>
      </c>
      <c r="BY422" s="1" t="s">
        <v>108</v>
      </c>
      <c r="BZ422" s="1" t="s">
        <v>8224</v>
      </c>
      <c r="CA422" s="1" t="str">
        <f>HYPERLINK("https%3A%2F%2Fwww.webofscience.com%2Fwos%2Fwoscc%2Ffull-record%2FWOS:000770606400001","View Full Record in Web of Science")</f>
        <v>View Full Record in Web of Science</v>
      </c>
    </row>
    <row r="423" s="1" customFormat="1" ht="14.4" spans="1:79">
      <c r="A423">
        <v>422</v>
      </c>
      <c r="B423" s="2" t="s">
        <v>110</v>
      </c>
      <c r="C423" s="1" t="s">
        <v>80</v>
      </c>
      <c r="D423" s="1" t="s">
        <v>8225</v>
      </c>
      <c r="E423" s="1" t="s">
        <v>82</v>
      </c>
      <c r="F423" s="1" t="s">
        <v>82</v>
      </c>
      <c r="G423" s="1" t="s">
        <v>82</v>
      </c>
      <c r="H423" s="1" t="s">
        <v>8226</v>
      </c>
      <c r="I423" s="1" t="s">
        <v>82</v>
      </c>
      <c r="J423" s="1" t="s">
        <v>82</v>
      </c>
      <c r="K423" s="1" t="s">
        <v>8227</v>
      </c>
      <c r="L423" s="1" t="s">
        <v>8228</v>
      </c>
      <c r="M423" s="1">
        <v>3.89</v>
      </c>
      <c r="O423" s="1" t="s">
        <v>82</v>
      </c>
      <c r="P423" s="1" t="s">
        <v>82</v>
      </c>
      <c r="Q423" s="1" t="s">
        <v>87</v>
      </c>
      <c r="R423" s="1" t="s">
        <v>115</v>
      </c>
      <c r="S423" s="1" t="s">
        <v>82</v>
      </c>
      <c r="T423" s="1" t="s">
        <v>82</v>
      </c>
      <c r="U423" s="1" t="s">
        <v>82</v>
      </c>
      <c r="V423" s="1" t="s">
        <v>82</v>
      </c>
      <c r="W423" s="1" t="s">
        <v>82</v>
      </c>
      <c r="X423" s="1" t="s">
        <v>82</v>
      </c>
      <c r="Y423" s="1" t="s">
        <v>8229</v>
      </c>
      <c r="Z423" s="1" t="s">
        <v>8230</v>
      </c>
      <c r="AB423" s="1" t="s">
        <v>8231</v>
      </c>
      <c r="AC423" s="1" t="s">
        <v>8232</v>
      </c>
      <c r="AD423" s="1" t="s">
        <v>206</v>
      </c>
      <c r="AE423" s="1" t="s">
        <v>8233</v>
      </c>
      <c r="AF423" s="1" t="s">
        <v>8234</v>
      </c>
      <c r="AG423" s="1" t="s">
        <v>8235</v>
      </c>
      <c r="AH423" s="1" t="s">
        <v>82</v>
      </c>
      <c r="AI423" s="1" t="s">
        <v>82</v>
      </c>
      <c r="AJ423" s="1" t="s">
        <v>8236</v>
      </c>
      <c r="AK423" s="1" t="s">
        <v>8237</v>
      </c>
      <c r="AL423" s="1" t="s">
        <v>8238</v>
      </c>
      <c r="AM423" s="1" t="s">
        <v>82</v>
      </c>
      <c r="AN423" s="1">
        <v>44</v>
      </c>
      <c r="AO423" s="1">
        <v>0</v>
      </c>
      <c r="AP423" s="1">
        <v>0</v>
      </c>
      <c r="AQ423" s="1">
        <v>1</v>
      </c>
      <c r="AR423" s="1">
        <v>1</v>
      </c>
      <c r="AS423" s="1" t="s">
        <v>1480</v>
      </c>
      <c r="AT423" s="1" t="s">
        <v>416</v>
      </c>
      <c r="AU423" s="1" t="s">
        <v>1481</v>
      </c>
      <c r="AV423" s="1" t="s">
        <v>8239</v>
      </c>
      <c r="AW423" s="1" t="s">
        <v>8240</v>
      </c>
      <c r="AX423" s="1" t="s">
        <v>82</v>
      </c>
      <c r="AY423" s="1" t="s">
        <v>8241</v>
      </c>
      <c r="AZ423" s="1" t="s">
        <v>8242</v>
      </c>
      <c r="BA423" s="1" t="s">
        <v>8243</v>
      </c>
      <c r="BB423" s="1">
        <v>2023</v>
      </c>
      <c r="BC423" s="1">
        <v>21</v>
      </c>
      <c r="BD423" s="1">
        <v>3</v>
      </c>
      <c r="BE423" s="1" t="s">
        <v>82</v>
      </c>
      <c r="BF423" s="1" t="s">
        <v>82</v>
      </c>
      <c r="BG423" s="1" t="s">
        <v>82</v>
      </c>
      <c r="BH423" s="1" t="s">
        <v>82</v>
      </c>
      <c r="BI423" s="1">
        <v>514</v>
      </c>
      <c r="BJ423" s="1">
        <v>519</v>
      </c>
      <c r="BK423" s="1" t="s">
        <v>82</v>
      </c>
      <c r="BL423" s="1" t="s">
        <v>8244</v>
      </c>
      <c r="BM423" s="1" t="str">
        <f>HYPERLINK("http://dx.doi.org/10.1039/d2ob01965e","http://dx.doi.org/10.1039/d2ob01965e")</f>
        <v>http://dx.doi.org/10.1039/d2ob01965e</v>
      </c>
      <c r="BN423" s="1" t="s">
        <v>82</v>
      </c>
      <c r="BO423" s="1" t="s">
        <v>1618</v>
      </c>
      <c r="BP423" s="1">
        <v>6</v>
      </c>
      <c r="BQ423" s="1" t="s">
        <v>4190</v>
      </c>
      <c r="BR423" s="1" t="s">
        <v>104</v>
      </c>
      <c r="BS423" s="1" t="s">
        <v>706</v>
      </c>
      <c r="BT423" s="1" t="s">
        <v>8245</v>
      </c>
      <c r="BU423" s="1">
        <v>36594355</v>
      </c>
      <c r="BV423" s="1" t="s">
        <v>82</v>
      </c>
      <c r="BW423" s="1" t="s">
        <v>82</v>
      </c>
      <c r="BX423" s="1" t="s">
        <v>82</v>
      </c>
      <c r="BY423" s="1" t="s">
        <v>108</v>
      </c>
      <c r="BZ423" s="1" t="s">
        <v>8246</v>
      </c>
      <c r="CA423" s="1" t="str">
        <f>HYPERLINK("https%3A%2F%2Fwww.webofscience.com%2Fwos%2Fwoscc%2Ffull-record%2FWOS:000906757600001","View Full Record in Web of Science")</f>
        <v>View Full Record in Web of Science</v>
      </c>
    </row>
    <row r="424" s="1" customFormat="1" ht="14.4" spans="1:79">
      <c r="A424">
        <v>423</v>
      </c>
      <c r="B424" s="2" t="s">
        <v>79</v>
      </c>
      <c r="C424" s="1" t="s">
        <v>80</v>
      </c>
      <c r="D424" s="1" t="s">
        <v>8247</v>
      </c>
      <c r="E424" s="1" t="s">
        <v>82</v>
      </c>
      <c r="F424" s="1" t="s">
        <v>82</v>
      </c>
      <c r="G424" s="1" t="s">
        <v>82</v>
      </c>
      <c r="H424" s="1" t="s">
        <v>8248</v>
      </c>
      <c r="I424" s="1" t="s">
        <v>82</v>
      </c>
      <c r="J424" s="1" t="s">
        <v>82</v>
      </c>
      <c r="K424" s="1" t="s">
        <v>8249</v>
      </c>
      <c r="L424" s="1" t="s">
        <v>8228</v>
      </c>
      <c r="M424" s="1">
        <v>3.89</v>
      </c>
      <c r="O424" s="1" t="s">
        <v>82</v>
      </c>
      <c r="P424" s="1" t="s">
        <v>82</v>
      </c>
      <c r="Q424" s="1" t="s">
        <v>87</v>
      </c>
      <c r="R424" s="1" t="s">
        <v>115</v>
      </c>
      <c r="S424" s="1" t="s">
        <v>82</v>
      </c>
      <c r="T424" s="1" t="s">
        <v>82</v>
      </c>
      <c r="U424" s="1" t="s">
        <v>82</v>
      </c>
      <c r="V424" s="1" t="s">
        <v>82</v>
      </c>
      <c r="W424" s="1" t="s">
        <v>82</v>
      </c>
      <c r="X424" s="1" t="s">
        <v>82</v>
      </c>
      <c r="Y424" s="1" t="s">
        <v>8250</v>
      </c>
      <c r="Z424" s="1" t="s">
        <v>8251</v>
      </c>
      <c r="AB424" s="1" t="s">
        <v>8252</v>
      </c>
      <c r="AC424" s="1" t="s">
        <v>8253</v>
      </c>
      <c r="AD424" s="1" t="s">
        <v>206</v>
      </c>
      <c r="AE424" s="1" t="s">
        <v>3994</v>
      </c>
      <c r="AF424" s="1" t="s">
        <v>8254</v>
      </c>
      <c r="AG424" s="1" t="s">
        <v>8255</v>
      </c>
      <c r="AH424" s="1" t="s">
        <v>82</v>
      </c>
      <c r="AI424" s="1" t="s">
        <v>8256</v>
      </c>
      <c r="AJ424" s="1" t="s">
        <v>8257</v>
      </c>
      <c r="AK424" s="1" t="s">
        <v>8258</v>
      </c>
      <c r="AL424" s="1" t="s">
        <v>8259</v>
      </c>
      <c r="AM424" s="1" t="s">
        <v>82</v>
      </c>
      <c r="AN424" s="1">
        <v>33</v>
      </c>
      <c r="AO424" s="1">
        <v>0</v>
      </c>
      <c r="AP424" s="1">
        <v>0</v>
      </c>
      <c r="AQ424" s="1">
        <v>9</v>
      </c>
      <c r="AR424" s="1">
        <v>9</v>
      </c>
      <c r="AS424" s="1" t="s">
        <v>1480</v>
      </c>
      <c r="AT424" s="1" t="s">
        <v>416</v>
      </c>
      <c r="AU424" s="1" t="s">
        <v>1481</v>
      </c>
      <c r="AV424" s="1" t="s">
        <v>8239</v>
      </c>
      <c r="AW424" s="1" t="s">
        <v>8240</v>
      </c>
      <c r="AX424" s="1" t="s">
        <v>82</v>
      </c>
      <c r="AY424" s="1" t="s">
        <v>8241</v>
      </c>
      <c r="AZ424" s="1" t="s">
        <v>8242</v>
      </c>
      <c r="BA424" s="1" t="s">
        <v>4573</v>
      </c>
      <c r="BB424" s="1">
        <v>2022</v>
      </c>
      <c r="BC424" s="1">
        <v>21</v>
      </c>
      <c r="BD424" s="1">
        <v>1</v>
      </c>
      <c r="BE424" s="1" t="s">
        <v>82</v>
      </c>
      <c r="BF424" s="1" t="s">
        <v>82</v>
      </c>
      <c r="BG424" s="1" t="s">
        <v>82</v>
      </c>
      <c r="BH424" s="1" t="s">
        <v>82</v>
      </c>
      <c r="BI424" s="1">
        <v>140</v>
      </c>
      <c r="BJ424" s="1">
        <v>146</v>
      </c>
      <c r="BK424" s="1" t="s">
        <v>82</v>
      </c>
      <c r="BL424" s="1" t="s">
        <v>8260</v>
      </c>
      <c r="BM424" s="1" t="str">
        <f>HYPERLINK("http://dx.doi.org/10.1039/d2ob01851a","http://dx.doi.org/10.1039/d2ob01851a")</f>
        <v>http://dx.doi.org/10.1039/d2ob01851a</v>
      </c>
      <c r="BN424" s="1" t="s">
        <v>82</v>
      </c>
      <c r="BO424" s="1" t="s">
        <v>870</v>
      </c>
      <c r="BP424" s="1">
        <v>7</v>
      </c>
      <c r="BQ424" s="1" t="s">
        <v>4190</v>
      </c>
      <c r="BR424" s="1" t="s">
        <v>745</v>
      </c>
      <c r="BS424" s="1" t="s">
        <v>706</v>
      </c>
      <c r="BT424" s="1" t="s">
        <v>8261</v>
      </c>
      <c r="BU424" s="1">
        <v>36458939</v>
      </c>
      <c r="BV424" s="1" t="s">
        <v>82</v>
      </c>
      <c r="BW424" s="1" t="s">
        <v>82</v>
      </c>
      <c r="BX424" s="1" t="s">
        <v>82</v>
      </c>
      <c r="BY424" s="1" t="s">
        <v>108</v>
      </c>
      <c r="BZ424" s="1" t="s">
        <v>8262</v>
      </c>
      <c r="CA424" s="1" t="str">
        <f>HYPERLINK("https%3A%2F%2Fwww.webofscience.com%2Fwos%2Fwoscc%2Ffull-record%2FWOS:000893216100001","View Full Record in Web of Science")</f>
        <v>View Full Record in Web of Science</v>
      </c>
    </row>
    <row r="425" s="1" customFormat="1" ht="14.4" spans="1:79">
      <c r="A425">
        <v>424</v>
      </c>
      <c r="B425" s="2" t="s">
        <v>110</v>
      </c>
      <c r="C425" s="1" t="s">
        <v>80</v>
      </c>
      <c r="D425" s="1" t="s">
        <v>8263</v>
      </c>
      <c r="E425" s="1" t="s">
        <v>82</v>
      </c>
      <c r="F425" s="1" t="s">
        <v>82</v>
      </c>
      <c r="G425" s="1" t="s">
        <v>82</v>
      </c>
      <c r="H425" s="1" t="s">
        <v>8264</v>
      </c>
      <c r="I425" s="1" t="s">
        <v>82</v>
      </c>
      <c r="J425" s="1" t="s">
        <v>82</v>
      </c>
      <c r="K425" s="1" t="s">
        <v>8265</v>
      </c>
      <c r="L425" s="1" t="s">
        <v>8228</v>
      </c>
      <c r="M425" s="1">
        <v>3.89</v>
      </c>
      <c r="O425" s="1" t="s">
        <v>82</v>
      </c>
      <c r="P425" s="1" t="s">
        <v>82</v>
      </c>
      <c r="Q425" s="1" t="s">
        <v>87</v>
      </c>
      <c r="R425" s="1" t="s">
        <v>115</v>
      </c>
      <c r="S425" s="1" t="s">
        <v>82</v>
      </c>
      <c r="T425" s="1" t="s">
        <v>82</v>
      </c>
      <c r="U425" s="1" t="s">
        <v>82</v>
      </c>
      <c r="V425" s="1" t="s">
        <v>82</v>
      </c>
      <c r="W425" s="1" t="s">
        <v>82</v>
      </c>
      <c r="X425" s="1" t="s">
        <v>82</v>
      </c>
      <c r="Y425" s="1" t="s">
        <v>8266</v>
      </c>
      <c r="Z425" s="1" t="s">
        <v>8267</v>
      </c>
      <c r="AA425" s="1">
        <v>1</v>
      </c>
      <c r="AB425" s="1" t="s">
        <v>8268</v>
      </c>
      <c r="AC425" s="1" t="s">
        <v>8269</v>
      </c>
      <c r="AD425" s="1" t="s">
        <v>93</v>
      </c>
      <c r="AE425" s="1" t="s">
        <v>8270</v>
      </c>
      <c r="AF425" s="1" t="s">
        <v>8271</v>
      </c>
      <c r="AG425" s="1" t="s">
        <v>4202</v>
      </c>
      <c r="AH425" s="1" t="s">
        <v>82</v>
      </c>
      <c r="AI425" s="1" t="s">
        <v>8272</v>
      </c>
      <c r="AJ425" s="1" t="s">
        <v>8273</v>
      </c>
      <c r="AK425" s="1" t="s">
        <v>8274</v>
      </c>
      <c r="AL425" s="1" t="s">
        <v>8275</v>
      </c>
      <c r="AM425" s="1" t="s">
        <v>82</v>
      </c>
      <c r="AN425" s="1">
        <v>39</v>
      </c>
      <c r="AO425" s="1">
        <v>2</v>
      </c>
      <c r="AP425" s="1">
        <v>2</v>
      </c>
      <c r="AQ425" s="1">
        <v>6</v>
      </c>
      <c r="AR425" s="1">
        <v>6</v>
      </c>
      <c r="AS425" s="1" t="s">
        <v>1480</v>
      </c>
      <c r="AT425" s="1" t="s">
        <v>416</v>
      </c>
      <c r="AU425" s="1" t="s">
        <v>1481</v>
      </c>
      <c r="AV425" s="1" t="s">
        <v>8239</v>
      </c>
      <c r="AW425" s="1" t="s">
        <v>8240</v>
      </c>
      <c r="AX425" s="1" t="s">
        <v>82</v>
      </c>
      <c r="AY425" s="1" t="s">
        <v>8241</v>
      </c>
      <c r="AZ425" s="1" t="s">
        <v>8242</v>
      </c>
      <c r="BA425" s="1" t="s">
        <v>4442</v>
      </c>
      <c r="BB425" s="1">
        <v>2022</v>
      </c>
      <c r="BC425" s="1">
        <v>20</v>
      </c>
      <c r="BD425" s="1">
        <v>34</v>
      </c>
      <c r="BE425" s="1" t="s">
        <v>82</v>
      </c>
      <c r="BF425" s="1" t="s">
        <v>82</v>
      </c>
      <c r="BG425" s="1" t="s">
        <v>82</v>
      </c>
      <c r="BH425" s="1" t="s">
        <v>82</v>
      </c>
      <c r="BI425" s="1">
        <v>6755</v>
      </c>
      <c r="BJ425" s="1">
        <v>6758</v>
      </c>
      <c r="BK425" s="1" t="s">
        <v>82</v>
      </c>
      <c r="BL425" s="1" t="s">
        <v>8276</v>
      </c>
      <c r="BM425" s="1" t="str">
        <f>HYPERLINK("http://dx.doi.org/10.1039/d2ob01243j","http://dx.doi.org/10.1039/d2ob01243j")</f>
        <v>http://dx.doi.org/10.1039/d2ob01243j</v>
      </c>
      <c r="BN425" s="1" t="s">
        <v>82</v>
      </c>
      <c r="BO425" s="1" t="s">
        <v>424</v>
      </c>
      <c r="BP425" s="1">
        <v>4</v>
      </c>
      <c r="BQ425" s="1" t="s">
        <v>4190</v>
      </c>
      <c r="BR425" s="1" t="s">
        <v>728</v>
      </c>
      <c r="BS425" s="1" t="s">
        <v>706</v>
      </c>
      <c r="BT425" s="1" t="s">
        <v>8277</v>
      </c>
      <c r="BU425" s="1">
        <v>35971976</v>
      </c>
      <c r="BV425" s="1" t="s">
        <v>82</v>
      </c>
      <c r="BW425" s="1" t="s">
        <v>82</v>
      </c>
      <c r="BX425" s="1" t="s">
        <v>82</v>
      </c>
      <c r="BY425" s="1" t="s">
        <v>108</v>
      </c>
      <c r="BZ425" s="1" t="s">
        <v>8278</v>
      </c>
      <c r="CA425" s="1" t="str">
        <f>HYPERLINK("https%3A%2F%2Fwww.webofscience.com%2Fwos%2Fwoscc%2Ffull-record%2FWOS:000840917300001","View Full Record in Web of Science")</f>
        <v>View Full Record in Web of Science</v>
      </c>
    </row>
    <row r="426" s="1" customFormat="1" ht="14.4" spans="1:79">
      <c r="A426">
        <v>425</v>
      </c>
      <c r="B426" s="2" t="s">
        <v>110</v>
      </c>
      <c r="C426" s="1" t="s">
        <v>80</v>
      </c>
      <c r="D426" s="1" t="s">
        <v>8279</v>
      </c>
      <c r="E426" s="1" t="s">
        <v>82</v>
      </c>
      <c r="F426" s="1" t="s">
        <v>82</v>
      </c>
      <c r="G426" s="1" t="s">
        <v>82</v>
      </c>
      <c r="H426" s="1" t="s">
        <v>8280</v>
      </c>
      <c r="I426" s="1" t="s">
        <v>82</v>
      </c>
      <c r="J426" s="1" t="s">
        <v>82</v>
      </c>
      <c r="K426" s="1" t="s">
        <v>8281</v>
      </c>
      <c r="L426" s="1" t="s">
        <v>8228</v>
      </c>
      <c r="M426" s="1">
        <v>3.89</v>
      </c>
      <c r="O426" s="1" t="s">
        <v>82</v>
      </c>
      <c r="P426" s="1" t="s">
        <v>82</v>
      </c>
      <c r="Q426" s="1" t="s">
        <v>87</v>
      </c>
      <c r="R426" s="1" t="s">
        <v>115</v>
      </c>
      <c r="S426" s="1" t="s">
        <v>82</v>
      </c>
      <c r="T426" s="1" t="s">
        <v>82</v>
      </c>
      <c r="U426" s="1" t="s">
        <v>82</v>
      </c>
      <c r="V426" s="1" t="s">
        <v>82</v>
      </c>
      <c r="W426" s="1" t="s">
        <v>82</v>
      </c>
      <c r="X426" s="1" t="s">
        <v>82</v>
      </c>
      <c r="Y426" s="1" t="s">
        <v>82</v>
      </c>
      <c r="Z426" s="1" t="s">
        <v>8282</v>
      </c>
      <c r="AA426" s="1">
        <v>1</v>
      </c>
      <c r="AB426" s="1" t="s">
        <v>8283</v>
      </c>
      <c r="AC426" s="1" t="s">
        <v>8284</v>
      </c>
      <c r="AD426" s="1" t="s">
        <v>93</v>
      </c>
      <c r="AE426" s="1" t="s">
        <v>8285</v>
      </c>
      <c r="AF426" s="1" t="s">
        <v>8286</v>
      </c>
      <c r="AG426" s="1" t="s">
        <v>7760</v>
      </c>
      <c r="AH426" s="1" t="s">
        <v>82</v>
      </c>
      <c r="AI426" s="1" t="s">
        <v>8287</v>
      </c>
      <c r="AJ426" s="1" t="s">
        <v>8288</v>
      </c>
      <c r="AK426" s="1" t="s">
        <v>8289</v>
      </c>
      <c r="AL426" s="1" t="s">
        <v>8290</v>
      </c>
      <c r="AM426" s="1" t="s">
        <v>82</v>
      </c>
      <c r="AN426" s="1">
        <v>27</v>
      </c>
      <c r="AO426" s="1">
        <v>0</v>
      </c>
      <c r="AP426" s="1">
        <v>0</v>
      </c>
      <c r="AQ426" s="1">
        <v>9</v>
      </c>
      <c r="AR426" s="1">
        <v>21</v>
      </c>
      <c r="AS426" s="1" t="s">
        <v>1480</v>
      </c>
      <c r="AT426" s="1" t="s">
        <v>416</v>
      </c>
      <c r="AU426" s="1" t="s">
        <v>1481</v>
      </c>
      <c r="AV426" s="1" t="s">
        <v>8239</v>
      </c>
      <c r="AW426" s="1" t="s">
        <v>8240</v>
      </c>
      <c r="AX426" s="1" t="s">
        <v>82</v>
      </c>
      <c r="AY426" s="1" t="s">
        <v>8241</v>
      </c>
      <c r="AZ426" s="1" t="s">
        <v>8242</v>
      </c>
      <c r="BA426" s="1" t="s">
        <v>8291</v>
      </c>
      <c r="BB426" s="1">
        <v>2022</v>
      </c>
      <c r="BC426" s="1">
        <v>20</v>
      </c>
      <c r="BD426" s="1">
        <v>6</v>
      </c>
      <c r="BE426" s="1" t="s">
        <v>82</v>
      </c>
      <c r="BF426" s="1" t="s">
        <v>82</v>
      </c>
      <c r="BG426" s="1" t="s">
        <v>82</v>
      </c>
      <c r="BH426" s="1" t="s">
        <v>82</v>
      </c>
      <c r="BI426" s="1">
        <v>1320</v>
      </c>
      <c r="BJ426" s="1">
        <v>1326</v>
      </c>
      <c r="BK426" s="1" t="s">
        <v>82</v>
      </c>
      <c r="BL426" s="1" t="s">
        <v>8292</v>
      </c>
      <c r="BM426" s="1" t="str">
        <f>HYPERLINK("http://dx.doi.org/10.1039/d1ob02417e","http://dx.doi.org/10.1039/d1ob02417e")</f>
        <v>http://dx.doi.org/10.1039/d1ob02417e</v>
      </c>
      <c r="BN426" s="1" t="s">
        <v>82</v>
      </c>
      <c r="BO426" s="1" t="s">
        <v>315</v>
      </c>
      <c r="BP426" s="1">
        <v>7</v>
      </c>
      <c r="BQ426" s="1" t="s">
        <v>4190</v>
      </c>
      <c r="BR426" s="1" t="s">
        <v>745</v>
      </c>
      <c r="BS426" s="1" t="s">
        <v>706</v>
      </c>
      <c r="BT426" s="1" t="s">
        <v>8293</v>
      </c>
      <c r="BU426" s="1">
        <v>35076650</v>
      </c>
      <c r="BV426" s="1" t="s">
        <v>82</v>
      </c>
      <c r="BW426" s="1" t="s">
        <v>82</v>
      </c>
      <c r="BX426" s="1" t="s">
        <v>82</v>
      </c>
      <c r="BY426" s="1" t="s">
        <v>108</v>
      </c>
      <c r="BZ426" s="1" t="s">
        <v>8294</v>
      </c>
      <c r="CA426" s="1" t="str">
        <f>HYPERLINK("https%3A%2F%2Fwww.webofscience.com%2Fwos%2Fwoscc%2Ffull-record%2FWOS:000746658000001","View Full Record in Web of Science")</f>
        <v>View Full Record in Web of Science</v>
      </c>
    </row>
    <row r="427" s="1" customFormat="1" ht="14.4" spans="1:79">
      <c r="A427">
        <v>426</v>
      </c>
      <c r="B427" s="2" t="s">
        <v>79</v>
      </c>
      <c r="C427" s="1" t="s">
        <v>80</v>
      </c>
      <c r="D427" s="1" t="s">
        <v>8295</v>
      </c>
      <c r="E427" s="1" t="s">
        <v>82</v>
      </c>
      <c r="F427" s="1" t="s">
        <v>82</v>
      </c>
      <c r="G427" s="1" t="s">
        <v>82</v>
      </c>
      <c r="H427" s="1" t="s">
        <v>8296</v>
      </c>
      <c r="I427" s="1" t="s">
        <v>82</v>
      </c>
      <c r="J427" s="1" t="s">
        <v>82</v>
      </c>
      <c r="K427" s="1" t="s">
        <v>8297</v>
      </c>
      <c r="L427" s="1" t="s">
        <v>8298</v>
      </c>
      <c r="M427" s="1">
        <v>3.889</v>
      </c>
      <c r="O427" s="1" t="s">
        <v>82</v>
      </c>
      <c r="P427" s="1" t="s">
        <v>82</v>
      </c>
      <c r="Q427" s="1" t="s">
        <v>87</v>
      </c>
      <c r="R427" s="1" t="s">
        <v>200</v>
      </c>
      <c r="S427" s="1" t="s">
        <v>82</v>
      </c>
      <c r="T427" s="1" t="s">
        <v>82</v>
      </c>
      <c r="U427" s="1" t="s">
        <v>82</v>
      </c>
      <c r="V427" s="1" t="s">
        <v>82</v>
      </c>
      <c r="W427" s="1" t="s">
        <v>82</v>
      </c>
      <c r="X427" s="1" t="s">
        <v>8299</v>
      </c>
      <c r="Y427" s="1" t="s">
        <v>8300</v>
      </c>
      <c r="Z427" s="1" t="s">
        <v>8301</v>
      </c>
      <c r="AB427" s="1" t="s">
        <v>8302</v>
      </c>
      <c r="AC427" s="1" t="s">
        <v>8303</v>
      </c>
      <c r="AD427" s="1" t="s">
        <v>120</v>
      </c>
      <c r="AE427" s="1" t="s">
        <v>8304</v>
      </c>
      <c r="AF427" s="1" t="s">
        <v>8305</v>
      </c>
      <c r="AG427" s="1" t="s">
        <v>8306</v>
      </c>
      <c r="AH427" s="1" t="s">
        <v>8307</v>
      </c>
      <c r="AI427" s="1" t="s">
        <v>8308</v>
      </c>
      <c r="AJ427" s="1" t="s">
        <v>8309</v>
      </c>
      <c r="AK427" s="1" t="s">
        <v>8310</v>
      </c>
      <c r="AL427" s="1" t="s">
        <v>8311</v>
      </c>
      <c r="AM427" s="1" t="s">
        <v>82</v>
      </c>
      <c r="AN427" s="1">
        <v>99</v>
      </c>
      <c r="AO427" s="1">
        <v>1</v>
      </c>
      <c r="AP427" s="1">
        <v>1</v>
      </c>
      <c r="AQ427" s="1">
        <v>5</v>
      </c>
      <c r="AR427" s="1">
        <v>5</v>
      </c>
      <c r="AS427" s="1" t="s">
        <v>2117</v>
      </c>
      <c r="AT427" s="1" t="s">
        <v>2118</v>
      </c>
      <c r="AU427" s="1" t="s">
        <v>2119</v>
      </c>
      <c r="AV427" s="1" t="s">
        <v>82</v>
      </c>
      <c r="AW427" s="1" t="s">
        <v>8312</v>
      </c>
      <c r="AX427" s="1" t="s">
        <v>82</v>
      </c>
      <c r="AY427" s="1" t="s">
        <v>8313</v>
      </c>
      <c r="AZ427" s="1" t="s">
        <v>8314</v>
      </c>
      <c r="BA427" s="1" t="s">
        <v>222</v>
      </c>
      <c r="BB427" s="1">
        <v>2022</v>
      </c>
      <c r="BC427" s="1">
        <v>14</v>
      </c>
      <c r="BD427" s="1">
        <v>17</v>
      </c>
      <c r="BE427" s="1" t="s">
        <v>82</v>
      </c>
      <c r="BF427" s="1" t="s">
        <v>82</v>
      </c>
      <c r="BG427" s="1" t="s">
        <v>82</v>
      </c>
      <c r="BH427" s="1" t="s">
        <v>82</v>
      </c>
      <c r="BI427" s="1" t="s">
        <v>82</v>
      </c>
      <c r="BJ427" s="1" t="s">
        <v>82</v>
      </c>
      <c r="BK427" s="1">
        <v>10839</v>
      </c>
      <c r="BL427" s="1" t="s">
        <v>8315</v>
      </c>
      <c r="BM427" s="1" t="str">
        <f>HYPERLINK("http://dx.doi.org/10.3390/su141710839","http://dx.doi.org/10.3390/su141710839")</f>
        <v>http://dx.doi.org/10.3390/su141710839</v>
      </c>
      <c r="BN427" s="1" t="s">
        <v>82</v>
      </c>
      <c r="BO427" s="1" t="s">
        <v>82</v>
      </c>
      <c r="BP427" s="1">
        <v>14</v>
      </c>
      <c r="BQ427" s="1" t="s">
        <v>953</v>
      </c>
      <c r="BR427" s="1" t="s">
        <v>544</v>
      </c>
      <c r="BS427" s="1" t="s">
        <v>954</v>
      </c>
      <c r="BT427" s="1" t="s">
        <v>8316</v>
      </c>
      <c r="BU427" s="1" t="s">
        <v>82</v>
      </c>
      <c r="BV427" s="1" t="s">
        <v>808</v>
      </c>
      <c r="BW427" s="1" t="s">
        <v>82</v>
      </c>
      <c r="BX427" s="1" t="s">
        <v>82</v>
      </c>
      <c r="BY427" s="1" t="s">
        <v>108</v>
      </c>
      <c r="BZ427" s="1" t="s">
        <v>8317</v>
      </c>
      <c r="CA427" s="1" t="str">
        <f>HYPERLINK("https%3A%2F%2Fwww.webofscience.com%2Fwos%2Fwoscc%2Ffull-record%2FWOS:000852003100001","View Full Record in Web of Science")</f>
        <v>View Full Record in Web of Science</v>
      </c>
    </row>
    <row r="428" s="1" customFormat="1" ht="14.4" spans="1:79">
      <c r="A428">
        <v>427</v>
      </c>
      <c r="B428" s="2" t="s">
        <v>110</v>
      </c>
      <c r="C428" s="1" t="s">
        <v>80</v>
      </c>
      <c r="D428" s="1" t="s">
        <v>8318</v>
      </c>
      <c r="E428" s="1" t="s">
        <v>82</v>
      </c>
      <c r="F428" s="1" t="s">
        <v>82</v>
      </c>
      <c r="G428" s="1" t="s">
        <v>82</v>
      </c>
      <c r="H428" s="1" t="s">
        <v>8319</v>
      </c>
      <c r="I428" s="1" t="s">
        <v>82</v>
      </c>
      <c r="J428" s="1" t="s">
        <v>82</v>
      </c>
      <c r="K428" s="1" t="s">
        <v>8320</v>
      </c>
      <c r="L428" s="1" t="s">
        <v>8321</v>
      </c>
      <c r="M428" s="1">
        <v>3.889</v>
      </c>
      <c r="O428" s="1" t="s">
        <v>82</v>
      </c>
      <c r="P428" s="1" t="s">
        <v>82</v>
      </c>
      <c r="Q428" s="1" t="s">
        <v>87</v>
      </c>
      <c r="R428" s="1" t="s">
        <v>115</v>
      </c>
      <c r="S428" s="1" t="s">
        <v>82</v>
      </c>
      <c r="T428" s="1" t="s">
        <v>82</v>
      </c>
      <c r="U428" s="1" t="s">
        <v>82</v>
      </c>
      <c r="V428" s="1" t="s">
        <v>82</v>
      </c>
      <c r="W428" s="1" t="s">
        <v>82</v>
      </c>
      <c r="X428" s="1" t="s">
        <v>8322</v>
      </c>
      <c r="Y428" s="1" t="s">
        <v>8323</v>
      </c>
      <c r="Z428" s="1" t="s">
        <v>8324</v>
      </c>
      <c r="AB428" s="1" t="s">
        <v>8325</v>
      </c>
      <c r="AC428" s="1" t="s">
        <v>8326</v>
      </c>
      <c r="AD428" s="1" t="s">
        <v>206</v>
      </c>
      <c r="AE428" s="1" t="s">
        <v>8327</v>
      </c>
      <c r="AF428" s="1" t="s">
        <v>8328</v>
      </c>
      <c r="AG428" s="1" t="s">
        <v>8329</v>
      </c>
      <c r="AH428" s="1" t="s">
        <v>82</v>
      </c>
      <c r="AI428" s="1" t="s">
        <v>82</v>
      </c>
      <c r="AJ428" s="1" t="s">
        <v>8330</v>
      </c>
      <c r="AK428" s="1" t="s">
        <v>8331</v>
      </c>
      <c r="AL428" s="1" t="s">
        <v>8332</v>
      </c>
      <c r="AM428" s="1" t="s">
        <v>82</v>
      </c>
      <c r="AN428" s="1">
        <v>73</v>
      </c>
      <c r="AO428" s="1">
        <v>1</v>
      </c>
      <c r="AP428" s="1">
        <v>1</v>
      </c>
      <c r="AQ428" s="1">
        <v>11</v>
      </c>
      <c r="AR428" s="1">
        <v>20</v>
      </c>
      <c r="AS428" s="1" t="s">
        <v>8333</v>
      </c>
      <c r="AT428" s="1" t="s">
        <v>8334</v>
      </c>
      <c r="AU428" s="1" t="s">
        <v>8335</v>
      </c>
      <c r="AV428" s="1" t="s">
        <v>8336</v>
      </c>
      <c r="AW428" s="1" t="s">
        <v>8337</v>
      </c>
      <c r="AX428" s="1" t="s">
        <v>82</v>
      </c>
      <c r="AY428" s="1" t="s">
        <v>8338</v>
      </c>
      <c r="AZ428" s="1" t="s">
        <v>8339</v>
      </c>
      <c r="BA428" s="1" t="s">
        <v>8340</v>
      </c>
      <c r="BB428" s="1">
        <v>2022</v>
      </c>
      <c r="BC428" s="1">
        <v>60</v>
      </c>
      <c r="BD428" s="1">
        <v>1</v>
      </c>
      <c r="BE428" s="1" t="s">
        <v>82</v>
      </c>
      <c r="BF428" s="1" t="s">
        <v>82</v>
      </c>
      <c r="BG428" s="1" t="s">
        <v>82</v>
      </c>
      <c r="BH428" s="1" t="s">
        <v>82</v>
      </c>
      <c r="BI428" s="1">
        <v>810</v>
      </c>
      <c r="BJ428" s="1">
        <v>824</v>
      </c>
      <c r="BK428" s="1" t="s">
        <v>82</v>
      </c>
      <c r="BL428" s="1" t="s">
        <v>8341</v>
      </c>
      <c r="BM428" s="1" t="str">
        <f>HYPERLINK("http://dx.doi.org/10.1080/13880209.2022.2056207","http://dx.doi.org/10.1080/13880209.2022.2056207")</f>
        <v>http://dx.doi.org/10.1080/13880209.2022.2056207</v>
      </c>
      <c r="BN428" s="1" t="s">
        <v>82</v>
      </c>
      <c r="BO428" s="1" t="s">
        <v>82</v>
      </c>
      <c r="BP428" s="1">
        <v>15</v>
      </c>
      <c r="BQ428" s="1" t="s">
        <v>8342</v>
      </c>
      <c r="BR428" s="1" t="s">
        <v>104</v>
      </c>
      <c r="BS428" s="1" t="s">
        <v>8342</v>
      </c>
      <c r="BT428" s="1" t="s">
        <v>8343</v>
      </c>
      <c r="BU428" s="1">
        <v>35587996</v>
      </c>
      <c r="BV428" s="1" t="s">
        <v>635</v>
      </c>
      <c r="BW428" s="1" t="s">
        <v>82</v>
      </c>
      <c r="BX428" s="1" t="s">
        <v>82</v>
      </c>
      <c r="BY428" s="1" t="s">
        <v>108</v>
      </c>
      <c r="BZ428" s="1" t="s">
        <v>8344</v>
      </c>
      <c r="CA428" s="1" t="str">
        <f>HYPERLINK("https%3A%2F%2Fwww.webofscience.com%2Fwos%2Fwoscc%2Ffull-record%2FWOS:000797801700001","View Full Record in Web of Science")</f>
        <v>View Full Record in Web of Science</v>
      </c>
    </row>
    <row r="429" s="1" customFormat="1" ht="14.4" spans="1:79">
      <c r="A429">
        <v>428</v>
      </c>
      <c r="B429" s="2" t="s">
        <v>110</v>
      </c>
      <c r="C429" s="1" t="s">
        <v>80</v>
      </c>
      <c r="D429" s="1" t="s">
        <v>8345</v>
      </c>
      <c r="E429" s="1" t="s">
        <v>82</v>
      </c>
      <c r="F429" s="1" t="s">
        <v>82</v>
      </c>
      <c r="G429" s="1" t="s">
        <v>82</v>
      </c>
      <c r="H429" s="1" t="s">
        <v>8346</v>
      </c>
      <c r="I429" s="1" t="s">
        <v>82</v>
      </c>
      <c r="J429" s="1" t="s">
        <v>82</v>
      </c>
      <c r="K429" s="1" t="s">
        <v>8347</v>
      </c>
      <c r="L429" s="1" t="s">
        <v>8321</v>
      </c>
      <c r="M429" s="1">
        <v>3.889</v>
      </c>
      <c r="O429" s="1" t="s">
        <v>82</v>
      </c>
      <c r="P429" s="1" t="s">
        <v>82</v>
      </c>
      <c r="Q429" s="1" t="s">
        <v>87</v>
      </c>
      <c r="R429" s="1" t="s">
        <v>115</v>
      </c>
      <c r="S429" s="1" t="s">
        <v>82</v>
      </c>
      <c r="T429" s="1" t="s">
        <v>82</v>
      </c>
      <c r="U429" s="1" t="s">
        <v>82</v>
      </c>
      <c r="V429" s="1" t="s">
        <v>82</v>
      </c>
      <c r="W429" s="1" t="s">
        <v>82</v>
      </c>
      <c r="X429" s="1" t="s">
        <v>8348</v>
      </c>
      <c r="Y429" s="1" t="s">
        <v>8349</v>
      </c>
      <c r="Z429" s="1" t="s">
        <v>8350</v>
      </c>
      <c r="AB429" s="1" t="s">
        <v>8351</v>
      </c>
      <c r="AC429" s="1" t="s">
        <v>8352</v>
      </c>
      <c r="AD429" s="1" t="s">
        <v>206</v>
      </c>
      <c r="AE429" s="1" t="s">
        <v>1650</v>
      </c>
      <c r="AF429" s="1" t="s">
        <v>8353</v>
      </c>
      <c r="AG429" s="1" t="s">
        <v>8354</v>
      </c>
      <c r="AH429" s="1" t="s">
        <v>82</v>
      </c>
      <c r="AI429" s="1" t="s">
        <v>82</v>
      </c>
      <c r="AJ429" s="1" t="s">
        <v>8355</v>
      </c>
      <c r="AK429" s="1" t="s">
        <v>8356</v>
      </c>
      <c r="AL429" s="1" t="s">
        <v>8357</v>
      </c>
      <c r="AM429" s="1" t="s">
        <v>82</v>
      </c>
      <c r="AN429" s="1">
        <v>72</v>
      </c>
      <c r="AO429" s="1">
        <v>1</v>
      </c>
      <c r="AP429" s="1">
        <v>1</v>
      </c>
      <c r="AQ429" s="1">
        <v>5</v>
      </c>
      <c r="AR429" s="1">
        <v>41</v>
      </c>
      <c r="AS429" s="1" t="s">
        <v>8333</v>
      </c>
      <c r="AT429" s="1" t="s">
        <v>8334</v>
      </c>
      <c r="AU429" s="1" t="s">
        <v>8335</v>
      </c>
      <c r="AV429" s="1" t="s">
        <v>8336</v>
      </c>
      <c r="AW429" s="1" t="s">
        <v>8337</v>
      </c>
      <c r="AX429" s="1" t="s">
        <v>82</v>
      </c>
      <c r="AY429" s="1" t="s">
        <v>8338</v>
      </c>
      <c r="AZ429" s="1" t="s">
        <v>8339</v>
      </c>
      <c r="BA429" s="1" t="s">
        <v>8340</v>
      </c>
      <c r="BB429" s="1">
        <v>2022</v>
      </c>
      <c r="BC429" s="1">
        <v>60</v>
      </c>
      <c r="BD429" s="1">
        <v>1</v>
      </c>
      <c r="BE429" s="1" t="s">
        <v>82</v>
      </c>
      <c r="BF429" s="1" t="s">
        <v>82</v>
      </c>
      <c r="BG429" s="1" t="s">
        <v>82</v>
      </c>
      <c r="BH429" s="1" t="s">
        <v>82</v>
      </c>
      <c r="BI429" s="1">
        <v>163</v>
      </c>
      <c r="BJ429" s="1">
        <v>174</v>
      </c>
      <c r="BK429" s="1" t="s">
        <v>82</v>
      </c>
      <c r="BL429" s="1" t="s">
        <v>8358</v>
      </c>
      <c r="BM429" s="1" t="str">
        <f>HYPERLINK("http://dx.doi.org/10.1080/13880209.2021.2021947","http://dx.doi.org/10.1080/13880209.2021.2021947")</f>
        <v>http://dx.doi.org/10.1080/13880209.2021.2021947</v>
      </c>
      <c r="BN429" s="1" t="s">
        <v>82</v>
      </c>
      <c r="BO429" s="1" t="s">
        <v>82</v>
      </c>
      <c r="BP429" s="1">
        <v>12</v>
      </c>
      <c r="BQ429" s="1" t="s">
        <v>8342</v>
      </c>
      <c r="BR429" s="1" t="s">
        <v>104</v>
      </c>
      <c r="BS429" s="1" t="s">
        <v>8342</v>
      </c>
      <c r="BT429" s="1" t="s">
        <v>8359</v>
      </c>
      <c r="BU429" s="1">
        <v>35001799</v>
      </c>
      <c r="BV429" s="1" t="s">
        <v>635</v>
      </c>
      <c r="BW429" s="1" t="s">
        <v>82</v>
      </c>
      <c r="BX429" s="1" t="s">
        <v>82</v>
      </c>
      <c r="BY429" s="1" t="s">
        <v>108</v>
      </c>
      <c r="BZ429" s="1" t="s">
        <v>8360</v>
      </c>
      <c r="CA429" s="1" t="str">
        <f>HYPERLINK("https%3A%2F%2Fwww.webofscience.com%2Fwos%2Fwoscc%2Ffull-record%2FWOS:000740524000001","View Full Record in Web of Science")</f>
        <v>View Full Record in Web of Science</v>
      </c>
    </row>
    <row r="430" s="1" customFormat="1" ht="14.4" spans="1:79">
      <c r="A430">
        <v>429</v>
      </c>
      <c r="B430" s="2" t="s">
        <v>110</v>
      </c>
      <c r="C430" s="1" t="s">
        <v>80</v>
      </c>
      <c r="D430" s="1" t="s">
        <v>8361</v>
      </c>
      <c r="E430" s="1" t="s">
        <v>82</v>
      </c>
      <c r="F430" s="1" t="s">
        <v>82</v>
      </c>
      <c r="G430" s="1" t="s">
        <v>82</v>
      </c>
      <c r="H430" s="1" t="s">
        <v>8362</v>
      </c>
      <c r="I430" s="1" t="s">
        <v>82</v>
      </c>
      <c r="J430" s="1" t="s">
        <v>82</v>
      </c>
      <c r="K430" s="1" t="s">
        <v>8363</v>
      </c>
      <c r="L430" s="1" t="s">
        <v>8364</v>
      </c>
      <c r="M430" s="1">
        <v>3.887</v>
      </c>
      <c r="O430" s="1" t="s">
        <v>82</v>
      </c>
      <c r="P430" s="1" t="s">
        <v>82</v>
      </c>
      <c r="Q430" s="1" t="s">
        <v>87</v>
      </c>
      <c r="R430" s="1" t="s">
        <v>200</v>
      </c>
      <c r="S430" s="1" t="s">
        <v>82</v>
      </c>
      <c r="T430" s="1" t="s">
        <v>82</v>
      </c>
      <c r="U430" s="1" t="s">
        <v>82</v>
      </c>
      <c r="V430" s="1" t="s">
        <v>82</v>
      </c>
      <c r="W430" s="1" t="s">
        <v>82</v>
      </c>
      <c r="X430" s="1" t="s">
        <v>8365</v>
      </c>
      <c r="Y430" s="1" t="s">
        <v>8366</v>
      </c>
      <c r="Z430" s="1" t="s">
        <v>8367</v>
      </c>
      <c r="AB430" s="1" t="s">
        <v>8368</v>
      </c>
      <c r="AC430" s="1" t="s">
        <v>8369</v>
      </c>
      <c r="AD430" s="1" t="s">
        <v>120</v>
      </c>
      <c r="AE430" s="1" t="s">
        <v>8370</v>
      </c>
      <c r="AF430" s="1" t="s">
        <v>8371</v>
      </c>
      <c r="AG430" s="1" t="s">
        <v>8372</v>
      </c>
      <c r="AH430" s="1" t="s">
        <v>82</v>
      </c>
      <c r="AI430" s="1" t="s">
        <v>82</v>
      </c>
      <c r="AJ430" s="1" t="s">
        <v>8373</v>
      </c>
      <c r="AK430" s="1" t="s">
        <v>8374</v>
      </c>
      <c r="AL430" s="1" t="s">
        <v>8375</v>
      </c>
      <c r="AM430" s="1" t="s">
        <v>82</v>
      </c>
      <c r="AN430" s="1">
        <v>78</v>
      </c>
      <c r="AO430" s="1">
        <v>1</v>
      </c>
      <c r="AP430" s="1">
        <v>1</v>
      </c>
      <c r="AQ430" s="1">
        <v>2</v>
      </c>
      <c r="AR430" s="1">
        <v>11</v>
      </c>
      <c r="AS430" s="1" t="s">
        <v>8376</v>
      </c>
      <c r="AT430" s="1" t="s">
        <v>8377</v>
      </c>
      <c r="AU430" s="1" t="s">
        <v>8378</v>
      </c>
      <c r="AV430" s="1" t="s">
        <v>8379</v>
      </c>
      <c r="AW430" s="1" t="s">
        <v>8380</v>
      </c>
      <c r="AX430" s="1" t="s">
        <v>82</v>
      </c>
      <c r="AY430" s="1" t="s">
        <v>8381</v>
      </c>
      <c r="AZ430" s="1" t="s">
        <v>8382</v>
      </c>
      <c r="BA430" s="1" t="s">
        <v>1826</v>
      </c>
      <c r="BB430" s="1">
        <v>2022</v>
      </c>
      <c r="BC430" s="1">
        <v>20</v>
      </c>
      <c r="BD430" s="1">
        <v>1</v>
      </c>
      <c r="BE430" s="1" t="s">
        <v>82</v>
      </c>
      <c r="BF430" s="1" t="s">
        <v>82</v>
      </c>
      <c r="BG430" s="1" t="s">
        <v>82</v>
      </c>
      <c r="BH430" s="1" t="s">
        <v>82</v>
      </c>
      <c r="BI430" s="1">
        <v>1</v>
      </c>
      <c r="BJ430" s="1">
        <v>8</v>
      </c>
      <c r="BK430" s="1" t="s">
        <v>82</v>
      </c>
      <c r="BL430" s="1" t="s">
        <v>8383</v>
      </c>
      <c r="BM430" s="1" t="str">
        <f>HYPERLINK("http://dx.doi.org/10.1016/S1875-5364(22)60147-X","http://dx.doi.org/10.1016/S1875-5364(22)60147-X")</f>
        <v>http://dx.doi.org/10.1016/S1875-5364(22)60147-X</v>
      </c>
      <c r="BN430" s="1" t="s">
        <v>82</v>
      </c>
      <c r="BO430" s="1" t="s">
        <v>82</v>
      </c>
      <c r="BP430" s="1">
        <v>8</v>
      </c>
      <c r="BQ430" s="1" t="s">
        <v>8384</v>
      </c>
      <c r="BR430" s="1" t="s">
        <v>104</v>
      </c>
      <c r="BS430" s="1" t="s">
        <v>8384</v>
      </c>
      <c r="BT430" s="1" t="s">
        <v>8385</v>
      </c>
      <c r="BU430" s="1">
        <v>35101246</v>
      </c>
      <c r="BV430" s="1" t="s">
        <v>107</v>
      </c>
      <c r="BW430" s="1" t="s">
        <v>82</v>
      </c>
      <c r="BX430" s="1" t="s">
        <v>82</v>
      </c>
      <c r="BY430" s="1" t="s">
        <v>108</v>
      </c>
      <c r="BZ430" s="1" t="s">
        <v>8386</v>
      </c>
      <c r="CA430" s="1" t="str">
        <f>HYPERLINK("https%3A%2F%2Fwww.webofscience.com%2Fwos%2Fwoscc%2Ffull-record%2FWOS:000749846000001","View Full Record in Web of Science")</f>
        <v>View Full Record in Web of Science</v>
      </c>
    </row>
    <row r="431" s="1" customFormat="1" ht="14.4" spans="1:79">
      <c r="A431">
        <v>430</v>
      </c>
      <c r="B431" s="2" t="s">
        <v>79</v>
      </c>
      <c r="C431" s="1" t="s">
        <v>80</v>
      </c>
      <c r="D431" s="1" t="s">
        <v>8387</v>
      </c>
      <c r="E431" s="1" t="s">
        <v>82</v>
      </c>
      <c r="F431" s="1" t="s">
        <v>82</v>
      </c>
      <c r="G431" s="1" t="s">
        <v>82</v>
      </c>
      <c r="H431" s="1" t="s">
        <v>8388</v>
      </c>
      <c r="I431" s="1" t="s">
        <v>82</v>
      </c>
      <c r="J431" s="1" t="s">
        <v>82</v>
      </c>
      <c r="K431" s="1" t="s">
        <v>8389</v>
      </c>
      <c r="L431" s="1" t="s">
        <v>8390</v>
      </c>
      <c r="M431" s="1">
        <v>3.856</v>
      </c>
      <c r="O431" s="1" t="s">
        <v>82</v>
      </c>
      <c r="P431" s="1" t="s">
        <v>82</v>
      </c>
      <c r="Q431" s="1" t="s">
        <v>87</v>
      </c>
      <c r="R431" s="1" t="s">
        <v>115</v>
      </c>
      <c r="S431" s="1" t="s">
        <v>82</v>
      </c>
      <c r="T431" s="1" t="s">
        <v>82</v>
      </c>
      <c r="U431" s="1" t="s">
        <v>82</v>
      </c>
      <c r="V431" s="1" t="s">
        <v>82</v>
      </c>
      <c r="W431" s="1" t="s">
        <v>82</v>
      </c>
      <c r="X431" s="1" t="s">
        <v>8391</v>
      </c>
      <c r="Y431" s="1" t="s">
        <v>8392</v>
      </c>
      <c r="Z431" s="1" t="s">
        <v>8393</v>
      </c>
      <c r="AB431" s="1" t="s">
        <v>8394</v>
      </c>
      <c r="AC431" s="1" t="s">
        <v>8395</v>
      </c>
      <c r="AD431" s="1" t="s">
        <v>206</v>
      </c>
      <c r="AE431" s="1" t="s">
        <v>8396</v>
      </c>
      <c r="AF431" s="1" t="s">
        <v>8397</v>
      </c>
      <c r="AG431" s="1" t="s">
        <v>8398</v>
      </c>
      <c r="AH431" s="1" t="s">
        <v>7398</v>
      </c>
      <c r="AI431" s="1" t="s">
        <v>82</v>
      </c>
      <c r="AJ431" s="1" t="s">
        <v>8399</v>
      </c>
      <c r="AK431" s="1" t="s">
        <v>8400</v>
      </c>
      <c r="AL431" s="1" t="s">
        <v>8401</v>
      </c>
      <c r="AM431" s="1" t="s">
        <v>82</v>
      </c>
      <c r="AN431" s="1">
        <v>53</v>
      </c>
      <c r="AO431" s="1">
        <v>1</v>
      </c>
      <c r="AP431" s="1">
        <v>1</v>
      </c>
      <c r="AQ431" s="1">
        <v>9</v>
      </c>
      <c r="AR431" s="1">
        <v>10</v>
      </c>
      <c r="AS431" s="1" t="s">
        <v>215</v>
      </c>
      <c r="AT431" s="1" t="s">
        <v>216</v>
      </c>
      <c r="AU431" s="1" t="s">
        <v>217</v>
      </c>
      <c r="AV431" s="1" t="s">
        <v>8402</v>
      </c>
      <c r="AW431" s="1" t="s">
        <v>8403</v>
      </c>
      <c r="AX431" s="1" t="s">
        <v>82</v>
      </c>
      <c r="AY431" s="1" t="s">
        <v>8390</v>
      </c>
      <c r="AZ431" s="1" t="s">
        <v>8404</v>
      </c>
      <c r="BA431" s="1" t="s">
        <v>1403</v>
      </c>
      <c r="BB431" s="1">
        <v>2022</v>
      </c>
      <c r="BC431" s="1">
        <v>32</v>
      </c>
      <c r="BD431" s="1" t="s">
        <v>8405</v>
      </c>
      <c r="BE431" s="1" t="s">
        <v>82</v>
      </c>
      <c r="BF431" s="1" t="s">
        <v>82</v>
      </c>
      <c r="BG431" s="1" t="s">
        <v>82</v>
      </c>
      <c r="BH431" s="1" t="s">
        <v>82</v>
      </c>
      <c r="BI431" s="1">
        <v>341</v>
      </c>
      <c r="BJ431" s="1">
        <v>351</v>
      </c>
      <c r="BK431" s="1" t="s">
        <v>82</v>
      </c>
      <c r="BL431" s="1" t="s">
        <v>8406</v>
      </c>
      <c r="BM431" s="1" t="str">
        <f>HYPERLINK("http://dx.doi.org/10.1007/s00572-022-01081-6","http://dx.doi.org/10.1007/s00572-022-01081-6")</f>
        <v>http://dx.doi.org/10.1007/s00572-022-01081-6</v>
      </c>
      <c r="BN431" s="1" t="s">
        <v>82</v>
      </c>
      <c r="BO431" s="1" t="s">
        <v>247</v>
      </c>
      <c r="BP431" s="1">
        <v>11</v>
      </c>
      <c r="BQ431" s="1" t="s">
        <v>8407</v>
      </c>
      <c r="BR431" s="1" t="s">
        <v>104</v>
      </c>
      <c r="BS431" s="1" t="s">
        <v>8407</v>
      </c>
      <c r="BT431" s="1" t="s">
        <v>8408</v>
      </c>
      <c r="BU431" s="1">
        <v>35608677</v>
      </c>
      <c r="BV431" s="1" t="s">
        <v>82</v>
      </c>
      <c r="BW431" s="1" t="s">
        <v>82</v>
      </c>
      <c r="BX431" s="1" t="s">
        <v>82</v>
      </c>
      <c r="BY431" s="1" t="s">
        <v>108</v>
      </c>
      <c r="BZ431" s="1" t="s">
        <v>8409</v>
      </c>
      <c r="CA431" s="1" t="str">
        <f>HYPERLINK("https%3A%2F%2Fwww.webofscience.com%2Fwos%2Fwoscc%2Ffull-record%2FWOS:000801069700001","View Full Record in Web of Science")</f>
        <v>View Full Record in Web of Science</v>
      </c>
    </row>
    <row r="432" s="1" customFormat="1" ht="14.4" spans="1:79">
      <c r="A432">
        <v>431</v>
      </c>
      <c r="B432" s="2" t="s">
        <v>110</v>
      </c>
      <c r="C432" s="1" t="s">
        <v>80</v>
      </c>
      <c r="D432" s="1" t="s">
        <v>8410</v>
      </c>
      <c r="E432" s="1" t="s">
        <v>82</v>
      </c>
      <c r="F432" s="1" t="s">
        <v>82</v>
      </c>
      <c r="G432" s="1" t="s">
        <v>82</v>
      </c>
      <c r="H432" s="1" t="s">
        <v>8411</v>
      </c>
      <c r="I432" s="1" t="s">
        <v>82</v>
      </c>
      <c r="J432" s="1" t="s">
        <v>82</v>
      </c>
      <c r="K432" s="1" t="s">
        <v>8412</v>
      </c>
      <c r="L432" s="1" t="s">
        <v>8413</v>
      </c>
      <c r="M432" s="1">
        <v>3.842</v>
      </c>
      <c r="O432" s="1" t="s">
        <v>82</v>
      </c>
      <c r="P432" s="1" t="s">
        <v>82</v>
      </c>
      <c r="Q432" s="1" t="s">
        <v>87</v>
      </c>
      <c r="R432" s="1" t="s">
        <v>115</v>
      </c>
      <c r="S432" s="1" t="s">
        <v>82</v>
      </c>
      <c r="T432" s="1" t="s">
        <v>82</v>
      </c>
      <c r="U432" s="1" t="s">
        <v>82</v>
      </c>
      <c r="V432" s="1" t="s">
        <v>82</v>
      </c>
      <c r="W432" s="1" t="s">
        <v>82</v>
      </c>
      <c r="X432" s="1" t="s">
        <v>8414</v>
      </c>
      <c r="Y432" s="1" t="s">
        <v>8415</v>
      </c>
      <c r="Z432" s="1" t="s">
        <v>8416</v>
      </c>
      <c r="AB432" s="1" t="s">
        <v>8417</v>
      </c>
      <c r="AC432" s="1" t="s">
        <v>8418</v>
      </c>
      <c r="AD432" s="1" t="s">
        <v>206</v>
      </c>
      <c r="AE432" s="1" t="s">
        <v>8419</v>
      </c>
      <c r="AF432" s="1" t="s">
        <v>8420</v>
      </c>
      <c r="AG432" s="1" t="s">
        <v>8421</v>
      </c>
      <c r="AH432" s="1" t="s">
        <v>82</v>
      </c>
      <c r="AI432" s="1" t="s">
        <v>8422</v>
      </c>
      <c r="AJ432" s="1" t="s">
        <v>8423</v>
      </c>
      <c r="AK432" s="1" t="s">
        <v>8424</v>
      </c>
      <c r="AL432" s="1" t="s">
        <v>8425</v>
      </c>
      <c r="AM432" s="1" t="s">
        <v>82</v>
      </c>
      <c r="AN432" s="1">
        <v>135</v>
      </c>
      <c r="AO432" s="1">
        <v>0</v>
      </c>
      <c r="AP432" s="1">
        <v>0</v>
      </c>
      <c r="AQ432" s="1">
        <v>10</v>
      </c>
      <c r="AR432" s="1">
        <v>18</v>
      </c>
      <c r="AS432" s="1" t="s">
        <v>215</v>
      </c>
      <c r="AT432" s="1" t="s">
        <v>6669</v>
      </c>
      <c r="AU432" s="1" t="s">
        <v>6670</v>
      </c>
      <c r="AV432" s="1" t="s">
        <v>8426</v>
      </c>
      <c r="AW432" s="1" t="s">
        <v>8427</v>
      </c>
      <c r="AX432" s="1" t="s">
        <v>82</v>
      </c>
      <c r="AY432" s="1" t="s">
        <v>8428</v>
      </c>
      <c r="AZ432" s="1" t="s">
        <v>8429</v>
      </c>
      <c r="BA432" s="1" t="s">
        <v>486</v>
      </c>
      <c r="BB432" s="1">
        <v>2022</v>
      </c>
      <c r="BC432" s="1">
        <v>477</v>
      </c>
      <c r="BD432" s="1">
        <v>11</v>
      </c>
      <c r="BE432" s="1" t="s">
        <v>82</v>
      </c>
      <c r="BF432" s="1" t="s">
        <v>82</v>
      </c>
      <c r="BG432" s="1" t="s">
        <v>82</v>
      </c>
      <c r="BH432" s="1" t="s">
        <v>82</v>
      </c>
      <c r="BI432" s="1">
        <v>2539</v>
      </c>
      <c r="BJ432" s="1">
        <v>2552</v>
      </c>
      <c r="BK432" s="1" t="s">
        <v>82</v>
      </c>
      <c r="BL432" s="1" t="s">
        <v>8430</v>
      </c>
      <c r="BM432" s="1" t="str">
        <f>HYPERLINK("http://dx.doi.org/10.1007/s11010-022-04462-9","http://dx.doi.org/10.1007/s11010-022-04462-9")</f>
        <v>http://dx.doi.org/10.1007/s11010-022-04462-9</v>
      </c>
      <c r="BN432" s="1" t="s">
        <v>82</v>
      </c>
      <c r="BO432" s="1" t="s">
        <v>247</v>
      </c>
      <c r="BP432" s="1">
        <v>14</v>
      </c>
      <c r="BQ432" s="1" t="s">
        <v>905</v>
      </c>
      <c r="BR432" s="1" t="s">
        <v>104</v>
      </c>
      <c r="BS432" s="1" t="s">
        <v>905</v>
      </c>
      <c r="BT432" s="1" t="s">
        <v>8431</v>
      </c>
      <c r="BU432" s="1">
        <v>35594000</v>
      </c>
      <c r="BV432" s="1" t="s">
        <v>82</v>
      </c>
      <c r="BW432" s="1" t="s">
        <v>82</v>
      </c>
      <c r="BX432" s="1" t="s">
        <v>82</v>
      </c>
      <c r="BY432" s="1" t="s">
        <v>108</v>
      </c>
      <c r="BZ432" s="1" t="s">
        <v>8432</v>
      </c>
      <c r="CA432" s="1" t="str">
        <f>HYPERLINK("https%3A%2F%2Fwww.webofscience.com%2Fwos%2Fwoscc%2Ffull-record%2FWOS:000799534400001","View Full Record in Web of Science")</f>
        <v>View Full Record in Web of Science</v>
      </c>
    </row>
    <row r="433" s="1" customFormat="1" ht="14.4" spans="1:79">
      <c r="A433">
        <v>432</v>
      </c>
      <c r="B433" s="2" t="s">
        <v>110</v>
      </c>
      <c r="C433" s="1" t="s">
        <v>80</v>
      </c>
      <c r="D433" s="1" t="s">
        <v>8433</v>
      </c>
      <c r="E433" s="1" t="s">
        <v>82</v>
      </c>
      <c r="F433" s="1" t="s">
        <v>82</v>
      </c>
      <c r="G433" s="1" t="s">
        <v>82</v>
      </c>
      <c r="H433" s="1" t="s">
        <v>8434</v>
      </c>
      <c r="I433" s="1" t="s">
        <v>82</v>
      </c>
      <c r="J433" s="1" t="s">
        <v>82</v>
      </c>
      <c r="K433" s="1" t="s">
        <v>8435</v>
      </c>
      <c r="L433" s="1" t="s">
        <v>8436</v>
      </c>
      <c r="M433" s="1">
        <v>3.841</v>
      </c>
      <c r="O433" s="1" t="s">
        <v>82</v>
      </c>
      <c r="P433" s="1" t="s">
        <v>82</v>
      </c>
      <c r="Q433" s="1" t="s">
        <v>87</v>
      </c>
      <c r="R433" s="1" t="s">
        <v>115</v>
      </c>
      <c r="S433" s="1" t="s">
        <v>82</v>
      </c>
      <c r="T433" s="1" t="s">
        <v>82</v>
      </c>
      <c r="U433" s="1" t="s">
        <v>82</v>
      </c>
      <c r="V433" s="1" t="s">
        <v>82</v>
      </c>
      <c r="W433" s="1" t="s">
        <v>82</v>
      </c>
      <c r="X433" s="1" t="s">
        <v>8437</v>
      </c>
      <c r="Y433" s="1" t="s">
        <v>8438</v>
      </c>
      <c r="Z433" s="1" t="s">
        <v>8439</v>
      </c>
      <c r="AA433" s="1">
        <v>1</v>
      </c>
      <c r="AB433" s="1" t="s">
        <v>8440</v>
      </c>
      <c r="AC433" s="1" t="s">
        <v>8441</v>
      </c>
      <c r="AD433" s="1" t="s">
        <v>93</v>
      </c>
      <c r="AE433" s="1" t="s">
        <v>3467</v>
      </c>
      <c r="AF433" s="1" t="s">
        <v>8442</v>
      </c>
      <c r="AG433" s="1" t="s">
        <v>8443</v>
      </c>
      <c r="AH433" s="1" t="s">
        <v>8444</v>
      </c>
      <c r="AI433" s="1" t="s">
        <v>8445</v>
      </c>
      <c r="AJ433" s="1" t="s">
        <v>8446</v>
      </c>
      <c r="AK433" s="1" t="s">
        <v>8447</v>
      </c>
      <c r="AL433" s="1" t="s">
        <v>8448</v>
      </c>
      <c r="AM433" s="1" t="s">
        <v>82</v>
      </c>
      <c r="AN433" s="1">
        <v>28</v>
      </c>
      <c r="AO433" s="1">
        <v>0</v>
      </c>
      <c r="AP433" s="1">
        <v>0</v>
      </c>
      <c r="AQ433" s="1">
        <v>2</v>
      </c>
      <c r="AR433" s="1">
        <v>13</v>
      </c>
      <c r="AS433" s="1" t="s">
        <v>479</v>
      </c>
      <c r="AT433" s="1" t="s">
        <v>480</v>
      </c>
      <c r="AU433" s="1" t="s">
        <v>481</v>
      </c>
      <c r="AV433" s="1" t="s">
        <v>8449</v>
      </c>
      <c r="AW433" s="1" t="s">
        <v>8450</v>
      </c>
      <c r="AX433" s="1" t="s">
        <v>82</v>
      </c>
      <c r="AY433" s="1" t="s">
        <v>8451</v>
      </c>
      <c r="AZ433" s="1" t="s">
        <v>8452</v>
      </c>
      <c r="BA433" s="1" t="s">
        <v>2622</v>
      </c>
      <c r="BB433" s="1">
        <v>2022</v>
      </c>
      <c r="BC433" s="1">
        <v>1252</v>
      </c>
      <c r="BD433" s="1" t="s">
        <v>82</v>
      </c>
      <c r="BE433" s="1" t="s">
        <v>82</v>
      </c>
      <c r="BF433" s="1" t="s">
        <v>82</v>
      </c>
      <c r="BG433" s="1" t="s">
        <v>82</v>
      </c>
      <c r="BH433" s="1" t="s">
        <v>82</v>
      </c>
      <c r="BI433" s="1" t="s">
        <v>82</v>
      </c>
      <c r="BJ433" s="1" t="s">
        <v>82</v>
      </c>
      <c r="BK433" s="1">
        <v>132096</v>
      </c>
      <c r="BL433" s="1" t="s">
        <v>8453</v>
      </c>
      <c r="BM433" s="1" t="str">
        <f>HYPERLINK("http://dx.doi.org/10.1016/j.molstruc.2021.132096","http://dx.doi.org/10.1016/j.molstruc.2021.132096")</f>
        <v>http://dx.doi.org/10.1016/j.molstruc.2021.132096</v>
      </c>
      <c r="BN433" s="1" t="s">
        <v>82</v>
      </c>
      <c r="BO433" s="1" t="s">
        <v>1462</v>
      </c>
      <c r="BP433" s="1">
        <v>8</v>
      </c>
      <c r="BQ433" s="1" t="s">
        <v>8454</v>
      </c>
      <c r="BR433" s="1" t="s">
        <v>104</v>
      </c>
      <c r="BS433" s="1" t="s">
        <v>706</v>
      </c>
      <c r="BT433" s="1" t="s">
        <v>8455</v>
      </c>
      <c r="BU433" s="1" t="s">
        <v>82</v>
      </c>
      <c r="BV433" s="1" t="s">
        <v>82</v>
      </c>
      <c r="BW433" s="1" t="s">
        <v>82</v>
      </c>
      <c r="BX433" s="1" t="s">
        <v>82</v>
      </c>
      <c r="BY433" s="1" t="s">
        <v>108</v>
      </c>
      <c r="BZ433" s="1" t="s">
        <v>8456</v>
      </c>
      <c r="CA433" s="1" t="str">
        <f>HYPERLINK("https%3A%2F%2Fwww.webofscience.com%2Fwos%2Fwoscc%2Ffull-record%2FWOS:000744754700007","View Full Record in Web of Science")</f>
        <v>View Full Record in Web of Science</v>
      </c>
    </row>
    <row r="434" s="1" customFormat="1" ht="14.4" spans="1:79">
      <c r="A434">
        <v>433</v>
      </c>
      <c r="B434" s="2" t="s">
        <v>79</v>
      </c>
      <c r="C434" s="1" t="s">
        <v>80</v>
      </c>
      <c r="D434" s="1" t="s">
        <v>8457</v>
      </c>
      <c r="E434" s="1" t="s">
        <v>82</v>
      </c>
      <c r="F434" s="1" t="s">
        <v>82</v>
      </c>
      <c r="G434" s="1" t="s">
        <v>82</v>
      </c>
      <c r="H434" s="1" t="s">
        <v>8458</v>
      </c>
      <c r="I434" s="1" t="s">
        <v>82</v>
      </c>
      <c r="J434" s="1" t="s">
        <v>82</v>
      </c>
      <c r="K434" s="1" t="s">
        <v>8459</v>
      </c>
      <c r="L434" s="1" t="s">
        <v>8460</v>
      </c>
      <c r="M434" s="1">
        <v>3.812</v>
      </c>
      <c r="O434" s="1" t="s">
        <v>82</v>
      </c>
      <c r="P434" s="1" t="s">
        <v>82</v>
      </c>
      <c r="Q434" s="1" t="s">
        <v>87</v>
      </c>
      <c r="R434" s="1" t="s">
        <v>200</v>
      </c>
      <c r="S434" s="1" t="s">
        <v>82</v>
      </c>
      <c r="T434" s="1" t="s">
        <v>82</v>
      </c>
      <c r="U434" s="1" t="s">
        <v>82</v>
      </c>
      <c r="V434" s="1" t="s">
        <v>82</v>
      </c>
      <c r="W434" s="1" t="s">
        <v>82</v>
      </c>
      <c r="X434" s="1" t="s">
        <v>8461</v>
      </c>
      <c r="Y434" s="1" t="s">
        <v>8462</v>
      </c>
      <c r="Z434" s="1" t="s">
        <v>8463</v>
      </c>
      <c r="AB434" s="1" t="s">
        <v>8464</v>
      </c>
      <c r="AC434" s="1" t="s">
        <v>8465</v>
      </c>
      <c r="AD434" s="1" t="s">
        <v>120</v>
      </c>
      <c r="AE434" s="1" t="s">
        <v>8466</v>
      </c>
      <c r="AF434" s="1" t="s">
        <v>8467</v>
      </c>
      <c r="AG434" s="1" t="s">
        <v>8468</v>
      </c>
      <c r="AH434" s="1" t="s">
        <v>8469</v>
      </c>
      <c r="AI434" s="1" t="s">
        <v>8470</v>
      </c>
      <c r="AJ434" s="1" t="s">
        <v>8471</v>
      </c>
      <c r="AK434" s="1" t="s">
        <v>8471</v>
      </c>
      <c r="AL434" s="1" t="s">
        <v>8472</v>
      </c>
      <c r="AM434" s="1" t="s">
        <v>82</v>
      </c>
      <c r="AN434" s="1">
        <v>114</v>
      </c>
      <c r="AO434" s="1">
        <v>0</v>
      </c>
      <c r="AP434" s="1">
        <v>0</v>
      </c>
      <c r="AQ434" s="1">
        <v>9</v>
      </c>
      <c r="AR434" s="1">
        <v>9</v>
      </c>
      <c r="AS434" s="1" t="s">
        <v>8473</v>
      </c>
      <c r="AT434" s="1" t="s">
        <v>371</v>
      </c>
      <c r="AU434" s="1" t="s">
        <v>8474</v>
      </c>
      <c r="AV434" s="1" t="s">
        <v>8475</v>
      </c>
      <c r="AW434" s="1" t="s">
        <v>8476</v>
      </c>
      <c r="AX434" s="1" t="s">
        <v>82</v>
      </c>
      <c r="AY434" s="1" t="s">
        <v>8477</v>
      </c>
      <c r="AZ434" s="1" t="s">
        <v>8478</v>
      </c>
      <c r="BA434" s="1" t="s">
        <v>1036</v>
      </c>
      <c r="BB434" s="1">
        <v>2022</v>
      </c>
      <c r="BC434" s="1">
        <v>18</v>
      </c>
      <c r="BD434" s="1">
        <v>10</v>
      </c>
      <c r="BE434" s="1" t="s">
        <v>82</v>
      </c>
      <c r="BF434" s="1" t="s">
        <v>82</v>
      </c>
      <c r="BG434" s="1" t="s">
        <v>82</v>
      </c>
      <c r="BH434" s="1" t="s">
        <v>82</v>
      </c>
      <c r="BI434" s="1" t="s">
        <v>82</v>
      </c>
      <c r="BJ434" s="1" t="s">
        <v>82</v>
      </c>
      <c r="BK434" s="1">
        <v>20220220</v>
      </c>
      <c r="BL434" s="1" t="s">
        <v>8479</v>
      </c>
      <c r="BM434" s="1" t="str">
        <f>HYPERLINK("http://dx.doi.org/10.1098/rsbl.2022.0220","http://dx.doi.org/10.1098/rsbl.2022.0220")</f>
        <v>http://dx.doi.org/10.1098/rsbl.2022.0220</v>
      </c>
      <c r="BN434" s="1" t="s">
        <v>82</v>
      </c>
      <c r="BO434" s="1" t="s">
        <v>82</v>
      </c>
      <c r="BP434" s="1">
        <v>10</v>
      </c>
      <c r="BQ434" s="1" t="s">
        <v>8480</v>
      </c>
      <c r="BR434" s="1" t="s">
        <v>104</v>
      </c>
      <c r="BS434" s="1" t="s">
        <v>8481</v>
      </c>
      <c r="BT434" s="1" t="s">
        <v>8482</v>
      </c>
      <c r="BU434" s="1">
        <v>36259169</v>
      </c>
      <c r="BV434" s="1" t="s">
        <v>227</v>
      </c>
      <c r="BW434" s="1" t="s">
        <v>82</v>
      </c>
      <c r="BX434" s="1" t="s">
        <v>82</v>
      </c>
      <c r="BY434" s="1" t="s">
        <v>108</v>
      </c>
      <c r="BZ434" s="1" t="s">
        <v>8483</v>
      </c>
      <c r="CA434" s="1" t="str">
        <f>HYPERLINK("https%3A%2F%2Fwww.webofscience.com%2Fwos%2Fwoscc%2Ffull-record%2FWOS:000872390700002","View Full Record in Web of Science")</f>
        <v>View Full Record in Web of Science</v>
      </c>
    </row>
    <row r="435" s="1" customFormat="1" ht="14.4" spans="1:79">
      <c r="A435">
        <v>434</v>
      </c>
      <c r="B435" s="2" t="s">
        <v>79</v>
      </c>
      <c r="C435" s="1" t="s">
        <v>80</v>
      </c>
      <c r="D435" s="1" t="s">
        <v>8484</v>
      </c>
      <c r="E435" s="1" t="s">
        <v>82</v>
      </c>
      <c r="F435" s="1" t="s">
        <v>82</v>
      </c>
      <c r="G435" s="1" t="s">
        <v>82</v>
      </c>
      <c r="H435" s="1" t="s">
        <v>8485</v>
      </c>
      <c r="I435" s="1" t="s">
        <v>82</v>
      </c>
      <c r="J435" s="1" t="s">
        <v>82</v>
      </c>
      <c r="K435" s="1" t="s">
        <v>8486</v>
      </c>
      <c r="L435" s="1" t="s">
        <v>8487</v>
      </c>
      <c r="M435" s="1">
        <v>3.776</v>
      </c>
      <c r="O435" s="1" t="s">
        <v>82</v>
      </c>
      <c r="P435" s="1" t="s">
        <v>82</v>
      </c>
      <c r="Q435" s="1" t="s">
        <v>87</v>
      </c>
      <c r="R435" s="1" t="s">
        <v>115</v>
      </c>
      <c r="S435" s="1" t="s">
        <v>82</v>
      </c>
      <c r="T435" s="1" t="s">
        <v>82</v>
      </c>
      <c r="U435" s="1" t="s">
        <v>82</v>
      </c>
      <c r="V435" s="1" t="s">
        <v>82</v>
      </c>
      <c r="W435" s="1" t="s">
        <v>82</v>
      </c>
      <c r="X435" s="1" t="s">
        <v>8488</v>
      </c>
      <c r="Y435" s="1" t="s">
        <v>8489</v>
      </c>
      <c r="Z435" s="1" t="s">
        <v>8490</v>
      </c>
      <c r="AB435" s="1" t="s">
        <v>8491</v>
      </c>
      <c r="AC435" s="1" t="s">
        <v>8492</v>
      </c>
      <c r="AD435" s="1" t="s">
        <v>206</v>
      </c>
      <c r="AE435" s="1" t="s">
        <v>8493</v>
      </c>
      <c r="AF435" s="1" t="s">
        <v>8494</v>
      </c>
      <c r="AG435" s="1" t="s">
        <v>8495</v>
      </c>
      <c r="AH435" s="1" t="s">
        <v>82</v>
      </c>
      <c r="AI435" s="1" t="s">
        <v>1503</v>
      </c>
      <c r="AJ435" s="1" t="s">
        <v>82</v>
      </c>
      <c r="AK435" s="1" t="s">
        <v>82</v>
      </c>
      <c r="AL435" s="1" t="s">
        <v>82</v>
      </c>
      <c r="AM435" s="1" t="s">
        <v>82</v>
      </c>
      <c r="AN435" s="1">
        <v>48</v>
      </c>
      <c r="AO435" s="1">
        <v>0</v>
      </c>
      <c r="AP435" s="1">
        <v>0</v>
      </c>
      <c r="AQ435" s="1">
        <v>4</v>
      </c>
      <c r="AR435" s="1">
        <v>4</v>
      </c>
      <c r="AS435" s="1" t="s">
        <v>508</v>
      </c>
      <c r="AT435" s="1" t="s">
        <v>329</v>
      </c>
      <c r="AU435" s="1" t="s">
        <v>509</v>
      </c>
      <c r="AV435" s="1" t="s">
        <v>82</v>
      </c>
      <c r="AW435" s="1" t="s">
        <v>8496</v>
      </c>
      <c r="AX435" s="1" t="s">
        <v>82</v>
      </c>
      <c r="AY435" s="1" t="s">
        <v>8487</v>
      </c>
      <c r="AZ435" s="1" t="s">
        <v>8497</v>
      </c>
      <c r="BA435" s="1" t="s">
        <v>2521</v>
      </c>
      <c r="BB435" s="1">
        <v>2022</v>
      </c>
      <c r="BC435" s="1">
        <v>8</v>
      </c>
      <c r="BD435" s="1">
        <v>8</v>
      </c>
      <c r="BE435" s="1" t="s">
        <v>82</v>
      </c>
      <c r="BF435" s="1" t="s">
        <v>82</v>
      </c>
      <c r="BG435" s="1" t="s">
        <v>82</v>
      </c>
      <c r="BH435" s="1" t="s">
        <v>82</v>
      </c>
      <c r="BI435" s="1" t="s">
        <v>82</v>
      </c>
      <c r="BJ435" s="1" t="s">
        <v>82</v>
      </c>
      <c r="BK435" s="1" t="s">
        <v>8498</v>
      </c>
      <c r="BL435" s="1" t="s">
        <v>8499</v>
      </c>
      <c r="BM435" s="1" t="str">
        <f>HYPERLINK("http://dx.doi.org/10.1016/j.heliyon.2022.e10314","http://dx.doi.org/10.1016/j.heliyon.2022.e10314")</f>
        <v>http://dx.doi.org/10.1016/j.heliyon.2022.e10314</v>
      </c>
      <c r="BN435" s="1" t="s">
        <v>82</v>
      </c>
      <c r="BO435" s="1" t="s">
        <v>424</v>
      </c>
      <c r="BP435" s="1">
        <v>12</v>
      </c>
      <c r="BQ435" s="1" t="s">
        <v>103</v>
      </c>
      <c r="BR435" s="1" t="s">
        <v>104</v>
      </c>
      <c r="BS435" s="1" t="s">
        <v>105</v>
      </c>
      <c r="BT435" s="1" t="s">
        <v>8500</v>
      </c>
      <c r="BU435" s="1">
        <v>36082330</v>
      </c>
      <c r="BV435" s="1" t="s">
        <v>592</v>
      </c>
      <c r="BW435" s="1" t="s">
        <v>82</v>
      </c>
      <c r="BX435" s="1" t="s">
        <v>82</v>
      </c>
      <c r="BY435" s="1" t="s">
        <v>108</v>
      </c>
      <c r="BZ435" s="1" t="s">
        <v>8501</v>
      </c>
      <c r="CA435" s="1" t="str">
        <f>HYPERLINK("https%3A%2F%2Fwww.webofscience.com%2Fwos%2Fwoscc%2Ffull-record%2FWOS:000863048300019","View Full Record in Web of Science")</f>
        <v>View Full Record in Web of Science</v>
      </c>
    </row>
    <row r="436" s="1" customFormat="1" ht="14.4" spans="1:79">
      <c r="A436">
        <v>435</v>
      </c>
      <c r="B436" s="2" t="s">
        <v>79</v>
      </c>
      <c r="C436" s="1" t="s">
        <v>80</v>
      </c>
      <c r="D436" s="1" t="s">
        <v>8502</v>
      </c>
      <c r="E436" s="1" t="s">
        <v>82</v>
      </c>
      <c r="F436" s="1" t="s">
        <v>82</v>
      </c>
      <c r="G436" s="1" t="s">
        <v>82</v>
      </c>
      <c r="H436" s="1" t="s">
        <v>8503</v>
      </c>
      <c r="I436" s="1" t="s">
        <v>82</v>
      </c>
      <c r="J436" s="1" t="s">
        <v>82</v>
      </c>
      <c r="K436" s="1" t="s">
        <v>8504</v>
      </c>
      <c r="L436" s="1" t="s">
        <v>8505</v>
      </c>
      <c r="M436" s="1">
        <v>3.544</v>
      </c>
      <c r="O436" s="1" t="s">
        <v>82</v>
      </c>
      <c r="P436" s="1" t="s">
        <v>82</v>
      </c>
      <c r="Q436" s="1" t="s">
        <v>87</v>
      </c>
      <c r="R436" s="1" t="s">
        <v>1624</v>
      </c>
      <c r="S436" s="1" t="s">
        <v>82</v>
      </c>
      <c r="T436" s="1" t="s">
        <v>82</v>
      </c>
      <c r="U436" s="1" t="s">
        <v>82</v>
      </c>
      <c r="V436" s="1" t="s">
        <v>82</v>
      </c>
      <c r="W436" s="1" t="s">
        <v>82</v>
      </c>
      <c r="X436" s="1" t="s">
        <v>8506</v>
      </c>
      <c r="Y436" s="1" t="s">
        <v>8507</v>
      </c>
      <c r="Z436" s="1" t="s">
        <v>8508</v>
      </c>
      <c r="AB436" s="1" t="s">
        <v>8509</v>
      </c>
      <c r="AC436" s="1" t="s">
        <v>8510</v>
      </c>
      <c r="AD436" s="1" t="s">
        <v>120</v>
      </c>
      <c r="AE436" s="1" t="s">
        <v>8511</v>
      </c>
      <c r="AF436" s="1" t="s">
        <v>8512</v>
      </c>
      <c r="AG436" s="1" t="s">
        <v>3186</v>
      </c>
      <c r="AH436" s="1" t="s">
        <v>8513</v>
      </c>
      <c r="AI436" s="1" t="s">
        <v>8514</v>
      </c>
      <c r="AJ436" s="1" t="s">
        <v>8515</v>
      </c>
      <c r="AK436" s="1" t="s">
        <v>8516</v>
      </c>
      <c r="AL436" s="1" t="s">
        <v>8517</v>
      </c>
      <c r="AM436" s="1" t="s">
        <v>82</v>
      </c>
      <c r="AN436" s="1">
        <v>92</v>
      </c>
      <c r="AO436" s="1">
        <v>0</v>
      </c>
      <c r="AP436" s="1">
        <v>0</v>
      </c>
      <c r="AQ436" s="1">
        <v>4</v>
      </c>
      <c r="AR436" s="1">
        <v>4</v>
      </c>
      <c r="AS436" s="1" t="s">
        <v>1002</v>
      </c>
      <c r="AT436" s="1" t="s">
        <v>1003</v>
      </c>
      <c r="AU436" s="1" t="s">
        <v>1004</v>
      </c>
      <c r="AV436" s="1" t="s">
        <v>8518</v>
      </c>
      <c r="AW436" s="1" t="s">
        <v>8519</v>
      </c>
      <c r="AX436" s="1" t="s">
        <v>82</v>
      </c>
      <c r="AY436" s="1" t="s">
        <v>8520</v>
      </c>
      <c r="AZ436" s="1" t="s">
        <v>8521</v>
      </c>
      <c r="BA436" s="1" t="s">
        <v>82</v>
      </c>
      <c r="BB436" s="1" t="s">
        <v>82</v>
      </c>
      <c r="BC436" s="1" t="s">
        <v>82</v>
      </c>
      <c r="BD436" s="1" t="s">
        <v>82</v>
      </c>
      <c r="BE436" s="1" t="s">
        <v>82</v>
      </c>
      <c r="BF436" s="1" t="s">
        <v>82</v>
      </c>
      <c r="BG436" s="1" t="s">
        <v>82</v>
      </c>
      <c r="BH436" s="1" t="s">
        <v>82</v>
      </c>
      <c r="BI436" s="1" t="s">
        <v>82</v>
      </c>
      <c r="BJ436" s="1" t="s">
        <v>82</v>
      </c>
      <c r="BK436" s="1" t="s">
        <v>82</v>
      </c>
      <c r="BL436" s="1" t="s">
        <v>8522</v>
      </c>
      <c r="BM436" s="1" t="str">
        <f>HYPERLINK("http://dx.doi.org/10.1111/jse.12920","http://dx.doi.org/10.1111/jse.12920")</f>
        <v>http://dx.doi.org/10.1111/jse.12920</v>
      </c>
      <c r="BN436" s="1" t="s">
        <v>82</v>
      </c>
      <c r="BO436" s="1" t="s">
        <v>1618</v>
      </c>
      <c r="BP436" s="1">
        <v>21</v>
      </c>
      <c r="BQ436" s="1" t="s">
        <v>378</v>
      </c>
      <c r="BR436" s="1" t="s">
        <v>104</v>
      </c>
      <c r="BS436" s="1" t="s">
        <v>378</v>
      </c>
      <c r="BT436" s="1" t="s">
        <v>8523</v>
      </c>
      <c r="BU436" s="1" t="s">
        <v>82</v>
      </c>
      <c r="BV436" s="1" t="s">
        <v>82</v>
      </c>
      <c r="BW436" s="1" t="s">
        <v>82</v>
      </c>
      <c r="BX436" s="1" t="s">
        <v>82</v>
      </c>
      <c r="BY436" s="1" t="s">
        <v>108</v>
      </c>
      <c r="BZ436" s="1" t="s">
        <v>8524</v>
      </c>
      <c r="CA436" s="1" t="str">
        <f>HYPERLINK("https%3A%2F%2Fwww.webofscience.com%2Fwos%2Fwoscc%2Ffull-record%2FWOS:000899691400001","View Full Record in Web of Science")</f>
        <v>View Full Record in Web of Science</v>
      </c>
    </row>
    <row r="437" s="1" customFormat="1" ht="14.4" spans="1:79">
      <c r="A437">
        <v>436</v>
      </c>
      <c r="B437" s="2" t="s">
        <v>79</v>
      </c>
      <c r="C437" s="1" t="s">
        <v>80</v>
      </c>
      <c r="D437" s="1" t="s">
        <v>8525</v>
      </c>
      <c r="E437" s="1" t="s">
        <v>82</v>
      </c>
      <c r="F437" s="1" t="s">
        <v>82</v>
      </c>
      <c r="G437" s="1" t="s">
        <v>82</v>
      </c>
      <c r="H437" s="1" t="s">
        <v>8526</v>
      </c>
      <c r="I437" s="1" t="s">
        <v>82</v>
      </c>
      <c r="J437" s="1" t="s">
        <v>82</v>
      </c>
      <c r="K437" s="1" t="s">
        <v>8527</v>
      </c>
      <c r="L437" s="1" t="s">
        <v>8505</v>
      </c>
      <c r="M437" s="1">
        <v>3.544</v>
      </c>
      <c r="O437" s="1" t="s">
        <v>82</v>
      </c>
      <c r="P437" s="1" t="s">
        <v>82</v>
      </c>
      <c r="Q437" s="1" t="s">
        <v>87</v>
      </c>
      <c r="R437" s="1" t="s">
        <v>1624</v>
      </c>
      <c r="S437" s="1" t="s">
        <v>82</v>
      </c>
      <c r="T437" s="1" t="s">
        <v>82</v>
      </c>
      <c r="U437" s="1" t="s">
        <v>82</v>
      </c>
      <c r="V437" s="1" t="s">
        <v>82</v>
      </c>
      <c r="W437" s="1" t="s">
        <v>82</v>
      </c>
      <c r="X437" s="1" t="s">
        <v>8528</v>
      </c>
      <c r="Y437" s="1" t="s">
        <v>8529</v>
      </c>
      <c r="Z437" s="1" t="s">
        <v>8530</v>
      </c>
      <c r="AB437" s="1" t="s">
        <v>8531</v>
      </c>
      <c r="AC437" s="1" t="s">
        <v>8532</v>
      </c>
      <c r="AD437" s="1" t="s">
        <v>120</v>
      </c>
      <c r="AE437" s="1" t="s">
        <v>8533</v>
      </c>
      <c r="AF437" s="1" t="s">
        <v>8534</v>
      </c>
      <c r="AG437" s="1" t="s">
        <v>8535</v>
      </c>
      <c r="AH437" s="1" t="s">
        <v>82</v>
      </c>
      <c r="AI437" s="1" t="s">
        <v>8536</v>
      </c>
      <c r="AJ437" s="1" t="s">
        <v>8537</v>
      </c>
      <c r="AK437" s="1" t="s">
        <v>8538</v>
      </c>
      <c r="AL437" s="1" t="s">
        <v>8539</v>
      </c>
      <c r="AM437" s="1" t="s">
        <v>82</v>
      </c>
      <c r="AN437" s="1">
        <v>56</v>
      </c>
      <c r="AO437" s="1">
        <v>0</v>
      </c>
      <c r="AP437" s="1">
        <v>0</v>
      </c>
      <c r="AQ437" s="1">
        <v>8</v>
      </c>
      <c r="AR437" s="1">
        <v>8</v>
      </c>
      <c r="AS437" s="1" t="s">
        <v>1002</v>
      </c>
      <c r="AT437" s="1" t="s">
        <v>1003</v>
      </c>
      <c r="AU437" s="1" t="s">
        <v>1004</v>
      </c>
      <c r="AV437" s="1" t="s">
        <v>8518</v>
      </c>
      <c r="AW437" s="1" t="s">
        <v>8519</v>
      </c>
      <c r="AX437" s="1" t="s">
        <v>82</v>
      </c>
      <c r="AY437" s="1" t="s">
        <v>8520</v>
      </c>
      <c r="AZ437" s="1" t="s">
        <v>8521</v>
      </c>
      <c r="BA437" s="1" t="s">
        <v>82</v>
      </c>
      <c r="BB437" s="1" t="s">
        <v>82</v>
      </c>
      <c r="BC437" s="1" t="s">
        <v>82</v>
      </c>
      <c r="BD437" s="1" t="s">
        <v>82</v>
      </c>
      <c r="BE437" s="1" t="s">
        <v>82</v>
      </c>
      <c r="BF437" s="1" t="s">
        <v>82</v>
      </c>
      <c r="BG437" s="1" t="s">
        <v>82</v>
      </c>
      <c r="BH437" s="1" t="s">
        <v>82</v>
      </c>
      <c r="BI437" s="1" t="s">
        <v>82</v>
      </c>
      <c r="BJ437" s="1" t="s">
        <v>82</v>
      </c>
      <c r="BK437" s="1" t="s">
        <v>82</v>
      </c>
      <c r="BL437" s="1" t="s">
        <v>8540</v>
      </c>
      <c r="BM437" s="1" t="str">
        <f>HYPERLINK("http://dx.doi.org/10.1111/jse.12898","http://dx.doi.org/10.1111/jse.12898")</f>
        <v>http://dx.doi.org/10.1111/jse.12898</v>
      </c>
      <c r="BN437" s="1" t="s">
        <v>82</v>
      </c>
      <c r="BO437" s="1" t="s">
        <v>224</v>
      </c>
      <c r="BP437" s="1">
        <v>14</v>
      </c>
      <c r="BQ437" s="1" t="s">
        <v>378</v>
      </c>
      <c r="BR437" s="1" t="s">
        <v>104</v>
      </c>
      <c r="BS437" s="1" t="s">
        <v>378</v>
      </c>
      <c r="BT437" s="1" t="s">
        <v>8541</v>
      </c>
      <c r="BU437" s="1" t="s">
        <v>82</v>
      </c>
      <c r="BV437" s="1" t="s">
        <v>268</v>
      </c>
      <c r="BW437" s="1" t="s">
        <v>82</v>
      </c>
      <c r="BX437" s="1" t="s">
        <v>82</v>
      </c>
      <c r="BY437" s="1" t="s">
        <v>108</v>
      </c>
      <c r="BZ437" s="1" t="s">
        <v>8542</v>
      </c>
      <c r="CA437" s="1" t="str">
        <f>HYPERLINK("https%3A%2F%2Fwww.webofscience.com%2Fwos%2Fwoscc%2Ffull-record%2FWOS:000855968700001","View Full Record in Web of Science")</f>
        <v>View Full Record in Web of Science</v>
      </c>
    </row>
    <row r="438" s="1" customFormat="1" ht="14.4" spans="1:79">
      <c r="A438">
        <v>437</v>
      </c>
      <c r="B438" s="2" t="s">
        <v>79</v>
      </c>
      <c r="C438" s="1" t="s">
        <v>80</v>
      </c>
      <c r="D438" s="1" t="s">
        <v>8543</v>
      </c>
      <c r="E438" s="1" t="s">
        <v>82</v>
      </c>
      <c r="F438" s="1" t="s">
        <v>82</v>
      </c>
      <c r="G438" s="1" t="s">
        <v>82</v>
      </c>
      <c r="H438" s="1" t="s">
        <v>8544</v>
      </c>
      <c r="I438" s="1" t="s">
        <v>82</v>
      </c>
      <c r="J438" s="1" t="s">
        <v>82</v>
      </c>
      <c r="K438" s="1" t="s">
        <v>8545</v>
      </c>
      <c r="L438" s="1" t="s">
        <v>8505</v>
      </c>
      <c r="M438" s="1">
        <v>3.544</v>
      </c>
      <c r="O438" s="1" t="s">
        <v>82</v>
      </c>
      <c r="P438" s="1" t="s">
        <v>82</v>
      </c>
      <c r="Q438" s="1" t="s">
        <v>87</v>
      </c>
      <c r="R438" s="1" t="s">
        <v>115</v>
      </c>
      <c r="S438" s="1" t="s">
        <v>82</v>
      </c>
      <c r="T438" s="1" t="s">
        <v>82</v>
      </c>
      <c r="U438" s="1" t="s">
        <v>82</v>
      </c>
      <c r="V438" s="1" t="s">
        <v>82</v>
      </c>
      <c r="W438" s="1" t="s">
        <v>82</v>
      </c>
      <c r="X438" s="1" t="s">
        <v>8546</v>
      </c>
      <c r="Y438" s="1" t="s">
        <v>8547</v>
      </c>
      <c r="Z438" s="1" t="s">
        <v>8548</v>
      </c>
      <c r="AB438" s="1" t="s">
        <v>8549</v>
      </c>
      <c r="AC438" s="1" t="s">
        <v>8550</v>
      </c>
      <c r="AD438" s="1" t="s">
        <v>120</v>
      </c>
      <c r="AE438" s="1" t="s">
        <v>8551</v>
      </c>
      <c r="AF438" s="1" t="s">
        <v>8552</v>
      </c>
      <c r="AG438" s="1" t="s">
        <v>8553</v>
      </c>
      <c r="AH438" s="1" t="s">
        <v>8554</v>
      </c>
      <c r="AI438" s="1" t="s">
        <v>8555</v>
      </c>
      <c r="AJ438" s="1" t="s">
        <v>8556</v>
      </c>
      <c r="AK438" s="1" t="s">
        <v>8557</v>
      </c>
      <c r="AL438" s="1" t="s">
        <v>8558</v>
      </c>
      <c r="AM438" s="1" t="s">
        <v>82</v>
      </c>
      <c r="AN438" s="1">
        <v>78</v>
      </c>
      <c r="AO438" s="1">
        <v>0</v>
      </c>
      <c r="AP438" s="1">
        <v>0</v>
      </c>
      <c r="AQ438" s="1">
        <v>9</v>
      </c>
      <c r="AR438" s="1">
        <v>9</v>
      </c>
      <c r="AS438" s="1" t="s">
        <v>1002</v>
      </c>
      <c r="AT438" s="1" t="s">
        <v>1003</v>
      </c>
      <c r="AU438" s="1" t="s">
        <v>1004</v>
      </c>
      <c r="AV438" s="1" t="s">
        <v>8518</v>
      </c>
      <c r="AW438" s="1" t="s">
        <v>8519</v>
      </c>
      <c r="AX438" s="1" t="s">
        <v>82</v>
      </c>
      <c r="AY438" s="1" t="s">
        <v>8520</v>
      </c>
      <c r="AZ438" s="1" t="s">
        <v>8521</v>
      </c>
      <c r="BA438" s="1" t="s">
        <v>486</v>
      </c>
      <c r="BB438" s="1">
        <v>2022</v>
      </c>
      <c r="BC438" s="1">
        <v>60</v>
      </c>
      <c r="BD438" s="1">
        <v>6</v>
      </c>
      <c r="BE438" s="1" t="s">
        <v>82</v>
      </c>
      <c r="BF438" s="1" t="s">
        <v>82</v>
      </c>
      <c r="BG438" s="1" t="s">
        <v>82</v>
      </c>
      <c r="BH438" s="1" t="s">
        <v>82</v>
      </c>
      <c r="BI438" s="1">
        <v>1440</v>
      </c>
      <c r="BJ438" s="1">
        <v>1452</v>
      </c>
      <c r="BK438" s="1" t="s">
        <v>82</v>
      </c>
      <c r="BL438" s="1" t="s">
        <v>8559</v>
      </c>
      <c r="BM438" s="1" t="str">
        <f>HYPERLINK("http://dx.doi.org/10.1111/jse.12845","http://dx.doi.org/10.1111/jse.12845")</f>
        <v>http://dx.doi.org/10.1111/jse.12845</v>
      </c>
      <c r="BN438" s="1" t="s">
        <v>82</v>
      </c>
      <c r="BO438" s="1" t="s">
        <v>424</v>
      </c>
      <c r="BP438" s="1">
        <v>13</v>
      </c>
      <c r="BQ438" s="1" t="s">
        <v>378</v>
      </c>
      <c r="BR438" s="1" t="s">
        <v>104</v>
      </c>
      <c r="BS438" s="1" t="s">
        <v>378</v>
      </c>
      <c r="BT438" s="1" t="s">
        <v>8560</v>
      </c>
      <c r="BU438" s="1" t="s">
        <v>82</v>
      </c>
      <c r="BV438" s="1" t="s">
        <v>427</v>
      </c>
      <c r="BW438" s="1" t="s">
        <v>82</v>
      </c>
      <c r="BX438" s="1" t="s">
        <v>82</v>
      </c>
      <c r="BY438" s="1" t="s">
        <v>108</v>
      </c>
      <c r="BZ438" s="1" t="s">
        <v>8561</v>
      </c>
      <c r="CA438" s="1" t="str">
        <f>HYPERLINK("https%3A%2F%2Fwww.webofscience.com%2Fwos%2Fwoscc%2Ffull-record%2FWOS:000834854900001","View Full Record in Web of Science")</f>
        <v>View Full Record in Web of Science</v>
      </c>
    </row>
    <row r="439" s="1" customFormat="1" ht="14.4" spans="1:79">
      <c r="A439">
        <v>438</v>
      </c>
      <c r="B439" s="2" t="s">
        <v>79</v>
      </c>
      <c r="C439" s="1" t="s">
        <v>80</v>
      </c>
      <c r="D439" s="1" t="s">
        <v>8562</v>
      </c>
      <c r="E439" s="1" t="s">
        <v>82</v>
      </c>
      <c r="F439" s="1" t="s">
        <v>82</v>
      </c>
      <c r="G439" s="1" t="s">
        <v>82</v>
      </c>
      <c r="H439" s="1" t="s">
        <v>8563</v>
      </c>
      <c r="I439" s="1" t="s">
        <v>82</v>
      </c>
      <c r="J439" s="1" t="s">
        <v>82</v>
      </c>
      <c r="K439" s="1" t="s">
        <v>8564</v>
      </c>
      <c r="L439" s="1" t="s">
        <v>8505</v>
      </c>
      <c r="M439" s="1">
        <v>3.544</v>
      </c>
      <c r="O439" s="1" t="s">
        <v>82</v>
      </c>
      <c r="P439" s="1" t="s">
        <v>82</v>
      </c>
      <c r="Q439" s="1" t="s">
        <v>87</v>
      </c>
      <c r="R439" s="1" t="s">
        <v>1624</v>
      </c>
      <c r="S439" s="1" t="s">
        <v>82</v>
      </c>
      <c r="T439" s="1" t="s">
        <v>82</v>
      </c>
      <c r="U439" s="1" t="s">
        <v>82</v>
      </c>
      <c r="V439" s="1" t="s">
        <v>82</v>
      </c>
      <c r="W439" s="1" t="s">
        <v>82</v>
      </c>
      <c r="X439" s="1" t="s">
        <v>8565</v>
      </c>
      <c r="Y439" s="1" t="s">
        <v>8566</v>
      </c>
      <c r="Z439" s="1" t="s">
        <v>8567</v>
      </c>
      <c r="AB439" s="1" t="s">
        <v>2712</v>
      </c>
      <c r="AC439" s="1" t="s">
        <v>8568</v>
      </c>
      <c r="AD439" s="1" t="s">
        <v>120</v>
      </c>
      <c r="AE439" s="1" t="s">
        <v>94</v>
      </c>
      <c r="AF439" s="1" t="s">
        <v>2734</v>
      </c>
      <c r="AG439" s="1" t="s">
        <v>8569</v>
      </c>
      <c r="AH439" s="1" t="s">
        <v>82</v>
      </c>
      <c r="AI439" s="1" t="s">
        <v>82</v>
      </c>
      <c r="AJ439" s="1" t="s">
        <v>8570</v>
      </c>
      <c r="AK439" s="1" t="s">
        <v>8571</v>
      </c>
      <c r="AL439" s="1" t="s">
        <v>8572</v>
      </c>
      <c r="AM439" s="1" t="s">
        <v>82</v>
      </c>
      <c r="AN439" s="1">
        <v>29</v>
      </c>
      <c r="AO439" s="1">
        <v>0</v>
      </c>
      <c r="AP439" s="1">
        <v>0</v>
      </c>
      <c r="AQ439" s="1">
        <v>6</v>
      </c>
      <c r="AR439" s="1">
        <v>7</v>
      </c>
      <c r="AS439" s="1" t="s">
        <v>1002</v>
      </c>
      <c r="AT439" s="1" t="s">
        <v>1003</v>
      </c>
      <c r="AU439" s="1" t="s">
        <v>1004</v>
      </c>
      <c r="AV439" s="1" t="s">
        <v>8518</v>
      </c>
      <c r="AW439" s="1" t="s">
        <v>8519</v>
      </c>
      <c r="AX439" s="1" t="s">
        <v>82</v>
      </c>
      <c r="AY439" s="1" t="s">
        <v>8520</v>
      </c>
      <c r="AZ439" s="1" t="s">
        <v>8521</v>
      </c>
      <c r="BA439" s="1" t="s">
        <v>82</v>
      </c>
      <c r="BB439" s="1" t="s">
        <v>82</v>
      </c>
      <c r="BC439" s="1" t="s">
        <v>82</v>
      </c>
      <c r="BD439" s="1" t="s">
        <v>82</v>
      </c>
      <c r="BE439" s="1" t="s">
        <v>82</v>
      </c>
      <c r="BF439" s="1" t="s">
        <v>82</v>
      </c>
      <c r="BG439" s="1" t="s">
        <v>82</v>
      </c>
      <c r="BH439" s="1" t="s">
        <v>82</v>
      </c>
      <c r="BI439" s="1" t="s">
        <v>82</v>
      </c>
      <c r="BJ439" s="1" t="s">
        <v>82</v>
      </c>
      <c r="BK439" s="1" t="s">
        <v>82</v>
      </c>
      <c r="BL439" s="1" t="s">
        <v>8573</v>
      </c>
      <c r="BM439" s="1" t="str">
        <f>HYPERLINK("http://dx.doi.org/10.1111/jse.12856","http://dx.doi.org/10.1111/jse.12856")</f>
        <v>http://dx.doi.org/10.1111/jse.12856</v>
      </c>
      <c r="BN439" s="1" t="s">
        <v>82</v>
      </c>
      <c r="BO439" s="1" t="s">
        <v>1298</v>
      </c>
      <c r="BP439" s="1">
        <v>9</v>
      </c>
      <c r="BQ439" s="1" t="s">
        <v>378</v>
      </c>
      <c r="BR439" s="1" t="s">
        <v>104</v>
      </c>
      <c r="BS439" s="1" t="s">
        <v>378</v>
      </c>
      <c r="BT439" s="1" t="s">
        <v>8574</v>
      </c>
      <c r="BU439" s="1" t="s">
        <v>82</v>
      </c>
      <c r="BV439" s="1" t="s">
        <v>82</v>
      </c>
      <c r="BW439" s="1" t="s">
        <v>82</v>
      </c>
      <c r="BX439" s="1" t="s">
        <v>82</v>
      </c>
      <c r="BY439" s="1" t="s">
        <v>108</v>
      </c>
      <c r="BZ439" s="1" t="s">
        <v>8575</v>
      </c>
      <c r="CA439" s="1" t="str">
        <f>HYPERLINK("https%3A%2F%2Fwww.webofscience.com%2Fwos%2Fwoscc%2Ffull-record%2FWOS:000817087000001","View Full Record in Web of Science")</f>
        <v>View Full Record in Web of Science</v>
      </c>
    </row>
    <row r="440" s="1" customFormat="1" ht="14.4" spans="1:79">
      <c r="A440">
        <v>439</v>
      </c>
      <c r="B440" s="2" t="s">
        <v>79</v>
      </c>
      <c r="C440" s="1" t="s">
        <v>80</v>
      </c>
      <c r="D440" s="1" t="s">
        <v>8576</v>
      </c>
      <c r="E440" s="1" t="s">
        <v>82</v>
      </c>
      <c r="F440" s="1" t="s">
        <v>82</v>
      </c>
      <c r="G440" s="1" t="s">
        <v>82</v>
      </c>
      <c r="H440" s="1" t="s">
        <v>8577</v>
      </c>
      <c r="I440" s="1" t="s">
        <v>82</v>
      </c>
      <c r="J440" s="1" t="s">
        <v>82</v>
      </c>
      <c r="K440" s="1" t="s">
        <v>8578</v>
      </c>
      <c r="L440" s="1" t="s">
        <v>8505</v>
      </c>
      <c r="M440" s="1">
        <v>3.544</v>
      </c>
      <c r="O440" s="1" t="s">
        <v>82</v>
      </c>
      <c r="P440" s="1" t="s">
        <v>82</v>
      </c>
      <c r="Q440" s="1" t="s">
        <v>87</v>
      </c>
      <c r="R440" s="1" t="s">
        <v>115</v>
      </c>
      <c r="S440" s="1" t="s">
        <v>82</v>
      </c>
      <c r="T440" s="1" t="s">
        <v>82</v>
      </c>
      <c r="U440" s="1" t="s">
        <v>82</v>
      </c>
      <c r="V440" s="1" t="s">
        <v>82</v>
      </c>
      <c r="W440" s="1" t="s">
        <v>82</v>
      </c>
      <c r="X440" s="1" t="s">
        <v>8579</v>
      </c>
      <c r="Y440" s="1" t="s">
        <v>8580</v>
      </c>
      <c r="Z440" s="1" t="s">
        <v>8581</v>
      </c>
      <c r="AB440" s="1" t="s">
        <v>8582</v>
      </c>
      <c r="AC440" s="1" t="s">
        <v>8583</v>
      </c>
      <c r="AD440" s="1" t="s">
        <v>120</v>
      </c>
      <c r="AE440" s="1" t="s">
        <v>8584</v>
      </c>
      <c r="AF440" s="1" t="s">
        <v>8585</v>
      </c>
      <c r="AG440" s="1" t="s">
        <v>8586</v>
      </c>
      <c r="AH440" s="1" t="s">
        <v>8587</v>
      </c>
      <c r="AI440" s="1" t="s">
        <v>8588</v>
      </c>
      <c r="AJ440" s="1" t="s">
        <v>8589</v>
      </c>
      <c r="AK440" s="1" t="s">
        <v>8590</v>
      </c>
      <c r="AL440" s="1" t="s">
        <v>8591</v>
      </c>
      <c r="AM440" s="1" t="s">
        <v>82</v>
      </c>
      <c r="AN440" s="1">
        <v>50</v>
      </c>
      <c r="AO440" s="1">
        <v>20</v>
      </c>
      <c r="AP440" s="1">
        <v>23</v>
      </c>
      <c r="AQ440" s="1">
        <v>12</v>
      </c>
      <c r="AR440" s="1">
        <v>14</v>
      </c>
      <c r="AS440" s="1" t="s">
        <v>1002</v>
      </c>
      <c r="AT440" s="1" t="s">
        <v>1003</v>
      </c>
      <c r="AU440" s="1" t="s">
        <v>1004</v>
      </c>
      <c r="AV440" s="1" t="s">
        <v>8518</v>
      </c>
      <c r="AW440" s="1" t="s">
        <v>8519</v>
      </c>
      <c r="AX440" s="1" t="s">
        <v>82</v>
      </c>
      <c r="AY440" s="1" t="s">
        <v>8520</v>
      </c>
      <c r="AZ440" s="1" t="s">
        <v>8521</v>
      </c>
      <c r="BA440" s="1" t="s">
        <v>245</v>
      </c>
      <c r="BB440" s="1">
        <v>2022</v>
      </c>
      <c r="BC440" s="1">
        <v>60</v>
      </c>
      <c r="BD440" s="1">
        <v>3</v>
      </c>
      <c r="BE440" s="1" t="s">
        <v>82</v>
      </c>
      <c r="BF440" s="1" t="s">
        <v>82</v>
      </c>
      <c r="BG440" s="1" t="s">
        <v>170</v>
      </c>
      <c r="BH440" s="1" t="s">
        <v>82</v>
      </c>
      <c r="BI440" s="1">
        <v>476</v>
      </c>
      <c r="BJ440" s="1">
        <v>521</v>
      </c>
      <c r="BK440" s="1" t="s">
        <v>82</v>
      </c>
      <c r="BL440" s="1" t="s">
        <v>8592</v>
      </c>
      <c r="BM440" s="1" t="str">
        <f>HYPERLINK("http://dx.doi.org/10.1111/jse.12847","http://dx.doi.org/10.1111/jse.12847")</f>
        <v>http://dx.doi.org/10.1111/jse.12847</v>
      </c>
      <c r="BN440" s="1" t="s">
        <v>82</v>
      </c>
      <c r="BO440" s="1" t="s">
        <v>82</v>
      </c>
      <c r="BP440" s="1">
        <v>46</v>
      </c>
      <c r="BQ440" s="1" t="s">
        <v>378</v>
      </c>
      <c r="BR440" s="1" t="s">
        <v>104</v>
      </c>
      <c r="BS440" s="1" t="s">
        <v>378</v>
      </c>
      <c r="BT440" s="1" t="s">
        <v>8593</v>
      </c>
      <c r="BU440" s="1" t="s">
        <v>82</v>
      </c>
      <c r="BV440" s="1" t="s">
        <v>82</v>
      </c>
      <c r="BW440" s="1" t="s">
        <v>82</v>
      </c>
      <c r="BX440" s="1" t="s">
        <v>82</v>
      </c>
      <c r="BY440" s="1" t="s">
        <v>108</v>
      </c>
      <c r="BZ440" s="1" t="s">
        <v>8594</v>
      </c>
      <c r="CA440" s="1" t="str">
        <f>HYPERLINK("https%3A%2F%2Fwww.webofscience.com%2Fwos%2Fwoscc%2Ffull-record%2FWOS:000806349600003","View Full Record in Web of Science")</f>
        <v>View Full Record in Web of Science</v>
      </c>
    </row>
    <row r="441" s="1" customFormat="1" ht="14.4" spans="1:79">
      <c r="A441">
        <v>440</v>
      </c>
      <c r="B441" s="2" t="s">
        <v>79</v>
      </c>
      <c r="C441" s="1" t="s">
        <v>80</v>
      </c>
      <c r="D441" s="1" t="s">
        <v>8595</v>
      </c>
      <c r="E441" s="1" t="s">
        <v>82</v>
      </c>
      <c r="F441" s="1" t="s">
        <v>82</v>
      </c>
      <c r="G441" s="1" t="s">
        <v>82</v>
      </c>
      <c r="H441" s="1" t="s">
        <v>8596</v>
      </c>
      <c r="I441" s="1" t="s">
        <v>82</v>
      </c>
      <c r="J441" s="1" t="s">
        <v>82</v>
      </c>
      <c r="K441" s="1" t="s">
        <v>8597</v>
      </c>
      <c r="L441" s="1" t="s">
        <v>8505</v>
      </c>
      <c r="M441" s="1">
        <v>3.544</v>
      </c>
      <c r="O441" s="1" t="s">
        <v>82</v>
      </c>
      <c r="P441" s="1" t="s">
        <v>82</v>
      </c>
      <c r="Q441" s="1" t="s">
        <v>87</v>
      </c>
      <c r="R441" s="1" t="s">
        <v>115</v>
      </c>
      <c r="S441" s="1" t="s">
        <v>82</v>
      </c>
      <c r="T441" s="1" t="s">
        <v>82</v>
      </c>
      <c r="U441" s="1" t="s">
        <v>82</v>
      </c>
      <c r="V441" s="1" t="s">
        <v>82</v>
      </c>
      <c r="W441" s="1" t="s">
        <v>82</v>
      </c>
      <c r="X441" s="1" t="s">
        <v>8598</v>
      </c>
      <c r="Y441" s="1" t="s">
        <v>8599</v>
      </c>
      <c r="Z441" s="1" t="s">
        <v>8600</v>
      </c>
      <c r="AB441" s="1" t="s">
        <v>8601</v>
      </c>
      <c r="AC441" s="1" t="s">
        <v>8602</v>
      </c>
      <c r="AD441" s="1" t="s">
        <v>120</v>
      </c>
      <c r="AE441" s="1" t="s">
        <v>8603</v>
      </c>
      <c r="AF441" s="1" t="s">
        <v>8604</v>
      </c>
      <c r="AG441" s="1" t="s">
        <v>8605</v>
      </c>
      <c r="AH441" s="1" t="s">
        <v>8587</v>
      </c>
      <c r="AI441" s="1" t="s">
        <v>8606</v>
      </c>
      <c r="AJ441" s="1" t="s">
        <v>82</v>
      </c>
      <c r="AK441" s="1" t="s">
        <v>82</v>
      </c>
      <c r="AL441" s="1" t="s">
        <v>82</v>
      </c>
      <c r="AM441" s="1" t="s">
        <v>82</v>
      </c>
      <c r="AN441" s="1">
        <v>350</v>
      </c>
      <c r="AO441" s="1">
        <v>8</v>
      </c>
      <c r="AP441" s="1">
        <v>8</v>
      </c>
      <c r="AQ441" s="1">
        <v>6</v>
      </c>
      <c r="AR441" s="1">
        <v>8</v>
      </c>
      <c r="AS441" s="1" t="s">
        <v>1002</v>
      </c>
      <c r="AT441" s="1" t="s">
        <v>1003</v>
      </c>
      <c r="AU441" s="1" t="s">
        <v>1004</v>
      </c>
      <c r="AV441" s="1" t="s">
        <v>8518</v>
      </c>
      <c r="AW441" s="1" t="s">
        <v>8519</v>
      </c>
      <c r="AX441" s="1" t="s">
        <v>82</v>
      </c>
      <c r="AY441" s="1" t="s">
        <v>8520</v>
      </c>
      <c r="AZ441" s="1" t="s">
        <v>8521</v>
      </c>
      <c r="BA441" s="1" t="s">
        <v>245</v>
      </c>
      <c r="BB441" s="1">
        <v>2022</v>
      </c>
      <c r="BC441" s="1">
        <v>60</v>
      </c>
      <c r="BD441" s="1">
        <v>3</v>
      </c>
      <c r="BE441" s="1" t="s">
        <v>82</v>
      </c>
      <c r="BF441" s="1" t="s">
        <v>82</v>
      </c>
      <c r="BG441" s="1" t="s">
        <v>170</v>
      </c>
      <c r="BH441" s="1" t="s">
        <v>82</v>
      </c>
      <c r="BI441" s="1">
        <v>522</v>
      </c>
      <c r="BJ441" s="1">
        <v>569</v>
      </c>
      <c r="BK441" s="1" t="s">
        <v>82</v>
      </c>
      <c r="BL441" s="1" t="s">
        <v>8607</v>
      </c>
      <c r="BM441" s="1" t="str">
        <f>HYPERLINK("http://dx.doi.org/10.1111/jse.12857","http://dx.doi.org/10.1111/jse.12857")</f>
        <v>http://dx.doi.org/10.1111/jse.12857</v>
      </c>
      <c r="BN441" s="1" t="s">
        <v>82</v>
      </c>
      <c r="BO441" s="1" t="s">
        <v>82</v>
      </c>
      <c r="BP441" s="1">
        <v>48</v>
      </c>
      <c r="BQ441" s="1" t="s">
        <v>378</v>
      </c>
      <c r="BR441" s="1" t="s">
        <v>104</v>
      </c>
      <c r="BS441" s="1" t="s">
        <v>378</v>
      </c>
      <c r="BT441" s="1" t="s">
        <v>8593</v>
      </c>
      <c r="BU441" s="1" t="s">
        <v>82</v>
      </c>
      <c r="BV441" s="1" t="s">
        <v>82</v>
      </c>
      <c r="BW441" s="1" t="s">
        <v>82</v>
      </c>
      <c r="BX441" s="1" t="s">
        <v>82</v>
      </c>
      <c r="BY441" s="1" t="s">
        <v>108</v>
      </c>
      <c r="BZ441" s="1" t="s">
        <v>8608</v>
      </c>
      <c r="CA441" s="1" t="str">
        <f>HYPERLINK("https%3A%2F%2Fwww.webofscience.com%2Fwos%2Fwoscc%2Ffull-record%2FWOS:000806349600004","View Full Record in Web of Science")</f>
        <v>View Full Record in Web of Science</v>
      </c>
    </row>
    <row r="442" s="1" customFormat="1" ht="14.4" spans="1:79">
      <c r="A442">
        <v>441</v>
      </c>
      <c r="B442" s="2" t="s">
        <v>79</v>
      </c>
      <c r="C442" s="1" t="s">
        <v>80</v>
      </c>
      <c r="D442" s="1" t="s">
        <v>8609</v>
      </c>
      <c r="E442" s="1" t="s">
        <v>82</v>
      </c>
      <c r="F442" s="1" t="s">
        <v>82</v>
      </c>
      <c r="G442" s="1" t="s">
        <v>82</v>
      </c>
      <c r="H442" s="1" t="s">
        <v>8610</v>
      </c>
      <c r="I442" s="1" t="s">
        <v>82</v>
      </c>
      <c r="J442" s="1" t="s">
        <v>82</v>
      </c>
      <c r="K442" s="1" t="s">
        <v>8611</v>
      </c>
      <c r="L442" s="1" t="s">
        <v>8505</v>
      </c>
      <c r="M442" s="1">
        <v>3.544</v>
      </c>
      <c r="O442" s="1" t="s">
        <v>82</v>
      </c>
      <c r="P442" s="1" t="s">
        <v>82</v>
      </c>
      <c r="Q442" s="1" t="s">
        <v>87</v>
      </c>
      <c r="R442" s="1" t="s">
        <v>115</v>
      </c>
      <c r="S442" s="1" t="s">
        <v>82</v>
      </c>
      <c r="T442" s="1" t="s">
        <v>82</v>
      </c>
      <c r="U442" s="1" t="s">
        <v>82</v>
      </c>
      <c r="V442" s="1" t="s">
        <v>82</v>
      </c>
      <c r="W442" s="1" t="s">
        <v>82</v>
      </c>
      <c r="X442" s="1" t="s">
        <v>8612</v>
      </c>
      <c r="Y442" s="1" t="s">
        <v>8613</v>
      </c>
      <c r="Z442" s="1" t="s">
        <v>8614</v>
      </c>
      <c r="AA442" s="1">
        <v>1</v>
      </c>
      <c r="AB442" s="1" t="s">
        <v>8615</v>
      </c>
      <c r="AC442" s="1" t="s">
        <v>8616</v>
      </c>
      <c r="AD442" s="1" t="s">
        <v>93</v>
      </c>
      <c r="AE442" s="1" t="s">
        <v>1959</v>
      </c>
      <c r="AF442" s="1" t="s">
        <v>8617</v>
      </c>
      <c r="AG442" s="1" t="s">
        <v>1609</v>
      </c>
      <c r="AH442" s="1" t="s">
        <v>2307</v>
      </c>
      <c r="AI442" s="1" t="s">
        <v>8618</v>
      </c>
      <c r="AJ442" s="1" t="s">
        <v>8619</v>
      </c>
      <c r="AK442" s="1" t="s">
        <v>8620</v>
      </c>
      <c r="AL442" s="1" t="s">
        <v>8621</v>
      </c>
      <c r="AM442" s="1" t="s">
        <v>82</v>
      </c>
      <c r="AN442" s="1">
        <v>80</v>
      </c>
      <c r="AO442" s="1">
        <v>2</v>
      </c>
      <c r="AP442" s="1">
        <v>2</v>
      </c>
      <c r="AQ442" s="1">
        <v>5</v>
      </c>
      <c r="AR442" s="1">
        <v>13</v>
      </c>
      <c r="AS442" s="1" t="s">
        <v>1002</v>
      </c>
      <c r="AT442" s="1" t="s">
        <v>1003</v>
      </c>
      <c r="AU442" s="1" t="s">
        <v>1004</v>
      </c>
      <c r="AV442" s="1" t="s">
        <v>8518</v>
      </c>
      <c r="AW442" s="1" t="s">
        <v>8519</v>
      </c>
      <c r="AX442" s="1" t="s">
        <v>82</v>
      </c>
      <c r="AY442" s="1" t="s">
        <v>8520</v>
      </c>
      <c r="AZ442" s="1" t="s">
        <v>8521</v>
      </c>
      <c r="BA442" s="1" t="s">
        <v>245</v>
      </c>
      <c r="BB442" s="1">
        <v>2022</v>
      </c>
      <c r="BC442" s="1">
        <v>60</v>
      </c>
      <c r="BD442" s="1">
        <v>3</v>
      </c>
      <c r="BE442" s="1" t="s">
        <v>82</v>
      </c>
      <c r="BF442" s="1" t="s">
        <v>82</v>
      </c>
      <c r="BG442" s="1" t="s">
        <v>170</v>
      </c>
      <c r="BH442" s="1" t="s">
        <v>82</v>
      </c>
      <c r="BI442" s="1">
        <v>640</v>
      </c>
      <c r="BJ442" s="1">
        <v>652</v>
      </c>
      <c r="BK442" s="1" t="s">
        <v>82</v>
      </c>
      <c r="BL442" s="1" t="s">
        <v>8622</v>
      </c>
      <c r="BM442" s="1" t="str">
        <f>HYPERLINK("http://dx.doi.org/10.1111/jse.12843","http://dx.doi.org/10.1111/jse.12843")</f>
        <v>http://dx.doi.org/10.1111/jse.12843</v>
      </c>
      <c r="BN442" s="1" t="s">
        <v>82</v>
      </c>
      <c r="BO442" s="1" t="s">
        <v>247</v>
      </c>
      <c r="BP442" s="1">
        <v>13</v>
      </c>
      <c r="BQ442" s="1" t="s">
        <v>378</v>
      </c>
      <c r="BR442" s="1" t="s">
        <v>104</v>
      </c>
      <c r="BS442" s="1" t="s">
        <v>378</v>
      </c>
      <c r="BT442" s="1" t="s">
        <v>8593</v>
      </c>
      <c r="BU442" s="1" t="s">
        <v>82</v>
      </c>
      <c r="BV442" s="1" t="s">
        <v>82</v>
      </c>
      <c r="BW442" s="1" t="s">
        <v>82</v>
      </c>
      <c r="BX442" s="1" t="s">
        <v>82</v>
      </c>
      <c r="BY442" s="1" t="s">
        <v>108</v>
      </c>
      <c r="BZ442" s="1" t="s">
        <v>8623</v>
      </c>
      <c r="CA442" s="1" t="str">
        <f>HYPERLINK("https%3A%2F%2Fwww.webofscience.com%2Fwos%2Fwoscc%2Ffull-record%2FWOS:000798740400001","View Full Record in Web of Science")</f>
        <v>View Full Record in Web of Science</v>
      </c>
    </row>
    <row r="443" s="1" customFormat="1" ht="14.4" spans="1:79">
      <c r="A443">
        <v>442</v>
      </c>
      <c r="B443" s="2" t="s">
        <v>79</v>
      </c>
      <c r="C443" s="1" t="s">
        <v>80</v>
      </c>
      <c r="D443" s="1" t="s">
        <v>8624</v>
      </c>
      <c r="E443" s="1" t="s">
        <v>82</v>
      </c>
      <c r="F443" s="1" t="s">
        <v>82</v>
      </c>
      <c r="G443" s="1" t="s">
        <v>82</v>
      </c>
      <c r="H443" s="1" t="s">
        <v>8625</v>
      </c>
      <c r="I443" s="1" t="s">
        <v>82</v>
      </c>
      <c r="J443" s="1" t="s">
        <v>82</v>
      </c>
      <c r="K443" s="1" t="s">
        <v>8626</v>
      </c>
      <c r="L443" s="1" t="s">
        <v>8505</v>
      </c>
      <c r="M443" s="1">
        <v>3.544</v>
      </c>
      <c r="O443" s="1" t="s">
        <v>82</v>
      </c>
      <c r="P443" s="1" t="s">
        <v>82</v>
      </c>
      <c r="Q443" s="1" t="s">
        <v>87</v>
      </c>
      <c r="R443" s="1" t="s">
        <v>115</v>
      </c>
      <c r="S443" s="1" t="s">
        <v>82</v>
      </c>
      <c r="T443" s="1" t="s">
        <v>82</v>
      </c>
      <c r="U443" s="1" t="s">
        <v>82</v>
      </c>
      <c r="V443" s="1" t="s">
        <v>82</v>
      </c>
      <c r="W443" s="1" t="s">
        <v>82</v>
      </c>
      <c r="X443" s="1" t="s">
        <v>8627</v>
      </c>
      <c r="Y443" s="1" t="s">
        <v>8628</v>
      </c>
      <c r="Z443" s="1" t="s">
        <v>8629</v>
      </c>
      <c r="AB443" s="1" t="s">
        <v>8630</v>
      </c>
      <c r="AC443" s="1" t="s">
        <v>8631</v>
      </c>
      <c r="AD443" s="1" t="s">
        <v>206</v>
      </c>
      <c r="AE443" s="1" t="s">
        <v>8632</v>
      </c>
      <c r="AF443" s="1" t="s">
        <v>8633</v>
      </c>
      <c r="AG443" s="1" t="s">
        <v>8634</v>
      </c>
      <c r="AH443" s="1" t="s">
        <v>8635</v>
      </c>
      <c r="AI443" s="1" t="s">
        <v>8636</v>
      </c>
      <c r="AJ443" s="1" t="s">
        <v>8637</v>
      </c>
      <c r="AK443" s="1" t="s">
        <v>8638</v>
      </c>
      <c r="AL443" s="1" t="s">
        <v>8639</v>
      </c>
      <c r="AM443" s="1" t="s">
        <v>82</v>
      </c>
      <c r="AN443" s="1">
        <v>64</v>
      </c>
      <c r="AO443" s="1">
        <v>0</v>
      </c>
      <c r="AP443" s="1">
        <v>0</v>
      </c>
      <c r="AQ443" s="1">
        <v>10</v>
      </c>
      <c r="AR443" s="1">
        <v>14</v>
      </c>
      <c r="AS443" s="1" t="s">
        <v>1002</v>
      </c>
      <c r="AT443" s="1" t="s">
        <v>1003</v>
      </c>
      <c r="AU443" s="1" t="s">
        <v>1004</v>
      </c>
      <c r="AV443" s="1" t="s">
        <v>8518</v>
      </c>
      <c r="AW443" s="1" t="s">
        <v>8519</v>
      </c>
      <c r="AX443" s="1" t="s">
        <v>82</v>
      </c>
      <c r="AY443" s="1" t="s">
        <v>8520</v>
      </c>
      <c r="AZ443" s="1" t="s">
        <v>8521</v>
      </c>
      <c r="BA443" s="1" t="s">
        <v>222</v>
      </c>
      <c r="BB443" s="1">
        <v>2022</v>
      </c>
      <c r="BC443" s="1">
        <v>60</v>
      </c>
      <c r="BD443" s="1">
        <v>5</v>
      </c>
      <c r="BE443" s="1" t="s">
        <v>82</v>
      </c>
      <c r="BF443" s="1" t="s">
        <v>82</v>
      </c>
      <c r="BG443" s="1" t="s">
        <v>82</v>
      </c>
      <c r="BH443" s="1" t="s">
        <v>82</v>
      </c>
      <c r="BI443" s="1">
        <v>1218</v>
      </c>
      <c r="BJ443" s="1">
        <v>1228</v>
      </c>
      <c r="BK443" s="1" t="s">
        <v>82</v>
      </c>
      <c r="BL443" s="1" t="s">
        <v>8640</v>
      </c>
      <c r="BM443" s="1" t="str">
        <f>HYPERLINK("http://dx.doi.org/10.1111/jse.12829","http://dx.doi.org/10.1111/jse.12829")</f>
        <v>http://dx.doi.org/10.1111/jse.12829</v>
      </c>
      <c r="BN443" s="1" t="s">
        <v>82</v>
      </c>
      <c r="BO443" s="1" t="s">
        <v>267</v>
      </c>
      <c r="BP443" s="1">
        <v>11</v>
      </c>
      <c r="BQ443" s="1" t="s">
        <v>378</v>
      </c>
      <c r="BR443" s="1" t="s">
        <v>104</v>
      </c>
      <c r="BS443" s="1" t="s">
        <v>378</v>
      </c>
      <c r="BT443" s="1" t="s">
        <v>8641</v>
      </c>
      <c r="BU443" s="1" t="s">
        <v>82</v>
      </c>
      <c r="BV443" s="1" t="s">
        <v>82</v>
      </c>
      <c r="BW443" s="1" t="s">
        <v>82</v>
      </c>
      <c r="BX443" s="1" t="s">
        <v>82</v>
      </c>
      <c r="BY443" s="1" t="s">
        <v>108</v>
      </c>
      <c r="BZ443" s="1" t="s">
        <v>8642</v>
      </c>
      <c r="CA443" s="1" t="str">
        <f>HYPERLINK("https%3A%2F%2Fwww.webofscience.com%2Fwos%2Fwoscc%2Ffull-record%2FWOS:000778541000001","View Full Record in Web of Science")</f>
        <v>View Full Record in Web of Science</v>
      </c>
    </row>
    <row r="444" s="1" customFormat="1" ht="14.4" spans="1:79">
      <c r="A444">
        <v>443</v>
      </c>
      <c r="B444" s="2" t="s">
        <v>79</v>
      </c>
      <c r="C444" s="1" t="s">
        <v>80</v>
      </c>
      <c r="D444" s="1" t="s">
        <v>8643</v>
      </c>
      <c r="E444" s="1" t="s">
        <v>82</v>
      </c>
      <c r="F444" s="1" t="s">
        <v>82</v>
      </c>
      <c r="G444" s="1" t="s">
        <v>82</v>
      </c>
      <c r="H444" s="1" t="s">
        <v>8644</v>
      </c>
      <c r="I444" s="1" t="s">
        <v>82</v>
      </c>
      <c r="J444" s="1" t="s">
        <v>82</v>
      </c>
      <c r="K444" s="1" t="s">
        <v>8645</v>
      </c>
      <c r="L444" s="1" t="s">
        <v>8505</v>
      </c>
      <c r="M444" s="1">
        <v>3.544</v>
      </c>
      <c r="O444" s="1" t="s">
        <v>82</v>
      </c>
      <c r="P444" s="1" t="s">
        <v>82</v>
      </c>
      <c r="Q444" s="1" t="s">
        <v>87</v>
      </c>
      <c r="R444" s="1" t="s">
        <v>115</v>
      </c>
      <c r="S444" s="1" t="s">
        <v>82</v>
      </c>
      <c r="T444" s="1" t="s">
        <v>82</v>
      </c>
      <c r="U444" s="1" t="s">
        <v>82</v>
      </c>
      <c r="V444" s="1" t="s">
        <v>82</v>
      </c>
      <c r="W444" s="1" t="s">
        <v>82</v>
      </c>
      <c r="X444" s="1" t="s">
        <v>8646</v>
      </c>
      <c r="Y444" s="1" t="s">
        <v>8647</v>
      </c>
      <c r="Z444" s="1" t="s">
        <v>8648</v>
      </c>
      <c r="AB444" s="1" t="s">
        <v>8649</v>
      </c>
      <c r="AC444" s="1" t="s">
        <v>8650</v>
      </c>
      <c r="AD444" s="1" t="s">
        <v>206</v>
      </c>
      <c r="AE444" s="1" t="s">
        <v>8651</v>
      </c>
      <c r="AF444" s="1" t="s">
        <v>8652</v>
      </c>
      <c r="AG444" s="1" t="s">
        <v>8653</v>
      </c>
      <c r="AH444" s="1" t="s">
        <v>8654</v>
      </c>
      <c r="AI444" s="1" t="s">
        <v>8655</v>
      </c>
      <c r="AJ444" s="1" t="s">
        <v>8656</v>
      </c>
      <c r="AK444" s="1" t="s">
        <v>8657</v>
      </c>
      <c r="AL444" s="1" t="s">
        <v>8658</v>
      </c>
      <c r="AM444" s="1" t="s">
        <v>82</v>
      </c>
      <c r="AN444" s="1">
        <v>69</v>
      </c>
      <c r="AO444" s="1">
        <v>3</v>
      </c>
      <c r="AP444" s="1">
        <v>3</v>
      </c>
      <c r="AQ444" s="1">
        <v>13</v>
      </c>
      <c r="AR444" s="1">
        <v>30</v>
      </c>
      <c r="AS444" s="1" t="s">
        <v>1002</v>
      </c>
      <c r="AT444" s="1" t="s">
        <v>1003</v>
      </c>
      <c r="AU444" s="1" t="s">
        <v>1004</v>
      </c>
      <c r="AV444" s="1" t="s">
        <v>8518</v>
      </c>
      <c r="AW444" s="1" t="s">
        <v>8519</v>
      </c>
      <c r="AX444" s="1" t="s">
        <v>82</v>
      </c>
      <c r="AY444" s="1" t="s">
        <v>8520</v>
      </c>
      <c r="AZ444" s="1" t="s">
        <v>8521</v>
      </c>
      <c r="BA444" s="1" t="s">
        <v>486</v>
      </c>
      <c r="BB444" s="1">
        <v>2022</v>
      </c>
      <c r="BC444" s="1">
        <v>60</v>
      </c>
      <c r="BD444" s="1">
        <v>6</v>
      </c>
      <c r="BE444" s="1" t="s">
        <v>82</v>
      </c>
      <c r="BF444" s="1" t="s">
        <v>82</v>
      </c>
      <c r="BG444" s="1" t="s">
        <v>82</v>
      </c>
      <c r="BH444" s="1" t="s">
        <v>82</v>
      </c>
      <c r="BI444" s="1">
        <v>1229</v>
      </c>
      <c r="BJ444" s="1">
        <v>1240</v>
      </c>
      <c r="BK444" s="1" t="s">
        <v>82</v>
      </c>
      <c r="BL444" s="1" t="s">
        <v>8659</v>
      </c>
      <c r="BM444" s="1" t="str">
        <f>HYPERLINK("http://dx.doi.org/10.1111/jse.12814","http://dx.doi.org/10.1111/jse.12814")</f>
        <v>http://dx.doi.org/10.1111/jse.12814</v>
      </c>
      <c r="BN444" s="1" t="s">
        <v>82</v>
      </c>
      <c r="BO444" s="1" t="s">
        <v>315</v>
      </c>
      <c r="BP444" s="1">
        <v>12</v>
      </c>
      <c r="BQ444" s="1" t="s">
        <v>378</v>
      </c>
      <c r="BR444" s="1" t="s">
        <v>104</v>
      </c>
      <c r="BS444" s="1" t="s">
        <v>378</v>
      </c>
      <c r="BT444" s="1" t="s">
        <v>8560</v>
      </c>
      <c r="BU444" s="1" t="s">
        <v>82</v>
      </c>
      <c r="BV444" s="1" t="s">
        <v>82</v>
      </c>
      <c r="BW444" s="1" t="s">
        <v>82</v>
      </c>
      <c r="BX444" s="1" t="s">
        <v>82</v>
      </c>
      <c r="BY444" s="1" t="s">
        <v>108</v>
      </c>
      <c r="BZ444" s="1" t="s">
        <v>8660</v>
      </c>
      <c r="CA444" s="1" t="str">
        <f>HYPERLINK("https%3A%2F%2Fwww.webofscience.com%2Fwos%2Fwoscc%2Ffull-record%2FWOS:000748534200001","View Full Record in Web of Science")</f>
        <v>View Full Record in Web of Science</v>
      </c>
    </row>
    <row r="445" s="1" customFormat="1" ht="14.4" spans="1:79">
      <c r="A445">
        <v>444</v>
      </c>
      <c r="B445" s="2" t="s">
        <v>79</v>
      </c>
      <c r="C445" s="1" t="s">
        <v>80</v>
      </c>
      <c r="D445" s="1" t="s">
        <v>8661</v>
      </c>
      <c r="E445" s="1" t="s">
        <v>82</v>
      </c>
      <c r="F445" s="1" t="s">
        <v>82</v>
      </c>
      <c r="G445" s="1" t="s">
        <v>82</v>
      </c>
      <c r="H445" s="1" t="s">
        <v>8662</v>
      </c>
      <c r="I445" s="1" t="s">
        <v>82</v>
      </c>
      <c r="J445" s="1" t="s">
        <v>82</v>
      </c>
      <c r="K445" s="1" t="s">
        <v>8663</v>
      </c>
      <c r="L445" s="1" t="s">
        <v>8505</v>
      </c>
      <c r="M445" s="1">
        <v>3.544</v>
      </c>
      <c r="O445" s="1" t="s">
        <v>82</v>
      </c>
      <c r="P445" s="1" t="s">
        <v>82</v>
      </c>
      <c r="Q445" s="1" t="s">
        <v>87</v>
      </c>
      <c r="R445" s="1" t="s">
        <v>115</v>
      </c>
      <c r="S445" s="1" t="s">
        <v>82</v>
      </c>
      <c r="T445" s="1" t="s">
        <v>82</v>
      </c>
      <c r="U445" s="1" t="s">
        <v>82</v>
      </c>
      <c r="V445" s="1" t="s">
        <v>82</v>
      </c>
      <c r="W445" s="1" t="s">
        <v>82</v>
      </c>
      <c r="X445" s="1" t="s">
        <v>8664</v>
      </c>
      <c r="Y445" s="1" t="s">
        <v>8665</v>
      </c>
      <c r="Z445" s="1" t="s">
        <v>8666</v>
      </c>
      <c r="AA445" s="1">
        <v>1</v>
      </c>
      <c r="AB445" s="1" t="s">
        <v>8667</v>
      </c>
      <c r="AC445" s="1" t="s">
        <v>8668</v>
      </c>
      <c r="AD445" s="1" t="s">
        <v>93</v>
      </c>
      <c r="AE445" s="1" t="s">
        <v>8669</v>
      </c>
      <c r="AF445" s="1" t="s">
        <v>8670</v>
      </c>
      <c r="AG445" s="1" t="s">
        <v>8671</v>
      </c>
      <c r="AH445" s="1" t="s">
        <v>82</v>
      </c>
      <c r="AI445" s="1" t="s">
        <v>82</v>
      </c>
      <c r="AJ445" s="1" t="s">
        <v>8672</v>
      </c>
      <c r="AK445" s="1" t="s">
        <v>8673</v>
      </c>
      <c r="AL445" s="1" t="s">
        <v>8674</v>
      </c>
      <c r="AM445" s="1" t="s">
        <v>82</v>
      </c>
      <c r="AN445" s="1">
        <v>74</v>
      </c>
      <c r="AO445" s="1">
        <v>2</v>
      </c>
      <c r="AP445" s="1">
        <v>2</v>
      </c>
      <c r="AQ445" s="1">
        <v>7</v>
      </c>
      <c r="AR445" s="1">
        <v>24</v>
      </c>
      <c r="AS445" s="1" t="s">
        <v>1002</v>
      </c>
      <c r="AT445" s="1" t="s">
        <v>1003</v>
      </c>
      <c r="AU445" s="1" t="s">
        <v>1004</v>
      </c>
      <c r="AV445" s="1" t="s">
        <v>8518</v>
      </c>
      <c r="AW445" s="1" t="s">
        <v>8519</v>
      </c>
      <c r="AX445" s="1" t="s">
        <v>82</v>
      </c>
      <c r="AY445" s="1" t="s">
        <v>8520</v>
      </c>
      <c r="AZ445" s="1" t="s">
        <v>8521</v>
      </c>
      <c r="BA445" s="1" t="s">
        <v>486</v>
      </c>
      <c r="BB445" s="1">
        <v>2022</v>
      </c>
      <c r="BC445" s="1">
        <v>60</v>
      </c>
      <c r="BD445" s="1">
        <v>6</v>
      </c>
      <c r="BE445" s="1" t="s">
        <v>82</v>
      </c>
      <c r="BF445" s="1" t="s">
        <v>82</v>
      </c>
      <c r="BG445" s="1" t="s">
        <v>82</v>
      </c>
      <c r="BH445" s="1" t="s">
        <v>82</v>
      </c>
      <c r="BI445" s="1">
        <v>1319</v>
      </c>
      <c r="BJ445" s="1">
        <v>1330</v>
      </c>
      <c r="BK445" s="1" t="s">
        <v>82</v>
      </c>
      <c r="BL445" s="1" t="s">
        <v>8675</v>
      </c>
      <c r="BM445" s="1" t="str">
        <f>HYPERLINK("http://dx.doi.org/10.1111/jse.12756","http://dx.doi.org/10.1111/jse.12756")</f>
        <v>http://dx.doi.org/10.1111/jse.12756</v>
      </c>
      <c r="BN445" s="1" t="s">
        <v>82</v>
      </c>
      <c r="BO445" s="1" t="s">
        <v>1828</v>
      </c>
      <c r="BP445" s="1">
        <v>12</v>
      </c>
      <c r="BQ445" s="1" t="s">
        <v>378</v>
      </c>
      <c r="BR445" s="1" t="s">
        <v>104</v>
      </c>
      <c r="BS445" s="1" t="s">
        <v>378</v>
      </c>
      <c r="BT445" s="1" t="s">
        <v>8560</v>
      </c>
      <c r="BU445" s="1" t="s">
        <v>82</v>
      </c>
      <c r="BV445" s="1" t="s">
        <v>82</v>
      </c>
      <c r="BW445" s="1" t="s">
        <v>82</v>
      </c>
      <c r="BX445" s="1" t="s">
        <v>82</v>
      </c>
      <c r="BY445" s="1" t="s">
        <v>108</v>
      </c>
      <c r="BZ445" s="1" t="s">
        <v>8676</v>
      </c>
      <c r="CA445" s="1" t="str">
        <f>HYPERLINK("https%3A%2F%2Fwww.webofscience.com%2Fwos%2Fwoscc%2Ffull-record%2FWOS:000685415200001","View Full Record in Web of Science")</f>
        <v>View Full Record in Web of Science</v>
      </c>
    </row>
    <row r="446" s="1" customFormat="1" ht="14.4" spans="1:79">
      <c r="A446">
        <v>445</v>
      </c>
      <c r="B446" s="2" t="s">
        <v>79</v>
      </c>
      <c r="C446" s="1" t="s">
        <v>80</v>
      </c>
      <c r="D446" s="1" t="s">
        <v>8677</v>
      </c>
      <c r="E446" s="1" t="s">
        <v>82</v>
      </c>
      <c r="F446" s="1" t="s">
        <v>82</v>
      </c>
      <c r="G446" s="1" t="s">
        <v>82</v>
      </c>
      <c r="H446" s="1" t="s">
        <v>8678</v>
      </c>
      <c r="I446" s="1" t="s">
        <v>82</v>
      </c>
      <c r="J446" s="1" t="s">
        <v>82</v>
      </c>
      <c r="K446" s="1" t="s">
        <v>8679</v>
      </c>
      <c r="L446" s="1" t="s">
        <v>8505</v>
      </c>
      <c r="M446" s="1">
        <v>3.544</v>
      </c>
      <c r="O446" s="1" t="s">
        <v>82</v>
      </c>
      <c r="P446" s="1" t="s">
        <v>82</v>
      </c>
      <c r="Q446" s="1" t="s">
        <v>87</v>
      </c>
      <c r="R446" s="1" t="s">
        <v>115</v>
      </c>
      <c r="S446" s="1" t="s">
        <v>82</v>
      </c>
      <c r="T446" s="1" t="s">
        <v>82</v>
      </c>
      <c r="U446" s="1" t="s">
        <v>82</v>
      </c>
      <c r="V446" s="1" t="s">
        <v>82</v>
      </c>
      <c r="W446" s="1" t="s">
        <v>82</v>
      </c>
      <c r="X446" s="1" t="s">
        <v>8680</v>
      </c>
      <c r="Y446" s="1" t="s">
        <v>8681</v>
      </c>
      <c r="Z446" s="1" t="s">
        <v>8682</v>
      </c>
      <c r="AA446" s="1">
        <v>1</v>
      </c>
      <c r="AB446" s="1" t="s">
        <v>8683</v>
      </c>
      <c r="AC446" s="1" t="s">
        <v>8684</v>
      </c>
      <c r="AD446" s="1" t="s">
        <v>93</v>
      </c>
      <c r="AE446" s="1" t="s">
        <v>8685</v>
      </c>
      <c r="AF446" s="1" t="s">
        <v>8686</v>
      </c>
      <c r="AG446" s="1" t="s">
        <v>8687</v>
      </c>
      <c r="AH446" s="1" t="s">
        <v>8688</v>
      </c>
      <c r="AI446" s="1" t="s">
        <v>8689</v>
      </c>
      <c r="AJ446" s="1" t="s">
        <v>8690</v>
      </c>
      <c r="AK446" s="1" t="s">
        <v>8691</v>
      </c>
      <c r="AL446" s="1" t="s">
        <v>8692</v>
      </c>
      <c r="AM446" s="1" t="s">
        <v>82</v>
      </c>
      <c r="AN446" s="1">
        <v>66</v>
      </c>
      <c r="AO446" s="1">
        <v>2</v>
      </c>
      <c r="AP446" s="1">
        <v>2</v>
      </c>
      <c r="AQ446" s="1">
        <v>11</v>
      </c>
      <c r="AR446" s="1">
        <v>27</v>
      </c>
      <c r="AS446" s="1" t="s">
        <v>1002</v>
      </c>
      <c r="AT446" s="1" t="s">
        <v>1003</v>
      </c>
      <c r="AU446" s="1" t="s">
        <v>1004</v>
      </c>
      <c r="AV446" s="1" t="s">
        <v>8518</v>
      </c>
      <c r="AW446" s="1" t="s">
        <v>8519</v>
      </c>
      <c r="AX446" s="1" t="s">
        <v>82</v>
      </c>
      <c r="AY446" s="1" t="s">
        <v>8520</v>
      </c>
      <c r="AZ446" s="1" t="s">
        <v>8521</v>
      </c>
      <c r="BA446" s="1" t="s">
        <v>222</v>
      </c>
      <c r="BB446" s="1">
        <v>2022</v>
      </c>
      <c r="BC446" s="1">
        <v>60</v>
      </c>
      <c r="BD446" s="1">
        <v>5</v>
      </c>
      <c r="BE446" s="1" t="s">
        <v>82</v>
      </c>
      <c r="BF446" s="1" t="s">
        <v>82</v>
      </c>
      <c r="BG446" s="1" t="s">
        <v>82</v>
      </c>
      <c r="BH446" s="1" t="s">
        <v>82</v>
      </c>
      <c r="BI446" s="1">
        <v>1109</v>
      </c>
      <c r="BJ446" s="1">
        <v>1123</v>
      </c>
      <c r="BK446" s="1" t="s">
        <v>82</v>
      </c>
      <c r="BL446" s="1" t="s">
        <v>8693</v>
      </c>
      <c r="BM446" s="1" t="str">
        <f>HYPERLINK("http://dx.doi.org/10.1111/jse.12755","http://dx.doi.org/10.1111/jse.12755")</f>
        <v>http://dx.doi.org/10.1111/jse.12755</v>
      </c>
      <c r="BN446" s="1" t="s">
        <v>82</v>
      </c>
      <c r="BO446" s="1" t="s">
        <v>1828</v>
      </c>
      <c r="BP446" s="1">
        <v>15</v>
      </c>
      <c r="BQ446" s="1" t="s">
        <v>378</v>
      </c>
      <c r="BR446" s="1" t="s">
        <v>104</v>
      </c>
      <c r="BS446" s="1" t="s">
        <v>378</v>
      </c>
      <c r="BT446" s="1" t="s">
        <v>8641</v>
      </c>
      <c r="BU446" s="1" t="s">
        <v>82</v>
      </c>
      <c r="BV446" s="1" t="s">
        <v>353</v>
      </c>
      <c r="BW446" s="1" t="s">
        <v>82</v>
      </c>
      <c r="BX446" s="1" t="s">
        <v>82</v>
      </c>
      <c r="BY446" s="1" t="s">
        <v>108</v>
      </c>
      <c r="BZ446" s="1" t="s">
        <v>8694</v>
      </c>
      <c r="CA446" s="1" t="str">
        <f>HYPERLINK("https%3A%2F%2Fwww.webofscience.com%2Fwos%2Fwoscc%2Ffull-record%2FWOS:000681357000001","View Full Record in Web of Science")</f>
        <v>View Full Record in Web of Science</v>
      </c>
    </row>
    <row r="447" s="1" customFormat="1" ht="14.4" spans="1:79">
      <c r="A447">
        <v>446</v>
      </c>
      <c r="B447" s="2" t="s">
        <v>79</v>
      </c>
      <c r="C447" s="1" t="s">
        <v>80</v>
      </c>
      <c r="D447" s="1" t="s">
        <v>8695</v>
      </c>
      <c r="E447" s="1" t="s">
        <v>82</v>
      </c>
      <c r="F447" s="1" t="s">
        <v>82</v>
      </c>
      <c r="G447" s="1" t="s">
        <v>82</v>
      </c>
      <c r="H447" s="1" t="s">
        <v>8696</v>
      </c>
      <c r="I447" s="1" t="s">
        <v>82</v>
      </c>
      <c r="J447" s="1" t="s">
        <v>82</v>
      </c>
      <c r="K447" s="1" t="s">
        <v>8697</v>
      </c>
      <c r="L447" s="1" t="s">
        <v>8505</v>
      </c>
      <c r="M447" s="1">
        <v>3.544</v>
      </c>
      <c r="O447" s="1" t="s">
        <v>82</v>
      </c>
      <c r="P447" s="1" t="s">
        <v>82</v>
      </c>
      <c r="Q447" s="1" t="s">
        <v>87</v>
      </c>
      <c r="R447" s="1" t="s">
        <v>115</v>
      </c>
      <c r="S447" s="1" t="s">
        <v>82</v>
      </c>
      <c r="T447" s="1" t="s">
        <v>82</v>
      </c>
      <c r="U447" s="1" t="s">
        <v>82</v>
      </c>
      <c r="V447" s="1" t="s">
        <v>82</v>
      </c>
      <c r="W447" s="1" t="s">
        <v>82</v>
      </c>
      <c r="X447" s="1" t="s">
        <v>8698</v>
      </c>
      <c r="Y447" s="1" t="s">
        <v>8699</v>
      </c>
      <c r="Z447" s="1" t="s">
        <v>8700</v>
      </c>
      <c r="AA447" s="1">
        <v>1</v>
      </c>
      <c r="AB447" s="1" t="s">
        <v>8701</v>
      </c>
      <c r="AC447" s="1" t="s">
        <v>8702</v>
      </c>
      <c r="AD447" s="1" t="s">
        <v>93</v>
      </c>
      <c r="AE447" s="1" t="s">
        <v>8703</v>
      </c>
      <c r="AF447" s="1" t="s">
        <v>8704</v>
      </c>
      <c r="AG447" s="1" t="s">
        <v>8705</v>
      </c>
      <c r="AH447" s="1" t="s">
        <v>5281</v>
      </c>
      <c r="AI447" s="1" t="s">
        <v>8706</v>
      </c>
      <c r="AJ447" s="1" t="s">
        <v>8707</v>
      </c>
      <c r="AK447" s="1" t="s">
        <v>8708</v>
      </c>
      <c r="AL447" s="1" t="s">
        <v>8709</v>
      </c>
      <c r="AM447" s="1" t="s">
        <v>82</v>
      </c>
      <c r="AN447" s="1">
        <v>86</v>
      </c>
      <c r="AO447" s="1">
        <v>1</v>
      </c>
      <c r="AP447" s="1">
        <v>1</v>
      </c>
      <c r="AQ447" s="1">
        <v>5</v>
      </c>
      <c r="AR447" s="1">
        <v>20</v>
      </c>
      <c r="AS447" s="1" t="s">
        <v>1002</v>
      </c>
      <c r="AT447" s="1" t="s">
        <v>1003</v>
      </c>
      <c r="AU447" s="1" t="s">
        <v>1004</v>
      </c>
      <c r="AV447" s="1" t="s">
        <v>8518</v>
      </c>
      <c r="AW447" s="1" t="s">
        <v>8519</v>
      </c>
      <c r="AX447" s="1" t="s">
        <v>82</v>
      </c>
      <c r="AY447" s="1" t="s">
        <v>8520</v>
      </c>
      <c r="AZ447" s="1" t="s">
        <v>8521</v>
      </c>
      <c r="BA447" s="1" t="s">
        <v>222</v>
      </c>
      <c r="BB447" s="1">
        <v>2022</v>
      </c>
      <c r="BC447" s="1">
        <v>60</v>
      </c>
      <c r="BD447" s="1">
        <v>5</v>
      </c>
      <c r="BE447" s="1" t="s">
        <v>82</v>
      </c>
      <c r="BF447" s="1" t="s">
        <v>82</v>
      </c>
      <c r="BG447" s="1" t="s">
        <v>82</v>
      </c>
      <c r="BH447" s="1" t="s">
        <v>82</v>
      </c>
      <c r="BI447" s="1">
        <v>1078</v>
      </c>
      <c r="BJ447" s="1">
        <v>1091</v>
      </c>
      <c r="BK447" s="1" t="s">
        <v>82</v>
      </c>
      <c r="BL447" s="1" t="s">
        <v>8710</v>
      </c>
      <c r="BM447" s="1" t="str">
        <f>HYPERLINK("http://dx.doi.org/10.1111/jse.12753","http://dx.doi.org/10.1111/jse.12753")</f>
        <v>http://dx.doi.org/10.1111/jse.12753</v>
      </c>
      <c r="BN447" s="1" t="s">
        <v>82</v>
      </c>
      <c r="BO447" s="1" t="s">
        <v>8711</v>
      </c>
      <c r="BP447" s="1">
        <v>14</v>
      </c>
      <c r="BQ447" s="1" t="s">
        <v>378</v>
      </c>
      <c r="BR447" s="1" t="s">
        <v>104</v>
      </c>
      <c r="BS447" s="1" t="s">
        <v>378</v>
      </c>
      <c r="BT447" s="1" t="s">
        <v>8641</v>
      </c>
      <c r="BU447" s="1" t="s">
        <v>82</v>
      </c>
      <c r="BV447" s="1" t="s">
        <v>82</v>
      </c>
      <c r="BW447" s="1" t="s">
        <v>82</v>
      </c>
      <c r="BX447" s="1" t="s">
        <v>82</v>
      </c>
      <c r="BY447" s="1" t="s">
        <v>108</v>
      </c>
      <c r="BZ447" s="1" t="s">
        <v>8712</v>
      </c>
      <c r="CA447" s="1" t="str">
        <f>HYPERLINK("https%3A%2F%2Fwww.webofscience.com%2Fwos%2Fwoscc%2Ffull-record%2FWOS:000679049700001","View Full Record in Web of Science")</f>
        <v>View Full Record in Web of Science</v>
      </c>
    </row>
    <row r="448" s="1" customFormat="1" ht="14.4" spans="1:79">
      <c r="A448">
        <v>447</v>
      </c>
      <c r="B448" s="2" t="s">
        <v>79</v>
      </c>
      <c r="C448" s="1" t="s">
        <v>80</v>
      </c>
      <c r="D448" s="1" t="s">
        <v>8713</v>
      </c>
      <c r="E448" s="1" t="s">
        <v>82</v>
      </c>
      <c r="F448" s="1" t="s">
        <v>82</v>
      </c>
      <c r="G448" s="1" t="s">
        <v>82</v>
      </c>
      <c r="H448" s="1" t="s">
        <v>8714</v>
      </c>
      <c r="I448" s="1" t="s">
        <v>82</v>
      </c>
      <c r="J448" s="1" t="s">
        <v>82</v>
      </c>
      <c r="K448" s="1" t="s">
        <v>8715</v>
      </c>
      <c r="L448" s="1" t="s">
        <v>8505</v>
      </c>
      <c r="M448" s="1">
        <v>3.544</v>
      </c>
      <c r="O448" s="1" t="s">
        <v>82</v>
      </c>
      <c r="P448" s="1" t="s">
        <v>82</v>
      </c>
      <c r="Q448" s="1" t="s">
        <v>87</v>
      </c>
      <c r="R448" s="1" t="s">
        <v>115</v>
      </c>
      <c r="S448" s="1" t="s">
        <v>82</v>
      </c>
      <c r="T448" s="1" t="s">
        <v>82</v>
      </c>
      <c r="U448" s="1" t="s">
        <v>82</v>
      </c>
      <c r="V448" s="1" t="s">
        <v>82</v>
      </c>
      <c r="W448" s="1" t="s">
        <v>82</v>
      </c>
      <c r="X448" s="1" t="s">
        <v>8716</v>
      </c>
      <c r="Y448" s="1" t="s">
        <v>8717</v>
      </c>
      <c r="Z448" s="1" t="s">
        <v>8718</v>
      </c>
      <c r="AB448" s="1" t="s">
        <v>8719</v>
      </c>
      <c r="AC448" s="1" t="s">
        <v>8720</v>
      </c>
      <c r="AD448" s="1" t="s">
        <v>120</v>
      </c>
      <c r="AE448" s="1" t="s">
        <v>8721</v>
      </c>
      <c r="AF448" s="1" t="s">
        <v>8722</v>
      </c>
      <c r="AG448" s="1" t="s">
        <v>8723</v>
      </c>
      <c r="AH448" s="1" t="s">
        <v>8724</v>
      </c>
      <c r="AI448" s="1" t="s">
        <v>8725</v>
      </c>
      <c r="AJ448" s="1" t="s">
        <v>8726</v>
      </c>
      <c r="AK448" s="1" t="s">
        <v>8727</v>
      </c>
      <c r="AL448" s="1" t="s">
        <v>8728</v>
      </c>
      <c r="AM448" s="1" t="s">
        <v>82</v>
      </c>
      <c r="AN448" s="1">
        <v>122</v>
      </c>
      <c r="AO448" s="1">
        <v>4</v>
      </c>
      <c r="AP448" s="1">
        <v>4</v>
      </c>
      <c r="AQ448" s="1">
        <v>6</v>
      </c>
      <c r="AR448" s="1">
        <v>39</v>
      </c>
      <c r="AS448" s="1" t="s">
        <v>1002</v>
      </c>
      <c r="AT448" s="1" t="s">
        <v>1003</v>
      </c>
      <c r="AU448" s="1" t="s">
        <v>1004</v>
      </c>
      <c r="AV448" s="1" t="s">
        <v>8518</v>
      </c>
      <c r="AW448" s="1" t="s">
        <v>8519</v>
      </c>
      <c r="AX448" s="1" t="s">
        <v>82</v>
      </c>
      <c r="AY448" s="1" t="s">
        <v>8520</v>
      </c>
      <c r="AZ448" s="1" t="s">
        <v>8521</v>
      </c>
      <c r="BA448" s="1" t="s">
        <v>1403</v>
      </c>
      <c r="BB448" s="1">
        <v>2022</v>
      </c>
      <c r="BC448" s="1">
        <v>60</v>
      </c>
      <c r="BD448" s="1">
        <v>4</v>
      </c>
      <c r="BE448" s="1" t="s">
        <v>82</v>
      </c>
      <c r="BF448" s="1" t="s">
        <v>82</v>
      </c>
      <c r="BG448" s="1" t="s">
        <v>82</v>
      </c>
      <c r="BH448" s="1" t="s">
        <v>82</v>
      </c>
      <c r="BI448" s="1">
        <v>728</v>
      </c>
      <c r="BJ448" s="1">
        <v>746</v>
      </c>
      <c r="BK448" s="1" t="s">
        <v>82</v>
      </c>
      <c r="BL448" s="1" t="s">
        <v>8729</v>
      </c>
      <c r="BM448" s="1" t="str">
        <f>HYPERLINK("http://dx.doi.org/10.1111/jse.12720","http://dx.doi.org/10.1111/jse.12720")</f>
        <v>http://dx.doi.org/10.1111/jse.12720</v>
      </c>
      <c r="BN448" s="1" t="s">
        <v>82</v>
      </c>
      <c r="BO448" s="1" t="s">
        <v>8730</v>
      </c>
      <c r="BP448" s="1">
        <v>19</v>
      </c>
      <c r="BQ448" s="1" t="s">
        <v>378</v>
      </c>
      <c r="BR448" s="1" t="s">
        <v>104</v>
      </c>
      <c r="BS448" s="1" t="s">
        <v>378</v>
      </c>
      <c r="BT448" s="1" t="s">
        <v>8731</v>
      </c>
      <c r="BU448" s="1" t="s">
        <v>82</v>
      </c>
      <c r="BV448" s="1" t="s">
        <v>268</v>
      </c>
      <c r="BW448" s="1" t="s">
        <v>82</v>
      </c>
      <c r="BX448" s="1" t="s">
        <v>82</v>
      </c>
      <c r="BY448" s="1" t="s">
        <v>108</v>
      </c>
      <c r="BZ448" s="1" t="s">
        <v>8732</v>
      </c>
      <c r="CA448" s="1" t="str">
        <f>HYPERLINK("https%3A%2F%2Fwww.webofscience.com%2Fwos%2Fwoscc%2Ffull-record%2FWOS:000637862200001","View Full Record in Web of Science")</f>
        <v>View Full Record in Web of Science</v>
      </c>
    </row>
    <row r="449" s="1" customFormat="1" ht="14.4" spans="1:79">
      <c r="A449">
        <v>448</v>
      </c>
      <c r="B449" s="2" t="s">
        <v>79</v>
      </c>
      <c r="C449" s="1" t="s">
        <v>80</v>
      </c>
      <c r="D449" s="1" t="s">
        <v>8733</v>
      </c>
      <c r="E449" s="1" t="s">
        <v>82</v>
      </c>
      <c r="F449" s="1" t="s">
        <v>82</v>
      </c>
      <c r="G449" s="1" t="s">
        <v>82</v>
      </c>
      <c r="H449" s="1" t="s">
        <v>8734</v>
      </c>
      <c r="I449" s="1" t="s">
        <v>82</v>
      </c>
      <c r="J449" s="1" t="s">
        <v>82</v>
      </c>
      <c r="K449" s="1" t="s">
        <v>8735</v>
      </c>
      <c r="L449" s="1" t="s">
        <v>8505</v>
      </c>
      <c r="M449" s="1">
        <v>3.544</v>
      </c>
      <c r="O449" s="1" t="s">
        <v>82</v>
      </c>
      <c r="P449" s="1" t="s">
        <v>82</v>
      </c>
      <c r="Q449" s="1" t="s">
        <v>87</v>
      </c>
      <c r="R449" s="1" t="s">
        <v>115</v>
      </c>
      <c r="S449" s="1" t="s">
        <v>82</v>
      </c>
      <c r="T449" s="1" t="s">
        <v>82</v>
      </c>
      <c r="U449" s="1" t="s">
        <v>82</v>
      </c>
      <c r="V449" s="1" t="s">
        <v>82</v>
      </c>
      <c r="W449" s="1" t="s">
        <v>82</v>
      </c>
      <c r="X449" s="1" t="s">
        <v>8736</v>
      </c>
      <c r="Y449" s="1" t="s">
        <v>8737</v>
      </c>
      <c r="Z449" s="1" t="s">
        <v>8738</v>
      </c>
      <c r="AB449" s="1" t="s">
        <v>8549</v>
      </c>
      <c r="AC449" s="1" t="s">
        <v>8739</v>
      </c>
      <c r="AD449" s="1" t="s">
        <v>120</v>
      </c>
      <c r="AE449" s="1" t="s">
        <v>8740</v>
      </c>
      <c r="AF449" s="1" t="s">
        <v>8741</v>
      </c>
      <c r="AG449" s="1" t="s">
        <v>8742</v>
      </c>
      <c r="AH449" s="1" t="s">
        <v>8743</v>
      </c>
      <c r="AI449" s="1" t="s">
        <v>8744</v>
      </c>
      <c r="AJ449" s="1" t="s">
        <v>8745</v>
      </c>
      <c r="AK449" s="1" t="s">
        <v>8746</v>
      </c>
      <c r="AL449" s="1" t="s">
        <v>8747</v>
      </c>
      <c r="AM449" s="1" t="s">
        <v>82</v>
      </c>
      <c r="AN449" s="1">
        <v>72</v>
      </c>
      <c r="AO449" s="1">
        <v>1</v>
      </c>
      <c r="AP449" s="1">
        <v>1</v>
      </c>
      <c r="AQ449" s="1">
        <v>2</v>
      </c>
      <c r="AR449" s="1">
        <v>9</v>
      </c>
      <c r="AS449" s="1" t="s">
        <v>1002</v>
      </c>
      <c r="AT449" s="1" t="s">
        <v>1003</v>
      </c>
      <c r="AU449" s="1" t="s">
        <v>1004</v>
      </c>
      <c r="AV449" s="1" t="s">
        <v>8518</v>
      </c>
      <c r="AW449" s="1" t="s">
        <v>8519</v>
      </c>
      <c r="AX449" s="1" t="s">
        <v>82</v>
      </c>
      <c r="AY449" s="1" t="s">
        <v>8520</v>
      </c>
      <c r="AZ449" s="1" t="s">
        <v>8521</v>
      </c>
      <c r="BA449" s="1" t="s">
        <v>2145</v>
      </c>
      <c r="BB449" s="1">
        <v>2022</v>
      </c>
      <c r="BC449" s="1">
        <v>60</v>
      </c>
      <c r="BD449" s="1">
        <v>2</v>
      </c>
      <c r="BE449" s="1" t="s">
        <v>82</v>
      </c>
      <c r="BF449" s="1" t="s">
        <v>82</v>
      </c>
      <c r="BG449" s="1" t="s">
        <v>82</v>
      </c>
      <c r="BH449" s="1" t="s">
        <v>82</v>
      </c>
      <c r="BI449" s="1">
        <v>445</v>
      </c>
      <c r="BJ449" s="1">
        <v>455</v>
      </c>
      <c r="BK449" s="1" t="s">
        <v>82</v>
      </c>
      <c r="BL449" s="1" t="s">
        <v>8748</v>
      </c>
      <c r="BM449" s="1" t="str">
        <f>HYPERLINK("http://dx.doi.org/10.1111/jse.12700","http://dx.doi.org/10.1111/jse.12700")</f>
        <v>http://dx.doi.org/10.1111/jse.12700</v>
      </c>
      <c r="BN449" s="1" t="s">
        <v>82</v>
      </c>
      <c r="BO449" s="1" t="s">
        <v>8749</v>
      </c>
      <c r="BP449" s="1">
        <v>11</v>
      </c>
      <c r="BQ449" s="1" t="s">
        <v>378</v>
      </c>
      <c r="BR449" s="1" t="s">
        <v>104</v>
      </c>
      <c r="BS449" s="1" t="s">
        <v>378</v>
      </c>
      <c r="BT449" s="1" t="s">
        <v>8750</v>
      </c>
      <c r="BU449" s="1" t="s">
        <v>82</v>
      </c>
      <c r="BV449" s="1" t="s">
        <v>82</v>
      </c>
      <c r="BW449" s="1" t="s">
        <v>82</v>
      </c>
      <c r="BX449" s="1" t="s">
        <v>82</v>
      </c>
      <c r="BY449" s="1" t="s">
        <v>108</v>
      </c>
      <c r="BZ449" s="1" t="s">
        <v>8751</v>
      </c>
      <c r="CA449" s="1" t="str">
        <f>HYPERLINK("https%3A%2F%2Fwww.webofscience.com%2Fwos%2Fwoscc%2Ffull-record%2FWOS:000617309000001","View Full Record in Web of Science")</f>
        <v>View Full Record in Web of Science</v>
      </c>
    </row>
    <row r="450" s="1" customFormat="1" ht="14.4" spans="1:79">
      <c r="A450">
        <v>449</v>
      </c>
      <c r="B450" s="2" t="s">
        <v>79</v>
      </c>
      <c r="C450" s="1" t="s">
        <v>80</v>
      </c>
      <c r="D450" s="1" t="s">
        <v>8752</v>
      </c>
      <c r="E450" s="1" t="s">
        <v>82</v>
      </c>
      <c r="F450" s="1" t="s">
        <v>82</v>
      </c>
      <c r="G450" s="1" t="s">
        <v>82</v>
      </c>
      <c r="H450" s="1" t="s">
        <v>8753</v>
      </c>
      <c r="I450" s="1" t="s">
        <v>82</v>
      </c>
      <c r="J450" s="1" t="s">
        <v>82</v>
      </c>
      <c r="K450" s="1" t="s">
        <v>8754</v>
      </c>
      <c r="L450" s="1" t="s">
        <v>8505</v>
      </c>
      <c r="M450" s="1">
        <v>3.544</v>
      </c>
      <c r="O450" s="1" t="s">
        <v>82</v>
      </c>
      <c r="P450" s="1" t="s">
        <v>82</v>
      </c>
      <c r="Q450" s="1" t="s">
        <v>87</v>
      </c>
      <c r="R450" s="1" t="s">
        <v>115</v>
      </c>
      <c r="S450" s="1" t="s">
        <v>82</v>
      </c>
      <c r="T450" s="1" t="s">
        <v>82</v>
      </c>
      <c r="U450" s="1" t="s">
        <v>82</v>
      </c>
      <c r="V450" s="1" t="s">
        <v>82</v>
      </c>
      <c r="W450" s="1" t="s">
        <v>82</v>
      </c>
      <c r="X450" s="1" t="s">
        <v>8755</v>
      </c>
      <c r="Y450" s="1" t="s">
        <v>8756</v>
      </c>
      <c r="Z450" s="1" t="s">
        <v>8757</v>
      </c>
      <c r="AB450" s="1" t="s">
        <v>8758</v>
      </c>
      <c r="AC450" s="1" t="s">
        <v>8759</v>
      </c>
      <c r="AD450" s="1" t="s">
        <v>120</v>
      </c>
      <c r="AE450" s="1" t="s">
        <v>8760</v>
      </c>
      <c r="AF450" s="1" t="s">
        <v>8761</v>
      </c>
      <c r="AG450" s="1" t="s">
        <v>8762</v>
      </c>
      <c r="AH450" s="1" t="s">
        <v>8763</v>
      </c>
      <c r="AI450" s="1" t="s">
        <v>8764</v>
      </c>
      <c r="AJ450" s="1" t="s">
        <v>8765</v>
      </c>
      <c r="AK450" s="1" t="s">
        <v>8766</v>
      </c>
      <c r="AL450" s="1" t="s">
        <v>8767</v>
      </c>
      <c r="AM450" s="1" t="s">
        <v>82</v>
      </c>
      <c r="AN450" s="1">
        <v>104</v>
      </c>
      <c r="AO450" s="1">
        <v>4</v>
      </c>
      <c r="AP450" s="1">
        <v>4</v>
      </c>
      <c r="AQ450" s="1">
        <v>12</v>
      </c>
      <c r="AR450" s="1">
        <v>59</v>
      </c>
      <c r="AS450" s="1" t="s">
        <v>1002</v>
      </c>
      <c r="AT450" s="1" t="s">
        <v>1003</v>
      </c>
      <c r="AU450" s="1" t="s">
        <v>1004</v>
      </c>
      <c r="AV450" s="1" t="s">
        <v>8518</v>
      </c>
      <c r="AW450" s="1" t="s">
        <v>8519</v>
      </c>
      <c r="AX450" s="1" t="s">
        <v>82</v>
      </c>
      <c r="AY450" s="1" t="s">
        <v>8520</v>
      </c>
      <c r="AZ450" s="1" t="s">
        <v>8521</v>
      </c>
      <c r="BA450" s="1" t="s">
        <v>1403</v>
      </c>
      <c r="BB450" s="1">
        <v>2022</v>
      </c>
      <c r="BC450" s="1">
        <v>60</v>
      </c>
      <c r="BD450" s="1">
        <v>4</v>
      </c>
      <c r="BE450" s="1" t="s">
        <v>82</v>
      </c>
      <c r="BF450" s="1" t="s">
        <v>82</v>
      </c>
      <c r="BG450" s="1" t="s">
        <v>82</v>
      </c>
      <c r="BH450" s="1" t="s">
        <v>82</v>
      </c>
      <c r="BI450" s="1">
        <v>759</v>
      </c>
      <c r="BJ450" s="1">
        <v>772</v>
      </c>
      <c r="BK450" s="1" t="s">
        <v>82</v>
      </c>
      <c r="BL450" s="1" t="s">
        <v>8768</v>
      </c>
      <c r="BM450" s="1" t="str">
        <f>HYPERLINK("http://dx.doi.org/10.1111/jse.12695","http://dx.doi.org/10.1111/jse.12695")</f>
        <v>http://dx.doi.org/10.1111/jse.12695</v>
      </c>
      <c r="BN450" s="1" t="s">
        <v>82</v>
      </c>
      <c r="BO450" s="1" t="s">
        <v>8769</v>
      </c>
      <c r="BP450" s="1">
        <v>14</v>
      </c>
      <c r="BQ450" s="1" t="s">
        <v>378</v>
      </c>
      <c r="BR450" s="1" t="s">
        <v>104</v>
      </c>
      <c r="BS450" s="1" t="s">
        <v>378</v>
      </c>
      <c r="BT450" s="1" t="s">
        <v>8731</v>
      </c>
      <c r="BU450" s="1" t="s">
        <v>82</v>
      </c>
      <c r="BV450" s="1" t="s">
        <v>82</v>
      </c>
      <c r="BW450" s="1" t="s">
        <v>82</v>
      </c>
      <c r="BX450" s="1" t="s">
        <v>82</v>
      </c>
      <c r="BY450" s="1" t="s">
        <v>108</v>
      </c>
      <c r="BZ450" s="1" t="s">
        <v>8770</v>
      </c>
      <c r="CA450" s="1" t="str">
        <f>HYPERLINK("https%3A%2F%2Fwww.webofscience.com%2Fwos%2Fwoscc%2Ffull-record%2FWOS:000609902200001","View Full Record in Web of Science")</f>
        <v>View Full Record in Web of Science</v>
      </c>
    </row>
    <row r="451" s="1" customFormat="1" ht="14.4" spans="1:79">
      <c r="A451">
        <v>450</v>
      </c>
      <c r="B451" s="2" t="s">
        <v>79</v>
      </c>
      <c r="C451" s="1" t="s">
        <v>80</v>
      </c>
      <c r="D451" s="1" t="s">
        <v>8771</v>
      </c>
      <c r="E451" s="1" t="s">
        <v>82</v>
      </c>
      <c r="F451" s="1" t="s">
        <v>82</v>
      </c>
      <c r="G451" s="1" t="s">
        <v>82</v>
      </c>
      <c r="H451" s="1" t="s">
        <v>8772</v>
      </c>
      <c r="I451" s="1" t="s">
        <v>82</v>
      </c>
      <c r="J451" s="1" t="s">
        <v>82</v>
      </c>
      <c r="K451" s="1" t="s">
        <v>8773</v>
      </c>
      <c r="L451" s="1" t="s">
        <v>8505</v>
      </c>
      <c r="M451" s="1">
        <v>3.544</v>
      </c>
      <c r="O451" s="1" t="s">
        <v>82</v>
      </c>
      <c r="P451" s="1" t="s">
        <v>82</v>
      </c>
      <c r="Q451" s="1" t="s">
        <v>87</v>
      </c>
      <c r="R451" s="1" t="s">
        <v>115</v>
      </c>
      <c r="S451" s="1" t="s">
        <v>82</v>
      </c>
      <c r="T451" s="1" t="s">
        <v>82</v>
      </c>
      <c r="U451" s="1" t="s">
        <v>82</v>
      </c>
      <c r="V451" s="1" t="s">
        <v>82</v>
      </c>
      <c r="W451" s="1" t="s">
        <v>82</v>
      </c>
      <c r="X451" s="1" t="s">
        <v>8774</v>
      </c>
      <c r="Y451" s="1" t="s">
        <v>82</v>
      </c>
      <c r="Z451" s="1" t="s">
        <v>8775</v>
      </c>
      <c r="AB451" s="1" t="s">
        <v>8776</v>
      </c>
      <c r="AC451" s="1" t="s">
        <v>8777</v>
      </c>
      <c r="AD451" s="1" t="s">
        <v>120</v>
      </c>
      <c r="AE451" s="1" t="s">
        <v>8778</v>
      </c>
      <c r="AF451" s="1" t="s">
        <v>8779</v>
      </c>
      <c r="AG451" s="1" t="s">
        <v>8780</v>
      </c>
      <c r="AH451" s="1" t="s">
        <v>8781</v>
      </c>
      <c r="AI451" s="1" t="s">
        <v>8782</v>
      </c>
      <c r="AJ451" s="1" t="s">
        <v>8783</v>
      </c>
      <c r="AK451" s="1" t="s">
        <v>8766</v>
      </c>
      <c r="AL451" s="1" t="s">
        <v>8784</v>
      </c>
      <c r="AM451" s="1" t="s">
        <v>82</v>
      </c>
      <c r="AN451" s="1">
        <v>35</v>
      </c>
      <c r="AO451" s="1">
        <v>0</v>
      </c>
      <c r="AP451" s="1">
        <v>0</v>
      </c>
      <c r="AQ451" s="1">
        <v>1</v>
      </c>
      <c r="AR451" s="1">
        <v>15</v>
      </c>
      <c r="AS451" s="1" t="s">
        <v>1002</v>
      </c>
      <c r="AT451" s="1" t="s">
        <v>1003</v>
      </c>
      <c r="AU451" s="1" t="s">
        <v>1004</v>
      </c>
      <c r="AV451" s="1" t="s">
        <v>8518</v>
      </c>
      <c r="AW451" s="1" t="s">
        <v>8519</v>
      </c>
      <c r="AX451" s="1" t="s">
        <v>82</v>
      </c>
      <c r="AY451" s="1" t="s">
        <v>8520</v>
      </c>
      <c r="AZ451" s="1" t="s">
        <v>8521</v>
      </c>
      <c r="BA451" s="1" t="s">
        <v>2145</v>
      </c>
      <c r="BB451" s="1">
        <v>2022</v>
      </c>
      <c r="BC451" s="1">
        <v>60</v>
      </c>
      <c r="BD451" s="1">
        <v>2</v>
      </c>
      <c r="BE451" s="1" t="s">
        <v>82</v>
      </c>
      <c r="BF451" s="1" t="s">
        <v>82</v>
      </c>
      <c r="BG451" s="1" t="s">
        <v>82</v>
      </c>
      <c r="BH451" s="1" t="s">
        <v>82</v>
      </c>
      <c r="BI451" s="1">
        <v>433</v>
      </c>
      <c r="BJ451" s="1">
        <v>444</v>
      </c>
      <c r="BK451" s="1" t="s">
        <v>82</v>
      </c>
      <c r="BL451" s="1" t="s">
        <v>8785</v>
      </c>
      <c r="BM451" s="1" t="str">
        <f>HYPERLINK("http://dx.doi.org/10.1111/jse.12679","http://dx.doi.org/10.1111/jse.12679")</f>
        <v>http://dx.doi.org/10.1111/jse.12679</v>
      </c>
      <c r="BN451" s="1" t="s">
        <v>82</v>
      </c>
      <c r="BO451" s="1" t="s">
        <v>6106</v>
      </c>
      <c r="BP451" s="1">
        <v>12</v>
      </c>
      <c r="BQ451" s="1" t="s">
        <v>378</v>
      </c>
      <c r="BR451" s="1" t="s">
        <v>104</v>
      </c>
      <c r="BS451" s="1" t="s">
        <v>378</v>
      </c>
      <c r="BT451" s="1" t="s">
        <v>8750</v>
      </c>
      <c r="BU451" s="1" t="s">
        <v>82</v>
      </c>
      <c r="BV451" s="1" t="s">
        <v>427</v>
      </c>
      <c r="BW451" s="1" t="s">
        <v>82</v>
      </c>
      <c r="BX451" s="1" t="s">
        <v>82</v>
      </c>
      <c r="BY451" s="1" t="s">
        <v>108</v>
      </c>
      <c r="BZ451" s="1" t="s">
        <v>8786</v>
      </c>
      <c r="CA451" s="1" t="str">
        <f>HYPERLINK("https%3A%2F%2Fwww.webofscience.com%2Fwos%2Fwoscc%2Ffull-record%2FWOS:000585787400001","View Full Record in Web of Science")</f>
        <v>View Full Record in Web of Science</v>
      </c>
    </row>
    <row r="452" s="1" customFormat="1" ht="14.4" spans="1:79">
      <c r="A452">
        <v>451</v>
      </c>
      <c r="B452" s="2" t="s">
        <v>110</v>
      </c>
      <c r="C452" s="1" t="s">
        <v>80</v>
      </c>
      <c r="D452" s="1" t="s">
        <v>8787</v>
      </c>
      <c r="E452" s="1" t="s">
        <v>82</v>
      </c>
      <c r="F452" s="1" t="s">
        <v>82</v>
      </c>
      <c r="G452" s="1" t="s">
        <v>82</v>
      </c>
      <c r="H452" s="1" t="s">
        <v>8788</v>
      </c>
      <c r="I452" s="1" t="s">
        <v>82</v>
      </c>
      <c r="J452" s="1" t="s">
        <v>82</v>
      </c>
      <c r="K452" s="1" t="s">
        <v>8789</v>
      </c>
      <c r="L452" s="1" t="s">
        <v>8505</v>
      </c>
      <c r="M452" s="1">
        <v>3.544</v>
      </c>
      <c r="O452" s="1" t="s">
        <v>82</v>
      </c>
      <c r="P452" s="1" t="s">
        <v>82</v>
      </c>
      <c r="Q452" s="1" t="s">
        <v>87</v>
      </c>
      <c r="R452" s="1" t="s">
        <v>115</v>
      </c>
      <c r="S452" s="1" t="s">
        <v>82</v>
      </c>
      <c r="T452" s="1" t="s">
        <v>82</v>
      </c>
      <c r="U452" s="1" t="s">
        <v>82</v>
      </c>
      <c r="V452" s="1" t="s">
        <v>82</v>
      </c>
      <c r="W452" s="1" t="s">
        <v>82</v>
      </c>
      <c r="X452" s="1" t="s">
        <v>8790</v>
      </c>
      <c r="Y452" s="1" t="s">
        <v>8791</v>
      </c>
      <c r="Z452" s="1" t="s">
        <v>8792</v>
      </c>
      <c r="AA452" s="1">
        <v>1</v>
      </c>
      <c r="AB452" s="1" t="s">
        <v>5255</v>
      </c>
      <c r="AC452" s="1" t="s">
        <v>8793</v>
      </c>
      <c r="AD452" s="1" t="s">
        <v>93</v>
      </c>
      <c r="AE452" s="1" t="s">
        <v>8794</v>
      </c>
      <c r="AF452" s="1" t="s">
        <v>8795</v>
      </c>
      <c r="AG452" s="1" t="s">
        <v>8796</v>
      </c>
      <c r="AH452" s="1" t="s">
        <v>8797</v>
      </c>
      <c r="AI452" s="1" t="s">
        <v>8798</v>
      </c>
      <c r="AJ452" s="1" t="s">
        <v>8799</v>
      </c>
      <c r="AK452" s="1" t="s">
        <v>8800</v>
      </c>
      <c r="AL452" s="1" t="s">
        <v>8801</v>
      </c>
      <c r="AM452" s="1" t="s">
        <v>82</v>
      </c>
      <c r="AN452" s="1">
        <v>75</v>
      </c>
      <c r="AO452" s="1">
        <v>1</v>
      </c>
      <c r="AP452" s="1">
        <v>1</v>
      </c>
      <c r="AQ452" s="1">
        <v>8</v>
      </c>
      <c r="AR452" s="1">
        <v>43</v>
      </c>
      <c r="AS452" s="1" t="s">
        <v>1002</v>
      </c>
      <c r="AT452" s="1" t="s">
        <v>1003</v>
      </c>
      <c r="AU452" s="1" t="s">
        <v>1004</v>
      </c>
      <c r="AV452" s="1" t="s">
        <v>8518</v>
      </c>
      <c r="AW452" s="1" t="s">
        <v>8519</v>
      </c>
      <c r="AX452" s="1" t="s">
        <v>82</v>
      </c>
      <c r="AY452" s="1" t="s">
        <v>8520</v>
      </c>
      <c r="AZ452" s="1" t="s">
        <v>8521</v>
      </c>
      <c r="BA452" s="1" t="s">
        <v>2145</v>
      </c>
      <c r="BB452" s="1">
        <v>2022</v>
      </c>
      <c r="BC452" s="1">
        <v>60</v>
      </c>
      <c r="BD452" s="1">
        <v>2</v>
      </c>
      <c r="BE452" s="1" t="s">
        <v>82</v>
      </c>
      <c r="BF452" s="1" t="s">
        <v>82</v>
      </c>
      <c r="BG452" s="1" t="s">
        <v>82</v>
      </c>
      <c r="BH452" s="1" t="s">
        <v>82</v>
      </c>
      <c r="BI452" s="1">
        <v>377</v>
      </c>
      <c r="BJ452" s="1">
        <v>385</v>
      </c>
      <c r="BK452" s="1" t="s">
        <v>82</v>
      </c>
      <c r="BL452" s="1" t="s">
        <v>8802</v>
      </c>
      <c r="BM452" s="1" t="str">
        <f>HYPERLINK("http://dx.doi.org/10.1111/jse.12657","http://dx.doi.org/10.1111/jse.12657")</f>
        <v>http://dx.doi.org/10.1111/jse.12657</v>
      </c>
      <c r="BN452" s="1" t="s">
        <v>82</v>
      </c>
      <c r="BO452" s="1" t="s">
        <v>8803</v>
      </c>
      <c r="BP452" s="1">
        <v>9</v>
      </c>
      <c r="BQ452" s="1" t="s">
        <v>378</v>
      </c>
      <c r="BR452" s="1" t="s">
        <v>104</v>
      </c>
      <c r="BS452" s="1" t="s">
        <v>378</v>
      </c>
      <c r="BT452" s="1" t="s">
        <v>8750</v>
      </c>
      <c r="BU452" s="1" t="s">
        <v>82</v>
      </c>
      <c r="BV452" s="1" t="s">
        <v>82</v>
      </c>
      <c r="BW452" s="1" t="s">
        <v>82</v>
      </c>
      <c r="BX452" s="1" t="s">
        <v>82</v>
      </c>
      <c r="BY452" s="1" t="s">
        <v>108</v>
      </c>
      <c r="BZ452" s="1" t="s">
        <v>8804</v>
      </c>
      <c r="CA452" s="1" t="str">
        <f>HYPERLINK("https%3A%2F%2Fwww.webofscience.com%2Fwos%2Fwoscc%2Ffull-record%2FWOS:000559462000001","View Full Record in Web of Science")</f>
        <v>View Full Record in Web of Science</v>
      </c>
    </row>
    <row r="453" s="1" customFormat="1" ht="14.4" spans="1:79">
      <c r="A453">
        <v>452</v>
      </c>
      <c r="B453" s="2" t="s">
        <v>79</v>
      </c>
      <c r="C453" s="1" t="s">
        <v>80</v>
      </c>
      <c r="D453" s="1" t="s">
        <v>8805</v>
      </c>
      <c r="E453" s="1" t="s">
        <v>82</v>
      </c>
      <c r="F453" s="1" t="s">
        <v>82</v>
      </c>
      <c r="G453" s="1" t="s">
        <v>82</v>
      </c>
      <c r="H453" s="1" t="s">
        <v>8806</v>
      </c>
      <c r="I453" s="1" t="s">
        <v>82</v>
      </c>
      <c r="J453" s="1" t="s">
        <v>82</v>
      </c>
      <c r="K453" s="1" t="s">
        <v>8807</v>
      </c>
      <c r="L453" s="1" t="s">
        <v>8505</v>
      </c>
      <c r="M453" s="1">
        <v>3.544</v>
      </c>
      <c r="O453" s="1" t="s">
        <v>82</v>
      </c>
      <c r="P453" s="1" t="s">
        <v>82</v>
      </c>
      <c r="Q453" s="1" t="s">
        <v>87</v>
      </c>
      <c r="R453" s="1" t="s">
        <v>115</v>
      </c>
      <c r="S453" s="1" t="s">
        <v>82</v>
      </c>
      <c r="T453" s="1" t="s">
        <v>82</v>
      </c>
      <c r="U453" s="1" t="s">
        <v>82</v>
      </c>
      <c r="V453" s="1" t="s">
        <v>82</v>
      </c>
      <c r="W453" s="1" t="s">
        <v>82</v>
      </c>
      <c r="X453" s="1" t="s">
        <v>8808</v>
      </c>
      <c r="Y453" s="1" t="s">
        <v>8809</v>
      </c>
      <c r="Z453" s="1" t="s">
        <v>8810</v>
      </c>
      <c r="AB453" s="1" t="s">
        <v>8811</v>
      </c>
      <c r="AC453" s="1" t="s">
        <v>8812</v>
      </c>
      <c r="AD453" s="1" t="s">
        <v>120</v>
      </c>
      <c r="AE453" s="1" t="s">
        <v>8813</v>
      </c>
      <c r="AF453" s="1" t="s">
        <v>8814</v>
      </c>
      <c r="AG453" s="1" t="s">
        <v>8815</v>
      </c>
      <c r="AH453" s="1" t="s">
        <v>8816</v>
      </c>
      <c r="AI453" s="1" t="s">
        <v>8817</v>
      </c>
      <c r="AJ453" s="1" t="s">
        <v>8818</v>
      </c>
      <c r="AK453" s="1" t="s">
        <v>8819</v>
      </c>
      <c r="AL453" s="1" t="s">
        <v>8820</v>
      </c>
      <c r="AM453" s="1" t="s">
        <v>82</v>
      </c>
      <c r="AN453" s="1">
        <v>74</v>
      </c>
      <c r="AO453" s="1">
        <v>9</v>
      </c>
      <c r="AP453" s="1">
        <v>12</v>
      </c>
      <c r="AQ453" s="1">
        <v>5</v>
      </c>
      <c r="AR453" s="1">
        <v>17</v>
      </c>
      <c r="AS453" s="1" t="s">
        <v>1002</v>
      </c>
      <c r="AT453" s="1" t="s">
        <v>1003</v>
      </c>
      <c r="AU453" s="1" t="s">
        <v>1004</v>
      </c>
      <c r="AV453" s="1" t="s">
        <v>8518</v>
      </c>
      <c r="AW453" s="1" t="s">
        <v>8519</v>
      </c>
      <c r="AX453" s="1" t="s">
        <v>82</v>
      </c>
      <c r="AY453" s="1" t="s">
        <v>8520</v>
      </c>
      <c r="AZ453" s="1" t="s">
        <v>8521</v>
      </c>
      <c r="BA453" s="1" t="s">
        <v>1826</v>
      </c>
      <c r="BB453" s="1">
        <v>2022</v>
      </c>
      <c r="BC453" s="1">
        <v>60</v>
      </c>
      <c r="BD453" s="1">
        <v>1</v>
      </c>
      <c r="BE453" s="1" t="s">
        <v>82</v>
      </c>
      <c r="BF453" s="1" t="s">
        <v>82</v>
      </c>
      <c r="BG453" s="1" t="s">
        <v>82</v>
      </c>
      <c r="BH453" s="1" t="s">
        <v>82</v>
      </c>
      <c r="BI453" s="1">
        <v>23</v>
      </c>
      <c r="BJ453" s="1">
        <v>42</v>
      </c>
      <c r="BK453" s="1" t="s">
        <v>82</v>
      </c>
      <c r="BL453" s="1" t="s">
        <v>8821</v>
      </c>
      <c r="BM453" s="1" t="str">
        <f>HYPERLINK("http://dx.doi.org/10.1111/jse.12643","http://dx.doi.org/10.1111/jse.12643")</f>
        <v>http://dx.doi.org/10.1111/jse.12643</v>
      </c>
      <c r="BN453" s="1" t="s">
        <v>82</v>
      </c>
      <c r="BO453" s="1" t="s">
        <v>8822</v>
      </c>
      <c r="BP453" s="1">
        <v>20</v>
      </c>
      <c r="BQ453" s="1" t="s">
        <v>378</v>
      </c>
      <c r="BR453" s="1" t="s">
        <v>104</v>
      </c>
      <c r="BS453" s="1" t="s">
        <v>378</v>
      </c>
      <c r="BT453" s="1" t="s">
        <v>8823</v>
      </c>
      <c r="BU453" s="1" t="s">
        <v>82</v>
      </c>
      <c r="BV453" s="1" t="s">
        <v>82</v>
      </c>
      <c r="BW453" s="1" t="s">
        <v>82</v>
      </c>
      <c r="BX453" s="1" t="s">
        <v>82</v>
      </c>
      <c r="BY453" s="1" t="s">
        <v>108</v>
      </c>
      <c r="BZ453" s="1" t="s">
        <v>8824</v>
      </c>
      <c r="CA453" s="1" t="str">
        <f>HYPERLINK("https%3A%2F%2Fwww.webofscience.com%2Fwos%2Fwoscc%2Ffull-record%2FWOS:000553468400001","View Full Record in Web of Science")</f>
        <v>View Full Record in Web of Science</v>
      </c>
    </row>
    <row r="454" s="1" customFormat="1" ht="14.4" spans="1:79">
      <c r="A454">
        <v>453</v>
      </c>
      <c r="B454" s="2" t="s">
        <v>79</v>
      </c>
      <c r="C454" s="1" t="s">
        <v>80</v>
      </c>
      <c r="D454" s="1" t="s">
        <v>8825</v>
      </c>
      <c r="E454" s="1" t="s">
        <v>82</v>
      </c>
      <c r="F454" s="1" t="s">
        <v>82</v>
      </c>
      <c r="G454" s="1" t="s">
        <v>82</v>
      </c>
      <c r="H454" s="1" t="s">
        <v>8826</v>
      </c>
      <c r="I454" s="1" t="s">
        <v>82</v>
      </c>
      <c r="J454" s="1" t="s">
        <v>82</v>
      </c>
      <c r="K454" s="1" t="s">
        <v>8827</v>
      </c>
      <c r="L454" s="1" t="s">
        <v>8505</v>
      </c>
      <c r="M454" s="1">
        <v>3.544</v>
      </c>
      <c r="O454" s="1" t="s">
        <v>82</v>
      </c>
      <c r="P454" s="1" t="s">
        <v>82</v>
      </c>
      <c r="Q454" s="1" t="s">
        <v>87</v>
      </c>
      <c r="R454" s="1" t="s">
        <v>115</v>
      </c>
      <c r="S454" s="1" t="s">
        <v>82</v>
      </c>
      <c r="T454" s="1" t="s">
        <v>82</v>
      </c>
      <c r="U454" s="1" t="s">
        <v>82</v>
      </c>
      <c r="V454" s="1" t="s">
        <v>82</v>
      </c>
      <c r="W454" s="1" t="s">
        <v>82</v>
      </c>
      <c r="X454" s="1" t="s">
        <v>8828</v>
      </c>
      <c r="Y454" s="1" t="s">
        <v>8829</v>
      </c>
      <c r="Z454" s="1" t="s">
        <v>8830</v>
      </c>
      <c r="AB454" s="1" t="s">
        <v>8831</v>
      </c>
      <c r="AC454" s="1" t="s">
        <v>8832</v>
      </c>
      <c r="AD454" s="1" t="s">
        <v>120</v>
      </c>
      <c r="AE454" s="1" t="s">
        <v>8833</v>
      </c>
      <c r="AF454" s="1" t="s">
        <v>8834</v>
      </c>
      <c r="AG454" s="1" t="s">
        <v>8835</v>
      </c>
      <c r="AH454" s="1" t="s">
        <v>82</v>
      </c>
      <c r="AI454" s="1" t="s">
        <v>8836</v>
      </c>
      <c r="AJ454" s="1" t="s">
        <v>8837</v>
      </c>
      <c r="AK454" s="1" t="s">
        <v>8838</v>
      </c>
      <c r="AL454" s="1" t="s">
        <v>8839</v>
      </c>
      <c r="AM454" s="1" t="s">
        <v>82</v>
      </c>
      <c r="AN454" s="1">
        <v>66</v>
      </c>
      <c r="AO454" s="1">
        <v>9</v>
      </c>
      <c r="AP454" s="1">
        <v>10</v>
      </c>
      <c r="AQ454" s="1">
        <v>5</v>
      </c>
      <c r="AR454" s="1">
        <v>26</v>
      </c>
      <c r="AS454" s="1" t="s">
        <v>1002</v>
      </c>
      <c r="AT454" s="1" t="s">
        <v>1003</v>
      </c>
      <c r="AU454" s="1" t="s">
        <v>1004</v>
      </c>
      <c r="AV454" s="1" t="s">
        <v>8518</v>
      </c>
      <c r="AW454" s="1" t="s">
        <v>8519</v>
      </c>
      <c r="AX454" s="1" t="s">
        <v>82</v>
      </c>
      <c r="AY454" s="1" t="s">
        <v>8520</v>
      </c>
      <c r="AZ454" s="1" t="s">
        <v>8521</v>
      </c>
      <c r="BA454" s="1" t="s">
        <v>1826</v>
      </c>
      <c r="BB454" s="1">
        <v>2022</v>
      </c>
      <c r="BC454" s="1">
        <v>60</v>
      </c>
      <c r="BD454" s="1">
        <v>1</v>
      </c>
      <c r="BE454" s="1" t="s">
        <v>82</v>
      </c>
      <c r="BF454" s="1" t="s">
        <v>82</v>
      </c>
      <c r="BG454" s="1" t="s">
        <v>82</v>
      </c>
      <c r="BH454" s="1" t="s">
        <v>82</v>
      </c>
      <c r="BI454" s="1">
        <v>73</v>
      </c>
      <c r="BJ454" s="1">
        <v>84</v>
      </c>
      <c r="BK454" s="1" t="s">
        <v>82</v>
      </c>
      <c r="BL454" s="1" t="s">
        <v>8840</v>
      </c>
      <c r="BM454" s="1" t="str">
        <f>HYPERLINK("http://dx.doi.org/10.1111/jse.12598","http://dx.doi.org/10.1111/jse.12598")</f>
        <v>http://dx.doi.org/10.1111/jse.12598</v>
      </c>
      <c r="BN454" s="1" t="s">
        <v>82</v>
      </c>
      <c r="BO454" s="1" t="s">
        <v>8841</v>
      </c>
      <c r="BP454" s="1">
        <v>12</v>
      </c>
      <c r="BQ454" s="1" t="s">
        <v>378</v>
      </c>
      <c r="BR454" s="1" t="s">
        <v>104</v>
      </c>
      <c r="BS454" s="1" t="s">
        <v>378</v>
      </c>
      <c r="BT454" s="1" t="s">
        <v>8823</v>
      </c>
      <c r="BU454" s="1" t="s">
        <v>82</v>
      </c>
      <c r="BV454" s="1" t="s">
        <v>268</v>
      </c>
      <c r="BW454" s="1" t="s">
        <v>82</v>
      </c>
      <c r="BX454" s="1" t="s">
        <v>82</v>
      </c>
      <c r="BY454" s="1" t="s">
        <v>108</v>
      </c>
      <c r="BZ454" s="1" t="s">
        <v>8842</v>
      </c>
      <c r="CA454" s="1" t="str">
        <f>HYPERLINK("https%3A%2F%2Fwww.webofscience.com%2Fwos%2Fwoscc%2Ffull-record%2FWOS:000538915900001","View Full Record in Web of Science")</f>
        <v>View Full Record in Web of Science</v>
      </c>
    </row>
    <row r="455" s="1" customFormat="1" ht="14.4" spans="1:79">
      <c r="A455">
        <v>454</v>
      </c>
      <c r="B455" s="2" t="s">
        <v>110</v>
      </c>
      <c r="C455" s="1" t="s">
        <v>80</v>
      </c>
      <c r="D455" s="1" t="s">
        <v>8843</v>
      </c>
      <c r="E455" s="1" t="s">
        <v>82</v>
      </c>
      <c r="F455" s="1" t="s">
        <v>82</v>
      </c>
      <c r="G455" s="1" t="s">
        <v>82</v>
      </c>
      <c r="H455" s="1" t="s">
        <v>8844</v>
      </c>
      <c r="I455" s="1" t="s">
        <v>82</v>
      </c>
      <c r="J455" s="1" t="s">
        <v>82</v>
      </c>
      <c r="K455" s="1" t="s">
        <v>8845</v>
      </c>
      <c r="L455" s="1" t="s">
        <v>8846</v>
      </c>
      <c r="M455" s="1">
        <v>3.47</v>
      </c>
      <c r="O455" s="1" t="s">
        <v>82</v>
      </c>
      <c r="P455" s="1" t="s">
        <v>82</v>
      </c>
      <c r="Q455" s="1" t="s">
        <v>87</v>
      </c>
      <c r="R455" s="1" t="s">
        <v>115</v>
      </c>
      <c r="S455" s="1" t="s">
        <v>82</v>
      </c>
      <c r="T455" s="1" t="s">
        <v>82</v>
      </c>
      <c r="U455" s="1" t="s">
        <v>82</v>
      </c>
      <c r="V455" s="1" t="s">
        <v>82</v>
      </c>
      <c r="W455" s="1" t="s">
        <v>82</v>
      </c>
      <c r="X455" s="1" t="s">
        <v>82</v>
      </c>
      <c r="Y455" s="1" t="s">
        <v>8847</v>
      </c>
      <c r="Z455" s="1" t="s">
        <v>8848</v>
      </c>
      <c r="AA455" s="1">
        <v>1</v>
      </c>
      <c r="AB455" s="1" t="s">
        <v>8849</v>
      </c>
      <c r="AC455" s="1" t="s">
        <v>8850</v>
      </c>
      <c r="AD455" s="1" t="s">
        <v>93</v>
      </c>
      <c r="AE455" s="1" t="s">
        <v>1630</v>
      </c>
      <c r="AF455" s="1" t="s">
        <v>5378</v>
      </c>
      <c r="AG455" s="1" t="s">
        <v>5379</v>
      </c>
      <c r="AH455" s="1" t="s">
        <v>3746</v>
      </c>
      <c r="AI455" s="1" t="s">
        <v>82</v>
      </c>
      <c r="AJ455" s="1" t="s">
        <v>8851</v>
      </c>
      <c r="AK455" s="1" t="s">
        <v>8852</v>
      </c>
      <c r="AL455" s="1" t="s">
        <v>8853</v>
      </c>
      <c r="AM455" s="1" t="s">
        <v>82</v>
      </c>
      <c r="AN455" s="1">
        <v>23</v>
      </c>
      <c r="AO455" s="1">
        <v>1</v>
      </c>
      <c r="AP455" s="1">
        <v>1</v>
      </c>
      <c r="AQ455" s="1">
        <v>0</v>
      </c>
      <c r="AR455" s="1">
        <v>0</v>
      </c>
      <c r="AS455" s="1" t="s">
        <v>1480</v>
      </c>
      <c r="AT455" s="1" t="s">
        <v>416</v>
      </c>
      <c r="AU455" s="1" t="s">
        <v>1481</v>
      </c>
      <c r="AV455" s="1" t="s">
        <v>82</v>
      </c>
      <c r="AW455" s="1" t="s">
        <v>8854</v>
      </c>
      <c r="AX455" s="1" t="s">
        <v>82</v>
      </c>
      <c r="AY455" s="1" t="s">
        <v>8855</v>
      </c>
      <c r="AZ455" s="1" t="s">
        <v>8856</v>
      </c>
      <c r="BA455" s="1" t="s">
        <v>1036</v>
      </c>
      <c r="BB455" s="1">
        <v>2022</v>
      </c>
      <c r="BC455" s="1">
        <v>13</v>
      </c>
      <c r="BD455" s="1">
        <v>10</v>
      </c>
      <c r="BE455" s="1" t="s">
        <v>82</v>
      </c>
      <c r="BF455" s="1" t="s">
        <v>82</v>
      </c>
      <c r="BG455" s="1" t="s">
        <v>82</v>
      </c>
      <c r="BH455" s="1" t="s">
        <v>82</v>
      </c>
      <c r="BI455" s="1">
        <v>1212</v>
      </c>
      <c r="BJ455" s="1">
        <v>1224</v>
      </c>
      <c r="BK455" s="1" t="s">
        <v>82</v>
      </c>
      <c r="BL455" s="1" t="s">
        <v>8857</v>
      </c>
      <c r="BM455" s="1" t="str">
        <f>HYPERLINK("http://dx.doi.org/10.1039/d2md00156j","http://dx.doi.org/10.1039/d2md00156j")</f>
        <v>http://dx.doi.org/10.1039/d2md00156j</v>
      </c>
      <c r="BN455" s="1" t="s">
        <v>82</v>
      </c>
      <c r="BO455" s="1" t="s">
        <v>1257</v>
      </c>
      <c r="BP455" s="1">
        <v>13</v>
      </c>
      <c r="BQ455" s="1" t="s">
        <v>8858</v>
      </c>
      <c r="BR455" s="1" t="s">
        <v>745</v>
      </c>
      <c r="BS455" s="1" t="s">
        <v>8859</v>
      </c>
      <c r="BT455" s="1" t="s">
        <v>8860</v>
      </c>
      <c r="BU455" s="1">
        <v>36325395</v>
      </c>
      <c r="BV455" s="1" t="s">
        <v>82</v>
      </c>
      <c r="BW455" s="1" t="s">
        <v>82</v>
      </c>
      <c r="BX455" s="1" t="s">
        <v>82</v>
      </c>
      <c r="BY455" s="1" t="s">
        <v>108</v>
      </c>
      <c r="BZ455" s="1" t="s">
        <v>8861</v>
      </c>
      <c r="CA455" s="1" t="str">
        <f>HYPERLINK("https%3A%2F%2Fwww.webofscience.com%2Fwos%2Fwoscc%2Ffull-record%2FWOS:000840456300001","View Full Record in Web of Science")</f>
        <v>View Full Record in Web of Science</v>
      </c>
    </row>
    <row r="456" s="1" customFormat="1" ht="14.4" spans="1:79">
      <c r="A456">
        <v>455</v>
      </c>
      <c r="B456" s="2" t="s">
        <v>79</v>
      </c>
      <c r="C456" s="1" t="s">
        <v>80</v>
      </c>
      <c r="D456" s="1" t="s">
        <v>8862</v>
      </c>
      <c r="E456" s="1" t="s">
        <v>82</v>
      </c>
      <c r="F456" s="1" t="s">
        <v>82</v>
      </c>
      <c r="G456" s="1" t="s">
        <v>82</v>
      </c>
      <c r="H456" s="1" t="s">
        <v>8863</v>
      </c>
      <c r="I456" s="1" t="s">
        <v>82</v>
      </c>
      <c r="J456" s="1" t="s">
        <v>82</v>
      </c>
      <c r="K456" s="1" t="s">
        <v>8864</v>
      </c>
      <c r="L456" s="1" t="s">
        <v>8865</v>
      </c>
      <c r="M456" s="1">
        <v>3.408</v>
      </c>
      <c r="O456" s="1" t="s">
        <v>82</v>
      </c>
      <c r="P456" s="1" t="s">
        <v>82</v>
      </c>
      <c r="Q456" s="1" t="s">
        <v>87</v>
      </c>
      <c r="R456" s="1" t="s">
        <v>115</v>
      </c>
      <c r="S456" s="1" t="s">
        <v>82</v>
      </c>
      <c r="T456" s="1" t="s">
        <v>82</v>
      </c>
      <c r="U456" s="1" t="s">
        <v>82</v>
      </c>
      <c r="V456" s="1" t="s">
        <v>82</v>
      </c>
      <c r="W456" s="1" t="s">
        <v>82</v>
      </c>
      <c r="X456" s="1" t="s">
        <v>8866</v>
      </c>
      <c r="Y456" s="1" t="s">
        <v>8867</v>
      </c>
      <c r="Z456" s="1" t="s">
        <v>8868</v>
      </c>
      <c r="AB456" s="1" t="s">
        <v>6334</v>
      </c>
      <c r="AC456" s="1" t="s">
        <v>8869</v>
      </c>
      <c r="AD456" s="1" t="s">
        <v>120</v>
      </c>
      <c r="AE456" s="1" t="s">
        <v>8870</v>
      </c>
      <c r="AF456" s="1" t="s">
        <v>8871</v>
      </c>
      <c r="AG456" s="1" t="s">
        <v>8872</v>
      </c>
      <c r="AH456" s="1" t="s">
        <v>82</v>
      </c>
      <c r="AI456" s="1" t="s">
        <v>8873</v>
      </c>
      <c r="AJ456" s="1" t="s">
        <v>8874</v>
      </c>
      <c r="AK456" s="1" t="s">
        <v>8875</v>
      </c>
      <c r="AL456" s="1" t="s">
        <v>8876</v>
      </c>
      <c r="AM456" s="1" t="s">
        <v>82</v>
      </c>
      <c r="AN456" s="1">
        <v>56</v>
      </c>
      <c r="AO456" s="1">
        <v>0</v>
      </c>
      <c r="AP456" s="1">
        <v>0</v>
      </c>
      <c r="AQ456" s="1">
        <v>11</v>
      </c>
      <c r="AR456" s="1">
        <v>11</v>
      </c>
      <c r="AS456" s="1" t="s">
        <v>2117</v>
      </c>
      <c r="AT456" s="1" t="s">
        <v>2118</v>
      </c>
      <c r="AU456" s="1" t="s">
        <v>2119</v>
      </c>
      <c r="AV456" s="1" t="s">
        <v>82</v>
      </c>
      <c r="AW456" s="1" t="s">
        <v>8877</v>
      </c>
      <c r="AX456" s="1" t="s">
        <v>82</v>
      </c>
      <c r="AY456" s="1" t="s">
        <v>8865</v>
      </c>
      <c r="AZ456" s="1" t="s">
        <v>8878</v>
      </c>
      <c r="BA456" s="1" t="s">
        <v>2521</v>
      </c>
      <c r="BB456" s="1">
        <v>2022</v>
      </c>
      <c r="BC456" s="1">
        <v>12</v>
      </c>
      <c r="BD456" s="1">
        <v>8</v>
      </c>
      <c r="BE456" s="1" t="s">
        <v>82</v>
      </c>
      <c r="BF456" s="1" t="s">
        <v>82</v>
      </c>
      <c r="BG456" s="1" t="s">
        <v>82</v>
      </c>
      <c r="BH456" s="1" t="s">
        <v>82</v>
      </c>
      <c r="BI456" s="1" t="s">
        <v>82</v>
      </c>
      <c r="BJ456" s="1" t="s">
        <v>82</v>
      </c>
      <c r="BK456" s="1">
        <v>1103</v>
      </c>
      <c r="BL456" s="1" t="s">
        <v>8879</v>
      </c>
      <c r="BM456" s="1" t="str">
        <f>HYPERLINK("http://dx.doi.org/10.3390/agriculture12081103","http://dx.doi.org/10.3390/agriculture12081103")</f>
        <v>http://dx.doi.org/10.3390/agriculture12081103</v>
      </c>
      <c r="BN456" s="1" t="s">
        <v>82</v>
      </c>
      <c r="BO456" s="1" t="s">
        <v>82</v>
      </c>
      <c r="BP456" s="1">
        <v>11</v>
      </c>
      <c r="BQ456" s="1" t="s">
        <v>8880</v>
      </c>
      <c r="BR456" s="1" t="s">
        <v>104</v>
      </c>
      <c r="BS456" s="1" t="s">
        <v>1881</v>
      </c>
      <c r="BT456" s="1" t="s">
        <v>8881</v>
      </c>
      <c r="BU456" s="1" t="s">
        <v>82</v>
      </c>
      <c r="BV456" s="1" t="s">
        <v>808</v>
      </c>
      <c r="BW456" s="1" t="s">
        <v>82</v>
      </c>
      <c r="BX456" s="1" t="s">
        <v>82</v>
      </c>
      <c r="BY456" s="1" t="s">
        <v>108</v>
      </c>
      <c r="BZ456" s="1" t="s">
        <v>8882</v>
      </c>
      <c r="CA456" s="1" t="str">
        <f>HYPERLINK("https%3A%2F%2Fwww.webofscience.com%2Fwos%2Fwoscc%2Ffull-record%2FWOS:000846406100001","View Full Record in Web of Science")</f>
        <v>View Full Record in Web of Science</v>
      </c>
    </row>
    <row r="457" s="1" customFormat="1" ht="14.4" spans="1:79">
      <c r="A457">
        <v>456</v>
      </c>
      <c r="B457" s="2" t="s">
        <v>79</v>
      </c>
      <c r="C457" s="1" t="s">
        <v>80</v>
      </c>
      <c r="D457" s="1" t="s">
        <v>8883</v>
      </c>
      <c r="E457" s="1" t="s">
        <v>82</v>
      </c>
      <c r="F457" s="1" t="s">
        <v>82</v>
      </c>
      <c r="G457" s="1" t="s">
        <v>82</v>
      </c>
      <c r="H457" s="1" t="s">
        <v>8884</v>
      </c>
      <c r="I457" s="1" t="s">
        <v>82</v>
      </c>
      <c r="J457" s="1" t="s">
        <v>82</v>
      </c>
      <c r="K457" s="1" t="s">
        <v>8885</v>
      </c>
      <c r="L457" s="1" t="s">
        <v>8886</v>
      </c>
      <c r="M457" s="1">
        <v>3.404</v>
      </c>
      <c r="O457" s="1" t="s">
        <v>82</v>
      </c>
      <c r="P457" s="1" t="s">
        <v>82</v>
      </c>
      <c r="Q457" s="1" t="s">
        <v>87</v>
      </c>
      <c r="R457" s="1" t="s">
        <v>115</v>
      </c>
      <c r="S457" s="1" t="s">
        <v>82</v>
      </c>
      <c r="T457" s="1" t="s">
        <v>82</v>
      </c>
      <c r="U457" s="1" t="s">
        <v>82</v>
      </c>
      <c r="V457" s="1" t="s">
        <v>82</v>
      </c>
      <c r="W457" s="1" t="s">
        <v>82</v>
      </c>
      <c r="X457" s="1" t="s">
        <v>8887</v>
      </c>
      <c r="Y457" s="1" t="s">
        <v>8888</v>
      </c>
      <c r="Z457" s="1" t="s">
        <v>8889</v>
      </c>
      <c r="AA457" s="1">
        <v>1</v>
      </c>
      <c r="AB457" s="1" t="s">
        <v>8890</v>
      </c>
      <c r="AC457" s="1" t="s">
        <v>8891</v>
      </c>
      <c r="AD457" s="1" t="s">
        <v>93</v>
      </c>
      <c r="AE457" s="1" t="s">
        <v>8892</v>
      </c>
      <c r="AF457" s="1" t="s">
        <v>8893</v>
      </c>
      <c r="AG457" s="1" t="s">
        <v>8894</v>
      </c>
      <c r="AH457" s="1" t="s">
        <v>82</v>
      </c>
      <c r="AI457" s="1" t="s">
        <v>82</v>
      </c>
      <c r="AJ457" s="1" t="s">
        <v>8895</v>
      </c>
      <c r="AK457" s="1" t="s">
        <v>8896</v>
      </c>
      <c r="AL457" s="1" t="s">
        <v>8897</v>
      </c>
      <c r="AM457" s="1" t="s">
        <v>82</v>
      </c>
      <c r="AN457" s="1">
        <v>65</v>
      </c>
      <c r="AO457" s="1">
        <v>0</v>
      </c>
      <c r="AP457" s="1">
        <v>0</v>
      </c>
      <c r="AQ457" s="1">
        <v>1</v>
      </c>
      <c r="AR457" s="1">
        <v>1</v>
      </c>
      <c r="AS457" s="1" t="s">
        <v>563</v>
      </c>
      <c r="AT457" s="1" t="s">
        <v>371</v>
      </c>
      <c r="AU457" s="1" t="s">
        <v>564</v>
      </c>
      <c r="AV457" s="1" t="s">
        <v>82</v>
      </c>
      <c r="AW457" s="1" t="s">
        <v>8898</v>
      </c>
      <c r="AX457" s="1" t="s">
        <v>82</v>
      </c>
      <c r="AY457" s="1" t="s">
        <v>8899</v>
      </c>
      <c r="AZ457" s="1" t="s">
        <v>8900</v>
      </c>
      <c r="BA457" s="1" t="s">
        <v>8901</v>
      </c>
      <c r="BB457" s="1">
        <v>2022</v>
      </c>
      <c r="BC457" s="1">
        <v>18</v>
      </c>
      <c r="BD457" s="1">
        <v>1</v>
      </c>
      <c r="BE457" s="1" t="s">
        <v>82</v>
      </c>
      <c r="BF457" s="1" t="s">
        <v>82</v>
      </c>
      <c r="BG457" s="1" t="s">
        <v>82</v>
      </c>
      <c r="BH457" s="1" t="s">
        <v>82</v>
      </c>
      <c r="BI457" s="1" t="s">
        <v>82</v>
      </c>
      <c r="BJ457" s="1" t="s">
        <v>82</v>
      </c>
      <c r="BK457" s="1">
        <v>67</v>
      </c>
      <c r="BL457" s="1" t="s">
        <v>8902</v>
      </c>
      <c r="BM457" s="1" t="str">
        <f>HYPERLINK("http://dx.doi.org/10.1186/s13002-022-00565-1","http://dx.doi.org/10.1186/s13002-022-00565-1")</f>
        <v>http://dx.doi.org/10.1186/s13002-022-00565-1</v>
      </c>
      <c r="BN457" s="1" t="s">
        <v>82</v>
      </c>
      <c r="BO457" s="1" t="s">
        <v>82</v>
      </c>
      <c r="BP457" s="1">
        <v>20</v>
      </c>
      <c r="BQ457" s="1" t="s">
        <v>8903</v>
      </c>
      <c r="BR457" s="1" t="s">
        <v>104</v>
      </c>
      <c r="BS457" s="1" t="s">
        <v>8904</v>
      </c>
      <c r="BT457" s="1" t="s">
        <v>8905</v>
      </c>
      <c r="BU457" s="1">
        <v>36401315</v>
      </c>
      <c r="BV457" s="1" t="s">
        <v>2436</v>
      </c>
      <c r="BW457" s="1" t="s">
        <v>82</v>
      </c>
      <c r="BX457" s="1" t="s">
        <v>82</v>
      </c>
      <c r="BY457" s="1" t="s">
        <v>108</v>
      </c>
      <c r="BZ457" s="1" t="s">
        <v>8906</v>
      </c>
      <c r="CA457" s="1" t="str">
        <f>HYPERLINK("https%3A%2F%2Fwww.webofscience.com%2Fwos%2Fwoscc%2Ffull-record%2FWOS:000885302900001","View Full Record in Web of Science")</f>
        <v>View Full Record in Web of Science</v>
      </c>
    </row>
    <row r="458" s="1" customFormat="1" ht="14.4" spans="1:79">
      <c r="A458">
        <v>457</v>
      </c>
      <c r="B458" s="2" t="s">
        <v>79</v>
      </c>
      <c r="C458" s="1" t="s">
        <v>80</v>
      </c>
      <c r="D458" s="1" t="s">
        <v>8907</v>
      </c>
      <c r="E458" s="1" t="s">
        <v>82</v>
      </c>
      <c r="F458" s="1" t="s">
        <v>82</v>
      </c>
      <c r="G458" s="1" t="s">
        <v>82</v>
      </c>
      <c r="H458" s="1" t="s">
        <v>8908</v>
      </c>
      <c r="I458" s="1" t="s">
        <v>82</v>
      </c>
      <c r="J458" s="1" t="s">
        <v>82</v>
      </c>
      <c r="K458" s="1" t="s">
        <v>8909</v>
      </c>
      <c r="L458" s="1" t="s">
        <v>8886</v>
      </c>
      <c r="M458" s="1">
        <v>3.404</v>
      </c>
      <c r="O458" s="1" t="s">
        <v>82</v>
      </c>
      <c r="P458" s="1" t="s">
        <v>82</v>
      </c>
      <c r="Q458" s="1" t="s">
        <v>87</v>
      </c>
      <c r="R458" s="1" t="s">
        <v>115</v>
      </c>
      <c r="S458" s="1" t="s">
        <v>82</v>
      </c>
      <c r="T458" s="1" t="s">
        <v>82</v>
      </c>
      <c r="U458" s="1" t="s">
        <v>82</v>
      </c>
      <c r="V458" s="1" t="s">
        <v>82</v>
      </c>
      <c r="W458" s="1" t="s">
        <v>82</v>
      </c>
      <c r="X458" s="1" t="s">
        <v>8910</v>
      </c>
      <c r="Y458" s="1" t="s">
        <v>8911</v>
      </c>
      <c r="Z458" s="1" t="s">
        <v>8912</v>
      </c>
      <c r="AB458" s="1" t="s">
        <v>4402</v>
      </c>
      <c r="AC458" s="1" t="s">
        <v>8913</v>
      </c>
      <c r="AD458" s="1" t="s">
        <v>206</v>
      </c>
      <c r="AE458" s="1" t="s">
        <v>8914</v>
      </c>
      <c r="AF458" s="1" t="s">
        <v>8915</v>
      </c>
      <c r="AG458" s="1" t="s">
        <v>8916</v>
      </c>
      <c r="AH458" s="1" t="s">
        <v>8917</v>
      </c>
      <c r="AI458" s="1" t="s">
        <v>8918</v>
      </c>
      <c r="AJ458" s="1" t="s">
        <v>8919</v>
      </c>
      <c r="AK458" s="1" t="s">
        <v>8920</v>
      </c>
      <c r="AL458" s="1" t="s">
        <v>8921</v>
      </c>
      <c r="AM458" s="1" t="s">
        <v>82</v>
      </c>
      <c r="AN458" s="1">
        <v>68</v>
      </c>
      <c r="AO458" s="1">
        <v>0</v>
      </c>
      <c r="AP458" s="1">
        <v>0</v>
      </c>
      <c r="AQ458" s="1">
        <v>11</v>
      </c>
      <c r="AR458" s="1">
        <v>11</v>
      </c>
      <c r="AS458" s="1" t="s">
        <v>563</v>
      </c>
      <c r="AT458" s="1" t="s">
        <v>371</v>
      </c>
      <c r="AU458" s="1" t="s">
        <v>564</v>
      </c>
      <c r="AV458" s="1" t="s">
        <v>82</v>
      </c>
      <c r="AW458" s="1" t="s">
        <v>8898</v>
      </c>
      <c r="AX458" s="1" t="s">
        <v>82</v>
      </c>
      <c r="AY458" s="1" t="s">
        <v>8899</v>
      </c>
      <c r="AZ458" s="1" t="s">
        <v>8900</v>
      </c>
      <c r="BA458" s="1" t="s">
        <v>8922</v>
      </c>
      <c r="BB458" s="1">
        <v>2022</v>
      </c>
      <c r="BC458" s="1">
        <v>18</v>
      </c>
      <c r="BD458" s="1">
        <v>1</v>
      </c>
      <c r="BE458" s="1" t="s">
        <v>82</v>
      </c>
      <c r="BF458" s="1" t="s">
        <v>82</v>
      </c>
      <c r="BG458" s="1" t="s">
        <v>82</v>
      </c>
      <c r="BH458" s="1" t="s">
        <v>82</v>
      </c>
      <c r="BI458" s="1" t="s">
        <v>82</v>
      </c>
      <c r="BJ458" s="1" t="s">
        <v>82</v>
      </c>
      <c r="BK458" s="1">
        <v>55</v>
      </c>
      <c r="BL458" s="1" t="s">
        <v>8923</v>
      </c>
      <c r="BM458" s="1" t="str">
        <f>HYPERLINK("http://dx.doi.org/10.1186/s13002-022-00551-7","http://dx.doi.org/10.1186/s13002-022-00551-7")</f>
        <v>http://dx.doi.org/10.1186/s13002-022-00551-7</v>
      </c>
      <c r="BN458" s="1" t="s">
        <v>82</v>
      </c>
      <c r="BO458" s="1" t="s">
        <v>82</v>
      </c>
      <c r="BP458" s="1">
        <v>24</v>
      </c>
      <c r="BQ458" s="1" t="s">
        <v>8903</v>
      </c>
      <c r="BR458" s="1" t="s">
        <v>104</v>
      </c>
      <c r="BS458" s="1" t="s">
        <v>8904</v>
      </c>
      <c r="BT458" s="1" t="s">
        <v>8924</v>
      </c>
      <c r="BU458" s="1">
        <v>35948993</v>
      </c>
      <c r="BV458" s="1" t="s">
        <v>592</v>
      </c>
      <c r="BW458" s="1" t="s">
        <v>82</v>
      </c>
      <c r="BX458" s="1" t="s">
        <v>82</v>
      </c>
      <c r="BY458" s="1" t="s">
        <v>108</v>
      </c>
      <c r="BZ458" s="1" t="s">
        <v>8925</v>
      </c>
      <c r="CA458" s="1" t="str">
        <f>HYPERLINK("https%3A%2F%2Fwww.webofscience.com%2Fwos%2Fwoscc%2Ffull-record%2FWOS:000838645100001","View Full Record in Web of Science")</f>
        <v>View Full Record in Web of Science</v>
      </c>
    </row>
    <row r="459" s="1" customFormat="1" ht="14.4" spans="1:79">
      <c r="A459">
        <v>458</v>
      </c>
      <c r="B459" s="2" t="s">
        <v>79</v>
      </c>
      <c r="C459" s="1" t="s">
        <v>80</v>
      </c>
      <c r="D459" s="1" t="s">
        <v>8926</v>
      </c>
      <c r="E459" s="1" t="s">
        <v>82</v>
      </c>
      <c r="F459" s="1" t="s">
        <v>82</v>
      </c>
      <c r="G459" s="1" t="s">
        <v>82</v>
      </c>
      <c r="H459" s="1" t="s">
        <v>8927</v>
      </c>
      <c r="I459" s="1" t="s">
        <v>82</v>
      </c>
      <c r="J459" s="1" t="s">
        <v>82</v>
      </c>
      <c r="K459" s="1" t="s">
        <v>8928</v>
      </c>
      <c r="L459" s="1" t="s">
        <v>8886</v>
      </c>
      <c r="M459" s="1">
        <v>3.404</v>
      </c>
      <c r="O459" s="1" t="s">
        <v>82</v>
      </c>
      <c r="P459" s="1" t="s">
        <v>82</v>
      </c>
      <c r="Q459" s="1" t="s">
        <v>87</v>
      </c>
      <c r="R459" s="1" t="s">
        <v>115</v>
      </c>
      <c r="S459" s="1" t="s">
        <v>82</v>
      </c>
      <c r="T459" s="1" t="s">
        <v>82</v>
      </c>
      <c r="U459" s="1" t="s">
        <v>82</v>
      </c>
      <c r="V459" s="1" t="s">
        <v>82</v>
      </c>
      <c r="W459" s="1" t="s">
        <v>82</v>
      </c>
      <c r="X459" s="1" t="s">
        <v>8929</v>
      </c>
      <c r="Y459" s="1" t="s">
        <v>8930</v>
      </c>
      <c r="Z459" s="1" t="s">
        <v>8931</v>
      </c>
      <c r="AB459" s="1" t="s">
        <v>8932</v>
      </c>
      <c r="AC459" s="1" t="s">
        <v>8933</v>
      </c>
      <c r="AD459" s="1" t="s">
        <v>206</v>
      </c>
      <c r="AE459" s="1" t="s">
        <v>8934</v>
      </c>
      <c r="AF459" s="1" t="s">
        <v>8935</v>
      </c>
      <c r="AG459" s="1" t="s">
        <v>8936</v>
      </c>
      <c r="AH459" s="1" t="s">
        <v>8937</v>
      </c>
      <c r="AI459" s="1" t="s">
        <v>8938</v>
      </c>
      <c r="AJ459" s="1" t="s">
        <v>8939</v>
      </c>
      <c r="AK459" s="1" t="s">
        <v>8940</v>
      </c>
      <c r="AL459" s="1" t="s">
        <v>8941</v>
      </c>
      <c r="AM459" s="1" t="s">
        <v>82</v>
      </c>
      <c r="AN459" s="1">
        <v>68</v>
      </c>
      <c r="AO459" s="1">
        <v>1</v>
      </c>
      <c r="AP459" s="1">
        <v>1</v>
      </c>
      <c r="AQ459" s="1">
        <v>9</v>
      </c>
      <c r="AR459" s="1">
        <v>10</v>
      </c>
      <c r="AS459" s="1" t="s">
        <v>563</v>
      </c>
      <c r="AT459" s="1" t="s">
        <v>371</v>
      </c>
      <c r="AU459" s="1" t="s">
        <v>564</v>
      </c>
      <c r="AV459" s="1" t="s">
        <v>82</v>
      </c>
      <c r="AW459" s="1" t="s">
        <v>8898</v>
      </c>
      <c r="AX459" s="1" t="s">
        <v>82</v>
      </c>
      <c r="AY459" s="1" t="s">
        <v>8899</v>
      </c>
      <c r="AZ459" s="1" t="s">
        <v>8900</v>
      </c>
      <c r="BA459" s="1" t="s">
        <v>1057</v>
      </c>
      <c r="BB459" s="1">
        <v>2022</v>
      </c>
      <c r="BC459" s="1">
        <v>18</v>
      </c>
      <c r="BD459" s="1">
        <v>1</v>
      </c>
      <c r="BE459" s="1" t="s">
        <v>82</v>
      </c>
      <c r="BF459" s="1" t="s">
        <v>82</v>
      </c>
      <c r="BG459" s="1" t="s">
        <v>82</v>
      </c>
      <c r="BH459" s="1" t="s">
        <v>82</v>
      </c>
      <c r="BI459" s="1" t="s">
        <v>82</v>
      </c>
      <c r="BJ459" s="1" t="s">
        <v>82</v>
      </c>
      <c r="BK459" s="1">
        <v>39</v>
      </c>
      <c r="BL459" s="1" t="s">
        <v>8942</v>
      </c>
      <c r="BM459" s="1" t="str">
        <f>HYPERLINK("http://dx.doi.org/10.1186/s13002-022-00537-5","http://dx.doi.org/10.1186/s13002-022-00537-5")</f>
        <v>http://dx.doi.org/10.1186/s13002-022-00537-5</v>
      </c>
      <c r="BN459" s="1" t="s">
        <v>82</v>
      </c>
      <c r="BO459" s="1" t="s">
        <v>82</v>
      </c>
      <c r="BP459" s="1">
        <v>16</v>
      </c>
      <c r="BQ459" s="1" t="s">
        <v>8903</v>
      </c>
      <c r="BR459" s="1" t="s">
        <v>544</v>
      </c>
      <c r="BS459" s="1" t="s">
        <v>8904</v>
      </c>
      <c r="BT459" s="1" t="s">
        <v>8943</v>
      </c>
      <c r="BU459" s="1">
        <v>35581643</v>
      </c>
      <c r="BV459" s="1" t="s">
        <v>592</v>
      </c>
      <c r="BW459" s="1" t="s">
        <v>82</v>
      </c>
      <c r="BX459" s="1" t="s">
        <v>82</v>
      </c>
      <c r="BY459" s="1" t="s">
        <v>108</v>
      </c>
      <c r="BZ459" s="1" t="s">
        <v>8944</v>
      </c>
      <c r="CA459" s="1" t="str">
        <f>HYPERLINK("https%3A%2F%2Fwww.webofscience.com%2Fwos%2Fwoscc%2Ffull-record%2FWOS:000796972600001","View Full Record in Web of Science")</f>
        <v>View Full Record in Web of Science</v>
      </c>
    </row>
    <row r="460" s="1" customFormat="1" ht="14.4" spans="1:79">
      <c r="A460">
        <v>459</v>
      </c>
      <c r="B460" s="2" t="s">
        <v>79</v>
      </c>
      <c r="C460" s="1" t="s">
        <v>80</v>
      </c>
      <c r="D460" s="1" t="s">
        <v>8945</v>
      </c>
      <c r="E460" s="1" t="s">
        <v>82</v>
      </c>
      <c r="F460" s="1" t="s">
        <v>82</v>
      </c>
      <c r="G460" s="1" t="s">
        <v>82</v>
      </c>
      <c r="H460" s="1" t="s">
        <v>8946</v>
      </c>
      <c r="I460" s="1" t="s">
        <v>82</v>
      </c>
      <c r="J460" s="1" t="s">
        <v>82</v>
      </c>
      <c r="K460" s="1" t="s">
        <v>8947</v>
      </c>
      <c r="L460" s="1" t="s">
        <v>8886</v>
      </c>
      <c r="M460" s="1">
        <v>3.404</v>
      </c>
      <c r="O460" s="1" t="s">
        <v>82</v>
      </c>
      <c r="P460" s="1" t="s">
        <v>82</v>
      </c>
      <c r="Q460" s="1" t="s">
        <v>87</v>
      </c>
      <c r="R460" s="1" t="s">
        <v>115</v>
      </c>
      <c r="S460" s="1" t="s">
        <v>82</v>
      </c>
      <c r="T460" s="1" t="s">
        <v>82</v>
      </c>
      <c r="U460" s="1" t="s">
        <v>82</v>
      </c>
      <c r="V460" s="1" t="s">
        <v>82</v>
      </c>
      <c r="W460" s="1" t="s">
        <v>82</v>
      </c>
      <c r="X460" s="1" t="s">
        <v>8948</v>
      </c>
      <c r="Y460" s="1" t="s">
        <v>8949</v>
      </c>
      <c r="Z460" s="1" t="s">
        <v>8950</v>
      </c>
      <c r="AA460" s="1">
        <v>1</v>
      </c>
      <c r="AB460" s="1" t="s">
        <v>8890</v>
      </c>
      <c r="AC460" s="1" t="s">
        <v>8951</v>
      </c>
      <c r="AD460" s="1" t="s">
        <v>93</v>
      </c>
      <c r="AE460" s="1" t="s">
        <v>1630</v>
      </c>
      <c r="AF460" s="1" t="s">
        <v>8952</v>
      </c>
      <c r="AG460" s="1" t="s">
        <v>8894</v>
      </c>
      <c r="AH460" s="1" t="s">
        <v>3515</v>
      </c>
      <c r="AI460" s="1" t="s">
        <v>3516</v>
      </c>
      <c r="AJ460" s="1" t="s">
        <v>8953</v>
      </c>
      <c r="AK460" s="1" t="s">
        <v>8954</v>
      </c>
      <c r="AL460" s="1" t="s">
        <v>8897</v>
      </c>
      <c r="AM460" s="1" t="s">
        <v>82</v>
      </c>
      <c r="AN460" s="1">
        <v>82</v>
      </c>
      <c r="AO460" s="1">
        <v>2</v>
      </c>
      <c r="AP460" s="1">
        <v>2</v>
      </c>
      <c r="AQ460" s="1">
        <v>16</v>
      </c>
      <c r="AR460" s="1">
        <v>18</v>
      </c>
      <c r="AS460" s="1" t="s">
        <v>563</v>
      </c>
      <c r="AT460" s="1" t="s">
        <v>371</v>
      </c>
      <c r="AU460" s="1" t="s">
        <v>564</v>
      </c>
      <c r="AV460" s="1" t="s">
        <v>82</v>
      </c>
      <c r="AW460" s="1" t="s">
        <v>8898</v>
      </c>
      <c r="AX460" s="1" t="s">
        <v>82</v>
      </c>
      <c r="AY460" s="1" t="s">
        <v>8899</v>
      </c>
      <c r="AZ460" s="1" t="s">
        <v>8900</v>
      </c>
      <c r="BA460" s="1" t="s">
        <v>8955</v>
      </c>
      <c r="BB460" s="1">
        <v>2022</v>
      </c>
      <c r="BC460" s="1">
        <v>18</v>
      </c>
      <c r="BD460" s="1">
        <v>1</v>
      </c>
      <c r="BE460" s="1" t="s">
        <v>82</v>
      </c>
      <c r="BF460" s="1" t="s">
        <v>82</v>
      </c>
      <c r="BG460" s="1" t="s">
        <v>82</v>
      </c>
      <c r="BH460" s="1" t="s">
        <v>82</v>
      </c>
      <c r="BI460" s="1" t="s">
        <v>82</v>
      </c>
      <c r="BJ460" s="1" t="s">
        <v>82</v>
      </c>
      <c r="BK460" s="1">
        <v>28</v>
      </c>
      <c r="BL460" s="1" t="s">
        <v>8956</v>
      </c>
      <c r="BM460" s="1" t="str">
        <f>HYPERLINK("http://dx.doi.org/10.1186/s13002-022-00518-8","http://dx.doi.org/10.1186/s13002-022-00518-8")</f>
        <v>http://dx.doi.org/10.1186/s13002-022-00518-8</v>
      </c>
      <c r="BN460" s="1" t="s">
        <v>82</v>
      </c>
      <c r="BO460" s="1" t="s">
        <v>82</v>
      </c>
      <c r="BP460" s="1">
        <v>25</v>
      </c>
      <c r="BQ460" s="1" t="s">
        <v>8903</v>
      </c>
      <c r="BR460" s="1" t="s">
        <v>104</v>
      </c>
      <c r="BS460" s="1" t="s">
        <v>8904</v>
      </c>
      <c r="BT460" s="1" t="s">
        <v>8957</v>
      </c>
      <c r="BU460" s="1">
        <v>35361213</v>
      </c>
      <c r="BV460" s="1" t="s">
        <v>2703</v>
      </c>
      <c r="BW460" s="1" t="s">
        <v>82</v>
      </c>
      <c r="BX460" s="1" t="s">
        <v>82</v>
      </c>
      <c r="BY460" s="1" t="s">
        <v>108</v>
      </c>
      <c r="BZ460" s="1" t="s">
        <v>8958</v>
      </c>
      <c r="CA460" s="1" t="str">
        <f>HYPERLINK("https%3A%2F%2Fwww.webofscience.com%2Fwos%2Fwoscc%2Ffull-record%2FWOS:000780954000001","View Full Record in Web of Science")</f>
        <v>View Full Record in Web of Science</v>
      </c>
    </row>
    <row r="461" s="1" customFormat="1" ht="14.4" spans="1:79">
      <c r="A461">
        <v>460</v>
      </c>
      <c r="B461" s="2" t="s">
        <v>79</v>
      </c>
      <c r="C461" s="1" t="s">
        <v>80</v>
      </c>
      <c r="D461" s="1" t="s">
        <v>8959</v>
      </c>
      <c r="E461" s="1" t="s">
        <v>82</v>
      </c>
      <c r="F461" s="1" t="s">
        <v>82</v>
      </c>
      <c r="G461" s="1" t="s">
        <v>82</v>
      </c>
      <c r="H461" s="1" t="s">
        <v>8960</v>
      </c>
      <c r="I461" s="1" t="s">
        <v>82</v>
      </c>
      <c r="J461" s="1" t="s">
        <v>82</v>
      </c>
      <c r="K461" s="1" t="s">
        <v>8961</v>
      </c>
      <c r="L461" s="1" t="s">
        <v>8886</v>
      </c>
      <c r="M461" s="1">
        <v>3.404</v>
      </c>
      <c r="O461" s="1" t="s">
        <v>82</v>
      </c>
      <c r="P461" s="1" t="s">
        <v>82</v>
      </c>
      <c r="Q461" s="1" t="s">
        <v>87</v>
      </c>
      <c r="R461" s="1" t="s">
        <v>115</v>
      </c>
      <c r="S461" s="1" t="s">
        <v>82</v>
      </c>
      <c r="T461" s="1" t="s">
        <v>82</v>
      </c>
      <c r="U461" s="1" t="s">
        <v>82</v>
      </c>
      <c r="V461" s="1" t="s">
        <v>82</v>
      </c>
      <c r="W461" s="1" t="s">
        <v>82</v>
      </c>
      <c r="X461" s="1" t="s">
        <v>8962</v>
      </c>
      <c r="Y461" s="1" t="s">
        <v>8963</v>
      </c>
      <c r="Z461" s="1" t="s">
        <v>8964</v>
      </c>
      <c r="AB461" s="1" t="s">
        <v>8965</v>
      </c>
      <c r="AC461" s="1" t="s">
        <v>8966</v>
      </c>
      <c r="AD461" s="1" t="s">
        <v>120</v>
      </c>
      <c r="AE461" s="1" t="s">
        <v>8967</v>
      </c>
      <c r="AF461" s="1" t="s">
        <v>8968</v>
      </c>
      <c r="AG461" s="1" t="s">
        <v>8936</v>
      </c>
      <c r="AH461" s="1" t="s">
        <v>8937</v>
      </c>
      <c r="AI461" s="1" t="s">
        <v>8938</v>
      </c>
      <c r="AJ461" s="1" t="s">
        <v>8969</v>
      </c>
      <c r="AK461" s="1" t="s">
        <v>8970</v>
      </c>
      <c r="AL461" s="1" t="s">
        <v>8971</v>
      </c>
      <c r="AM461" s="1" t="s">
        <v>82</v>
      </c>
      <c r="AN461" s="1">
        <v>40</v>
      </c>
      <c r="AO461" s="1">
        <v>1</v>
      </c>
      <c r="AP461" s="1">
        <v>2</v>
      </c>
      <c r="AQ461" s="1">
        <v>2</v>
      </c>
      <c r="AR461" s="1">
        <v>9</v>
      </c>
      <c r="AS461" s="1" t="s">
        <v>563</v>
      </c>
      <c r="AT461" s="1" t="s">
        <v>371</v>
      </c>
      <c r="AU461" s="1" t="s">
        <v>564</v>
      </c>
      <c r="AV461" s="1" t="s">
        <v>82</v>
      </c>
      <c r="AW461" s="1" t="s">
        <v>8898</v>
      </c>
      <c r="AX461" s="1" t="s">
        <v>82</v>
      </c>
      <c r="AY461" s="1" t="s">
        <v>8899</v>
      </c>
      <c r="AZ461" s="1" t="s">
        <v>8900</v>
      </c>
      <c r="BA461" s="1" t="s">
        <v>191</v>
      </c>
      <c r="BB461" s="1">
        <v>2022</v>
      </c>
      <c r="BC461" s="1">
        <v>18</v>
      </c>
      <c r="BD461" s="1">
        <v>1</v>
      </c>
      <c r="BE461" s="1" t="s">
        <v>82</v>
      </c>
      <c r="BF461" s="1" t="s">
        <v>82</v>
      </c>
      <c r="BG461" s="1" t="s">
        <v>82</v>
      </c>
      <c r="BH461" s="1" t="s">
        <v>82</v>
      </c>
      <c r="BI461" s="1" t="s">
        <v>82</v>
      </c>
      <c r="BJ461" s="1" t="s">
        <v>82</v>
      </c>
      <c r="BK461" s="1">
        <v>19</v>
      </c>
      <c r="BL461" s="1" t="s">
        <v>8972</v>
      </c>
      <c r="BM461" s="1" t="str">
        <f>HYPERLINK("http://dx.doi.org/10.1186/s13002-022-00519-7","http://dx.doi.org/10.1186/s13002-022-00519-7")</f>
        <v>http://dx.doi.org/10.1186/s13002-022-00519-7</v>
      </c>
      <c r="BN461" s="1" t="s">
        <v>82</v>
      </c>
      <c r="BO461" s="1" t="s">
        <v>82</v>
      </c>
      <c r="BP461" s="1">
        <v>14</v>
      </c>
      <c r="BQ461" s="1" t="s">
        <v>8903</v>
      </c>
      <c r="BR461" s="1" t="s">
        <v>104</v>
      </c>
      <c r="BS461" s="1" t="s">
        <v>8904</v>
      </c>
      <c r="BT461" s="1" t="s">
        <v>8973</v>
      </c>
      <c r="BU461" s="1">
        <v>35303920</v>
      </c>
      <c r="BV461" s="1" t="s">
        <v>635</v>
      </c>
      <c r="BW461" s="1" t="s">
        <v>82</v>
      </c>
      <c r="BX461" s="1" t="s">
        <v>82</v>
      </c>
      <c r="BY461" s="1" t="s">
        <v>108</v>
      </c>
      <c r="BZ461" s="1" t="s">
        <v>8974</v>
      </c>
      <c r="CA461" s="1" t="str">
        <f>HYPERLINK("https%3A%2F%2Fwww.webofscience.com%2Fwos%2Fwoscc%2Ffull-record%2FWOS:000770621700001","View Full Record in Web of Science")</f>
        <v>View Full Record in Web of Science</v>
      </c>
    </row>
    <row r="462" s="1" customFormat="1" ht="14.4" spans="1:79">
      <c r="A462">
        <v>461</v>
      </c>
      <c r="B462" s="2" t="s">
        <v>79</v>
      </c>
      <c r="C462" s="1" t="s">
        <v>80</v>
      </c>
      <c r="D462" s="1" t="s">
        <v>8975</v>
      </c>
      <c r="E462" s="1" t="s">
        <v>82</v>
      </c>
      <c r="F462" s="1" t="s">
        <v>82</v>
      </c>
      <c r="G462" s="1" t="s">
        <v>82</v>
      </c>
      <c r="H462" s="1" t="s">
        <v>8976</v>
      </c>
      <c r="I462" s="1" t="s">
        <v>82</v>
      </c>
      <c r="J462" s="1" t="s">
        <v>82</v>
      </c>
      <c r="K462" s="1" t="s">
        <v>8977</v>
      </c>
      <c r="L462" s="1" t="s">
        <v>8886</v>
      </c>
      <c r="M462" s="1">
        <v>3.404</v>
      </c>
      <c r="O462" s="1" t="s">
        <v>82</v>
      </c>
      <c r="P462" s="1" t="s">
        <v>82</v>
      </c>
      <c r="Q462" s="1" t="s">
        <v>87</v>
      </c>
      <c r="R462" s="1" t="s">
        <v>115</v>
      </c>
      <c r="S462" s="1" t="s">
        <v>82</v>
      </c>
      <c r="T462" s="1" t="s">
        <v>82</v>
      </c>
      <c r="U462" s="1" t="s">
        <v>82</v>
      </c>
      <c r="V462" s="1" t="s">
        <v>82</v>
      </c>
      <c r="W462" s="1" t="s">
        <v>82</v>
      </c>
      <c r="X462" s="1" t="s">
        <v>8978</v>
      </c>
      <c r="Y462" s="1" t="s">
        <v>8979</v>
      </c>
      <c r="Z462" s="1" t="s">
        <v>8980</v>
      </c>
      <c r="AA462" s="1">
        <v>1</v>
      </c>
      <c r="AB462" s="1" t="s">
        <v>8981</v>
      </c>
      <c r="AC462" s="1" t="s">
        <v>8982</v>
      </c>
      <c r="AD462" s="1" t="s">
        <v>93</v>
      </c>
      <c r="AE462" s="1" t="s">
        <v>1630</v>
      </c>
      <c r="AF462" s="1" t="s">
        <v>8952</v>
      </c>
      <c r="AG462" s="1" t="s">
        <v>8894</v>
      </c>
      <c r="AH462" s="1" t="s">
        <v>8983</v>
      </c>
      <c r="AI462" s="1" t="s">
        <v>8984</v>
      </c>
      <c r="AJ462" s="1" t="s">
        <v>8895</v>
      </c>
      <c r="AK462" s="1" t="s">
        <v>8896</v>
      </c>
      <c r="AL462" s="1" t="s">
        <v>8985</v>
      </c>
      <c r="AM462" s="1" t="s">
        <v>82</v>
      </c>
      <c r="AN462" s="1">
        <v>75</v>
      </c>
      <c r="AO462" s="1">
        <v>0</v>
      </c>
      <c r="AP462" s="1">
        <v>1</v>
      </c>
      <c r="AQ462" s="1">
        <v>5</v>
      </c>
      <c r="AR462" s="1">
        <v>10</v>
      </c>
      <c r="AS462" s="1" t="s">
        <v>563</v>
      </c>
      <c r="AT462" s="1" t="s">
        <v>371</v>
      </c>
      <c r="AU462" s="1" t="s">
        <v>564</v>
      </c>
      <c r="AV462" s="1" t="s">
        <v>82</v>
      </c>
      <c r="AW462" s="1" t="s">
        <v>8898</v>
      </c>
      <c r="AX462" s="1" t="s">
        <v>82</v>
      </c>
      <c r="AY462" s="1" t="s">
        <v>8899</v>
      </c>
      <c r="AZ462" s="1" t="s">
        <v>8900</v>
      </c>
      <c r="BA462" s="1" t="s">
        <v>2622</v>
      </c>
      <c r="BB462" s="1">
        <v>2022</v>
      </c>
      <c r="BC462" s="1">
        <v>18</v>
      </c>
      <c r="BD462" s="1">
        <v>1</v>
      </c>
      <c r="BE462" s="1" t="s">
        <v>82</v>
      </c>
      <c r="BF462" s="1" t="s">
        <v>82</v>
      </c>
      <c r="BG462" s="1" t="s">
        <v>82</v>
      </c>
      <c r="BH462" s="1" t="s">
        <v>82</v>
      </c>
      <c r="BI462" s="1" t="s">
        <v>82</v>
      </c>
      <c r="BJ462" s="1" t="s">
        <v>82</v>
      </c>
      <c r="BK462" s="1">
        <v>18</v>
      </c>
      <c r="BL462" s="1" t="s">
        <v>8986</v>
      </c>
      <c r="BM462" s="1" t="str">
        <f>HYPERLINK("http://dx.doi.org/10.1186/s13002-022-00504-0","http://dx.doi.org/10.1186/s13002-022-00504-0")</f>
        <v>http://dx.doi.org/10.1186/s13002-022-00504-0</v>
      </c>
      <c r="BN462" s="1" t="s">
        <v>82</v>
      </c>
      <c r="BO462" s="1" t="s">
        <v>82</v>
      </c>
      <c r="BP462" s="1">
        <v>29</v>
      </c>
      <c r="BQ462" s="1" t="s">
        <v>8903</v>
      </c>
      <c r="BR462" s="1" t="s">
        <v>104</v>
      </c>
      <c r="BS462" s="1" t="s">
        <v>8904</v>
      </c>
      <c r="BT462" s="1" t="s">
        <v>8987</v>
      </c>
      <c r="BU462" s="1">
        <v>35292043</v>
      </c>
      <c r="BV462" s="1" t="s">
        <v>8988</v>
      </c>
      <c r="BW462" s="1" t="s">
        <v>82</v>
      </c>
      <c r="BX462" s="1" t="s">
        <v>82</v>
      </c>
      <c r="BY462" s="1" t="s">
        <v>108</v>
      </c>
      <c r="BZ462" s="1" t="s">
        <v>8989</v>
      </c>
      <c r="CA462" s="1" t="str">
        <f>HYPERLINK("https%3A%2F%2Fwww.webofscience.com%2Fwos%2Fwoscc%2Ffull-record%2FWOS:000769453500002","View Full Record in Web of Science")</f>
        <v>View Full Record in Web of Science</v>
      </c>
    </row>
    <row r="463" s="1" customFormat="1" ht="14.4" spans="1:79">
      <c r="A463">
        <v>462</v>
      </c>
      <c r="B463" s="2" t="s">
        <v>79</v>
      </c>
      <c r="C463" s="1" t="s">
        <v>80</v>
      </c>
      <c r="D463" s="1" t="s">
        <v>8990</v>
      </c>
      <c r="E463" s="1" t="s">
        <v>82</v>
      </c>
      <c r="F463" s="1" t="s">
        <v>82</v>
      </c>
      <c r="G463" s="1" t="s">
        <v>82</v>
      </c>
      <c r="H463" s="1" t="s">
        <v>8991</v>
      </c>
      <c r="I463" s="1" t="s">
        <v>82</v>
      </c>
      <c r="J463" s="1" t="s">
        <v>82</v>
      </c>
      <c r="K463" s="1" t="s">
        <v>8992</v>
      </c>
      <c r="L463" s="1" t="s">
        <v>8886</v>
      </c>
      <c r="M463" s="1">
        <v>3.404</v>
      </c>
      <c r="O463" s="1" t="s">
        <v>82</v>
      </c>
      <c r="P463" s="1" t="s">
        <v>82</v>
      </c>
      <c r="Q463" s="1" t="s">
        <v>87</v>
      </c>
      <c r="R463" s="1" t="s">
        <v>115</v>
      </c>
      <c r="S463" s="1" t="s">
        <v>82</v>
      </c>
      <c r="T463" s="1" t="s">
        <v>82</v>
      </c>
      <c r="U463" s="1" t="s">
        <v>82</v>
      </c>
      <c r="V463" s="1" t="s">
        <v>82</v>
      </c>
      <c r="W463" s="1" t="s">
        <v>82</v>
      </c>
      <c r="X463" s="1" t="s">
        <v>8993</v>
      </c>
      <c r="Y463" s="1" t="s">
        <v>82</v>
      </c>
      <c r="Z463" s="1" t="s">
        <v>8994</v>
      </c>
      <c r="AA463" s="1">
        <v>1</v>
      </c>
      <c r="AB463" s="1" t="s">
        <v>8995</v>
      </c>
      <c r="AC463" s="1" t="s">
        <v>8996</v>
      </c>
      <c r="AD463" s="1" t="s">
        <v>93</v>
      </c>
      <c r="AE463" s="1" t="s">
        <v>8997</v>
      </c>
      <c r="AF463" s="1" t="s">
        <v>8998</v>
      </c>
      <c r="AG463" s="1" t="s">
        <v>8894</v>
      </c>
      <c r="AH463" s="1" t="s">
        <v>3515</v>
      </c>
      <c r="AI463" s="1" t="s">
        <v>3516</v>
      </c>
      <c r="AJ463" s="1" t="s">
        <v>8895</v>
      </c>
      <c r="AK463" s="1" t="s">
        <v>8896</v>
      </c>
      <c r="AL463" s="1" t="s">
        <v>8985</v>
      </c>
      <c r="AM463" s="1" t="s">
        <v>82</v>
      </c>
      <c r="AN463" s="1">
        <v>38</v>
      </c>
      <c r="AO463" s="1">
        <v>1</v>
      </c>
      <c r="AP463" s="1">
        <v>1</v>
      </c>
      <c r="AQ463" s="1">
        <v>6</v>
      </c>
      <c r="AR463" s="1">
        <v>6</v>
      </c>
      <c r="AS463" s="1" t="s">
        <v>563</v>
      </c>
      <c r="AT463" s="1" t="s">
        <v>371</v>
      </c>
      <c r="AU463" s="1" t="s">
        <v>564</v>
      </c>
      <c r="AV463" s="1" t="s">
        <v>82</v>
      </c>
      <c r="AW463" s="1" t="s">
        <v>8898</v>
      </c>
      <c r="AX463" s="1" t="s">
        <v>82</v>
      </c>
      <c r="AY463" s="1" t="s">
        <v>8899</v>
      </c>
      <c r="AZ463" s="1" t="s">
        <v>8900</v>
      </c>
      <c r="BA463" s="1" t="s">
        <v>8999</v>
      </c>
      <c r="BB463" s="1">
        <v>2022</v>
      </c>
      <c r="BC463" s="1">
        <v>18</v>
      </c>
      <c r="BD463" s="1">
        <v>1</v>
      </c>
      <c r="BE463" s="1" t="s">
        <v>82</v>
      </c>
      <c r="BF463" s="1" t="s">
        <v>82</v>
      </c>
      <c r="BG463" s="1" t="s">
        <v>82</v>
      </c>
      <c r="BH463" s="1" t="s">
        <v>82</v>
      </c>
      <c r="BI463" s="1" t="s">
        <v>82</v>
      </c>
      <c r="BJ463" s="1" t="s">
        <v>82</v>
      </c>
      <c r="BK463" s="1">
        <v>13</v>
      </c>
      <c r="BL463" s="1" t="s">
        <v>9000</v>
      </c>
      <c r="BM463" s="1" t="str">
        <f>HYPERLINK("http://dx.doi.org/10.1186/s13002-022-00514-y","http://dx.doi.org/10.1186/s13002-022-00514-y")</f>
        <v>http://dx.doi.org/10.1186/s13002-022-00514-y</v>
      </c>
      <c r="BN463" s="1" t="s">
        <v>82</v>
      </c>
      <c r="BO463" s="1" t="s">
        <v>82</v>
      </c>
      <c r="BP463" s="1">
        <v>11</v>
      </c>
      <c r="BQ463" s="1" t="s">
        <v>8903</v>
      </c>
      <c r="BR463" s="1" t="s">
        <v>104</v>
      </c>
      <c r="BS463" s="1" t="s">
        <v>8904</v>
      </c>
      <c r="BT463" s="1" t="s">
        <v>9001</v>
      </c>
      <c r="BU463" s="1">
        <v>35272665</v>
      </c>
      <c r="BV463" s="1" t="s">
        <v>592</v>
      </c>
      <c r="BW463" s="1" t="s">
        <v>82</v>
      </c>
      <c r="BX463" s="1" t="s">
        <v>82</v>
      </c>
      <c r="BY463" s="1" t="s">
        <v>108</v>
      </c>
      <c r="BZ463" s="1" t="s">
        <v>9002</v>
      </c>
      <c r="CA463" s="1" t="str">
        <f>HYPERLINK("https%3A%2F%2Fwww.webofscience.com%2Fwos%2Fwoscc%2Ffull-record%2FWOS:000767212500001","View Full Record in Web of Science")</f>
        <v>View Full Record in Web of Science</v>
      </c>
    </row>
    <row r="464" s="1" customFormat="1" ht="14.4" spans="1:79">
      <c r="A464">
        <v>463</v>
      </c>
      <c r="B464" s="2" t="s">
        <v>79</v>
      </c>
      <c r="C464" s="1" t="s">
        <v>80</v>
      </c>
      <c r="D464" s="1" t="s">
        <v>9003</v>
      </c>
      <c r="E464" s="1" t="s">
        <v>82</v>
      </c>
      <c r="F464" s="1" t="s">
        <v>82</v>
      </c>
      <c r="G464" s="1" t="s">
        <v>82</v>
      </c>
      <c r="H464" s="1" t="s">
        <v>9004</v>
      </c>
      <c r="I464" s="1" t="s">
        <v>82</v>
      </c>
      <c r="J464" s="1" t="s">
        <v>82</v>
      </c>
      <c r="K464" s="1" t="s">
        <v>9005</v>
      </c>
      <c r="L464" s="1" t="s">
        <v>8886</v>
      </c>
      <c r="M464" s="1">
        <v>3.404</v>
      </c>
      <c r="O464" s="1" t="s">
        <v>82</v>
      </c>
      <c r="P464" s="1" t="s">
        <v>82</v>
      </c>
      <c r="Q464" s="1" t="s">
        <v>87</v>
      </c>
      <c r="R464" s="1" t="s">
        <v>115</v>
      </c>
      <c r="S464" s="1" t="s">
        <v>82</v>
      </c>
      <c r="T464" s="1" t="s">
        <v>82</v>
      </c>
      <c r="U464" s="1" t="s">
        <v>82</v>
      </c>
      <c r="V464" s="1" t="s">
        <v>82</v>
      </c>
      <c r="W464" s="1" t="s">
        <v>82</v>
      </c>
      <c r="X464" s="1" t="s">
        <v>9006</v>
      </c>
      <c r="Y464" s="1" t="s">
        <v>9007</v>
      </c>
      <c r="Z464" s="1" t="s">
        <v>9008</v>
      </c>
      <c r="AB464" s="1" t="s">
        <v>9009</v>
      </c>
      <c r="AC464" s="1" t="s">
        <v>9010</v>
      </c>
      <c r="AD464" s="1" t="s">
        <v>206</v>
      </c>
      <c r="AE464" s="1" t="s">
        <v>9011</v>
      </c>
      <c r="AF464" s="1" t="s">
        <v>9012</v>
      </c>
      <c r="AG464" s="1" t="s">
        <v>8936</v>
      </c>
      <c r="AH464" s="1" t="s">
        <v>82</v>
      </c>
      <c r="AI464" s="1" t="s">
        <v>9013</v>
      </c>
      <c r="AJ464" s="1" t="s">
        <v>9014</v>
      </c>
      <c r="AK464" s="1" t="s">
        <v>9015</v>
      </c>
      <c r="AL464" s="1" t="s">
        <v>9016</v>
      </c>
      <c r="AM464" s="1" t="s">
        <v>82</v>
      </c>
      <c r="AN464" s="1">
        <v>75</v>
      </c>
      <c r="AO464" s="1">
        <v>6</v>
      </c>
      <c r="AP464" s="1">
        <v>7</v>
      </c>
      <c r="AQ464" s="1">
        <v>15</v>
      </c>
      <c r="AR464" s="1">
        <v>26</v>
      </c>
      <c r="AS464" s="1" t="s">
        <v>563</v>
      </c>
      <c r="AT464" s="1" t="s">
        <v>371</v>
      </c>
      <c r="AU464" s="1" t="s">
        <v>564</v>
      </c>
      <c r="AV464" s="1" t="s">
        <v>82</v>
      </c>
      <c r="AW464" s="1" t="s">
        <v>8898</v>
      </c>
      <c r="AX464" s="1" t="s">
        <v>82</v>
      </c>
      <c r="AY464" s="1" t="s">
        <v>8899</v>
      </c>
      <c r="AZ464" s="1" t="s">
        <v>8900</v>
      </c>
      <c r="BA464" s="1" t="s">
        <v>3503</v>
      </c>
      <c r="BB464" s="1">
        <v>2022</v>
      </c>
      <c r="BC464" s="1">
        <v>18</v>
      </c>
      <c r="BD464" s="1">
        <v>1</v>
      </c>
      <c r="BE464" s="1" t="s">
        <v>82</v>
      </c>
      <c r="BF464" s="1" t="s">
        <v>82</v>
      </c>
      <c r="BG464" s="1" t="s">
        <v>82</v>
      </c>
      <c r="BH464" s="1" t="s">
        <v>82</v>
      </c>
      <c r="BI464" s="1" t="s">
        <v>82</v>
      </c>
      <c r="BJ464" s="1" t="s">
        <v>82</v>
      </c>
      <c r="BK464" s="1">
        <v>3</v>
      </c>
      <c r="BL464" s="1" t="s">
        <v>9017</v>
      </c>
      <c r="BM464" s="1" t="str">
        <f>HYPERLINK("http://dx.doi.org/10.1186/s13002-022-00501-3","http://dx.doi.org/10.1186/s13002-022-00501-3")</f>
        <v>http://dx.doi.org/10.1186/s13002-022-00501-3</v>
      </c>
      <c r="BN464" s="1" t="s">
        <v>82</v>
      </c>
      <c r="BO464" s="1" t="s">
        <v>82</v>
      </c>
      <c r="BP464" s="1">
        <v>21</v>
      </c>
      <c r="BQ464" s="1" t="s">
        <v>8903</v>
      </c>
      <c r="BR464" s="1" t="s">
        <v>104</v>
      </c>
      <c r="BS464" s="1" t="s">
        <v>8904</v>
      </c>
      <c r="BT464" s="1" t="s">
        <v>9018</v>
      </c>
      <c r="BU464" s="1">
        <v>35062974</v>
      </c>
      <c r="BV464" s="1" t="s">
        <v>592</v>
      </c>
      <c r="BW464" s="1" t="s">
        <v>82</v>
      </c>
      <c r="BX464" s="1" t="s">
        <v>82</v>
      </c>
      <c r="BY464" s="1" t="s">
        <v>108</v>
      </c>
      <c r="BZ464" s="1" t="s">
        <v>9019</v>
      </c>
      <c r="CA464" s="1" t="str">
        <f>HYPERLINK("https%3A%2F%2Fwww.webofscience.com%2Fwos%2Fwoscc%2Ffull-record%2FWOS:000745511400001","View Full Record in Web of Science")</f>
        <v>View Full Record in Web of Science</v>
      </c>
    </row>
    <row r="465" s="1" customFormat="1" ht="14.4" spans="1:79">
      <c r="A465">
        <v>464</v>
      </c>
      <c r="B465" t="s">
        <v>79</v>
      </c>
      <c r="C465" t="s">
        <v>80</v>
      </c>
      <c r="D465" t="s">
        <v>9020</v>
      </c>
      <c r="E465" t="s">
        <v>82</v>
      </c>
      <c r="F465" t="s">
        <v>82</v>
      </c>
      <c r="G465" t="s">
        <v>82</v>
      </c>
      <c r="H465" t="s">
        <v>9021</v>
      </c>
      <c r="I465" t="s">
        <v>82</v>
      </c>
      <c r="J465" t="s">
        <v>82</v>
      </c>
      <c r="K465" t="s">
        <v>9022</v>
      </c>
      <c r="L465" t="s">
        <v>9023</v>
      </c>
      <c r="M465">
        <v>3.359</v>
      </c>
      <c r="N465"/>
      <c r="O465" t="s">
        <v>82</v>
      </c>
      <c r="P465" t="s">
        <v>82</v>
      </c>
      <c r="Q465" t="s">
        <v>87</v>
      </c>
      <c r="R465" t="s">
        <v>115</v>
      </c>
      <c r="S465" t="s">
        <v>82</v>
      </c>
      <c r="T465" t="s">
        <v>82</v>
      </c>
      <c r="U465" t="s">
        <v>82</v>
      </c>
      <c r="V465" t="s">
        <v>82</v>
      </c>
      <c r="W465" t="s">
        <v>82</v>
      </c>
      <c r="X465" t="s">
        <v>9024</v>
      </c>
      <c r="Y465" t="s">
        <v>9025</v>
      </c>
      <c r="Z465" t="s">
        <v>9026</v>
      </c>
      <c r="AA465"/>
      <c r="AB465" t="s">
        <v>9027</v>
      </c>
      <c r="AC465" t="s">
        <v>9028</v>
      </c>
      <c r="AD465" s="1" t="s">
        <v>206</v>
      </c>
      <c r="AE465" t="s">
        <v>9029</v>
      </c>
      <c r="AF465" t="s">
        <v>9030</v>
      </c>
      <c r="AG465" t="s">
        <v>9031</v>
      </c>
      <c r="AH465" t="s">
        <v>82</v>
      </c>
      <c r="AI465" t="s">
        <v>9032</v>
      </c>
      <c r="AJ465" t="s">
        <v>9033</v>
      </c>
      <c r="AK465" t="s">
        <v>9034</v>
      </c>
      <c r="AL465" t="s">
        <v>9035</v>
      </c>
      <c r="AM465" t="s">
        <v>82</v>
      </c>
      <c r="AN465">
        <v>92</v>
      </c>
      <c r="AO465">
        <v>0</v>
      </c>
      <c r="AP465">
        <v>0</v>
      </c>
      <c r="AQ465">
        <v>0</v>
      </c>
      <c r="AR465">
        <v>0</v>
      </c>
      <c r="AS465" t="s">
        <v>1982</v>
      </c>
      <c r="AT465" t="s">
        <v>975</v>
      </c>
      <c r="AU465" t="s">
        <v>1983</v>
      </c>
      <c r="AV465" t="s">
        <v>9036</v>
      </c>
      <c r="AW465" t="s">
        <v>9037</v>
      </c>
      <c r="AX465" t="s">
        <v>82</v>
      </c>
      <c r="AY465" t="s">
        <v>9023</v>
      </c>
      <c r="AZ465" t="s">
        <v>9038</v>
      </c>
      <c r="BA465" t="s">
        <v>486</v>
      </c>
      <c r="BB465">
        <v>2022</v>
      </c>
      <c r="BC465">
        <v>44</v>
      </c>
      <c r="BD465">
        <v>6</v>
      </c>
      <c r="BE465" t="s">
        <v>82</v>
      </c>
      <c r="BF465" t="s">
        <v>82</v>
      </c>
      <c r="BG465" t="s">
        <v>82</v>
      </c>
      <c r="BH465" t="s">
        <v>82</v>
      </c>
      <c r="BI465">
        <v>519</v>
      </c>
      <c r="BJ465">
        <v>529</v>
      </c>
      <c r="BK465" t="s">
        <v>82</v>
      </c>
      <c r="BL465" t="s">
        <v>9039</v>
      </c>
      <c r="BM465" t="s">
        <v>9040</v>
      </c>
      <c r="BN465" t="s">
        <v>82</v>
      </c>
      <c r="BO465" t="s">
        <v>82</v>
      </c>
      <c r="BP465">
        <v>11</v>
      </c>
      <c r="BQ465" t="s">
        <v>378</v>
      </c>
      <c r="BR465" t="s">
        <v>104</v>
      </c>
      <c r="BS465" t="s">
        <v>378</v>
      </c>
      <c r="BT465" t="s">
        <v>9041</v>
      </c>
      <c r="BU465">
        <v>36540705</v>
      </c>
      <c r="BV465" t="s">
        <v>808</v>
      </c>
      <c r="BW465" t="s">
        <v>82</v>
      </c>
      <c r="BX465" t="s">
        <v>82</v>
      </c>
      <c r="BY465" t="s">
        <v>340</v>
      </c>
      <c r="BZ465" t="s">
        <v>9042</v>
      </c>
      <c r="CA465" t="s">
        <v>342</v>
      </c>
    </row>
    <row r="466" s="1" customFormat="1" ht="14.4" spans="1:79">
      <c r="A466">
        <v>465</v>
      </c>
      <c r="B466" s="2" t="s">
        <v>79</v>
      </c>
      <c r="C466" s="1" t="s">
        <v>80</v>
      </c>
      <c r="D466" s="1" t="s">
        <v>9043</v>
      </c>
      <c r="E466" s="1" t="s">
        <v>82</v>
      </c>
      <c r="F466" s="1" t="s">
        <v>82</v>
      </c>
      <c r="G466" s="1" t="s">
        <v>82</v>
      </c>
      <c r="H466" s="1" t="s">
        <v>9044</v>
      </c>
      <c r="I466" s="1" t="s">
        <v>82</v>
      </c>
      <c r="J466" s="1" t="s">
        <v>82</v>
      </c>
      <c r="K466" s="1" t="s">
        <v>9045</v>
      </c>
      <c r="L466" s="1" t="s">
        <v>9023</v>
      </c>
      <c r="M466" s="1">
        <v>3.359</v>
      </c>
      <c r="O466" s="1" t="s">
        <v>82</v>
      </c>
      <c r="P466" s="1" t="s">
        <v>82</v>
      </c>
      <c r="Q466" s="1" t="s">
        <v>87</v>
      </c>
      <c r="R466" s="1" t="s">
        <v>88</v>
      </c>
      <c r="S466" s="1" t="s">
        <v>82</v>
      </c>
      <c r="T466" s="1" t="s">
        <v>82</v>
      </c>
      <c r="U466" s="1" t="s">
        <v>82</v>
      </c>
      <c r="V466" s="1" t="s">
        <v>82</v>
      </c>
      <c r="W466" s="1" t="s">
        <v>82</v>
      </c>
      <c r="X466" s="1" t="s">
        <v>82</v>
      </c>
      <c r="Y466" s="1" t="s">
        <v>82</v>
      </c>
      <c r="Z466" s="1" t="s">
        <v>82</v>
      </c>
      <c r="AA466" s="1">
        <v>1</v>
      </c>
      <c r="AB466" s="1" t="s">
        <v>9046</v>
      </c>
      <c r="AC466" s="1" t="s">
        <v>9047</v>
      </c>
      <c r="AD466" s="1" t="s">
        <v>93</v>
      </c>
      <c r="AE466" s="1" t="s">
        <v>9048</v>
      </c>
      <c r="AF466" s="1" t="s">
        <v>9049</v>
      </c>
      <c r="AG466" s="1" t="s">
        <v>9050</v>
      </c>
      <c r="AH466" s="1" t="s">
        <v>8031</v>
      </c>
      <c r="AI466" s="1" t="s">
        <v>8032</v>
      </c>
      <c r="AJ466" s="1" t="s">
        <v>9051</v>
      </c>
      <c r="AK466" s="1" t="s">
        <v>9052</v>
      </c>
      <c r="AL466" s="1" t="s">
        <v>9053</v>
      </c>
      <c r="AM466" s="1" t="s">
        <v>82</v>
      </c>
      <c r="AN466" s="1">
        <v>23</v>
      </c>
      <c r="AO466" s="1">
        <v>0</v>
      </c>
      <c r="AP466" s="1">
        <v>0</v>
      </c>
      <c r="AQ466" s="1">
        <v>0</v>
      </c>
      <c r="AR466" s="1">
        <v>0</v>
      </c>
      <c r="AS466" s="1" t="s">
        <v>1982</v>
      </c>
      <c r="AT466" s="1" t="s">
        <v>975</v>
      </c>
      <c r="AU466" s="1" t="s">
        <v>1983</v>
      </c>
      <c r="AV466" s="1" t="s">
        <v>9036</v>
      </c>
      <c r="AW466" s="1" t="s">
        <v>9037</v>
      </c>
      <c r="AX466" s="1" t="s">
        <v>82</v>
      </c>
      <c r="AY466" s="1" t="s">
        <v>9023</v>
      </c>
      <c r="AZ466" s="1" t="s">
        <v>9038</v>
      </c>
      <c r="BA466" s="1" t="s">
        <v>486</v>
      </c>
      <c r="BB466" s="1">
        <v>2022</v>
      </c>
      <c r="BC466" s="1">
        <v>44</v>
      </c>
      <c r="BD466" s="1">
        <v>6</v>
      </c>
      <c r="BE466" s="1" t="s">
        <v>82</v>
      </c>
      <c r="BF466" s="1" t="s">
        <v>82</v>
      </c>
      <c r="BG466" s="1" t="s">
        <v>82</v>
      </c>
      <c r="BH466" s="1" t="s">
        <v>82</v>
      </c>
      <c r="BI466" s="1">
        <v>625</v>
      </c>
      <c r="BJ466" s="1">
        <v>628</v>
      </c>
      <c r="BK466" s="1" t="s">
        <v>82</v>
      </c>
      <c r="BL466" s="1" t="s">
        <v>9054</v>
      </c>
      <c r="BM466" s="1" t="str">
        <f>HYPERLINK("http://dx.doi.org/10.1016/j.pld.2022.09.005","http://dx.doi.org/10.1016/j.pld.2022.09.005")</f>
        <v>http://dx.doi.org/10.1016/j.pld.2022.09.005</v>
      </c>
      <c r="BN466" s="1" t="s">
        <v>82</v>
      </c>
      <c r="BO466" s="1" t="s">
        <v>82</v>
      </c>
      <c r="BP466" s="1">
        <v>4</v>
      </c>
      <c r="BQ466" s="1" t="s">
        <v>378</v>
      </c>
      <c r="BR466" s="1" t="s">
        <v>104</v>
      </c>
      <c r="BS466" s="1" t="s">
        <v>378</v>
      </c>
      <c r="BT466" s="1" t="s">
        <v>9055</v>
      </c>
      <c r="BU466" s="1">
        <v>36540710</v>
      </c>
      <c r="BV466" s="1" t="s">
        <v>592</v>
      </c>
      <c r="BW466" s="1" t="s">
        <v>82</v>
      </c>
      <c r="BX466" s="1" t="s">
        <v>82</v>
      </c>
      <c r="BY466" s="1" t="s">
        <v>108</v>
      </c>
      <c r="BZ466" s="1" t="s">
        <v>9056</v>
      </c>
      <c r="CA466" s="1" t="str">
        <f>HYPERLINK("https%3A%2F%2Fwww.webofscience.com%2Fwos%2Fwoscc%2Ffull-record%2FWOS:000901840900001","View Full Record in Web of Science")</f>
        <v>View Full Record in Web of Science</v>
      </c>
    </row>
    <row r="467" s="1" customFormat="1" ht="14.4" spans="1:79">
      <c r="A467">
        <v>466</v>
      </c>
      <c r="B467" s="2" t="s">
        <v>79</v>
      </c>
      <c r="C467" s="1" t="s">
        <v>80</v>
      </c>
      <c r="D467" s="1" t="s">
        <v>9057</v>
      </c>
      <c r="E467" s="1" t="s">
        <v>82</v>
      </c>
      <c r="F467" s="1" t="s">
        <v>82</v>
      </c>
      <c r="G467" s="1" t="s">
        <v>82</v>
      </c>
      <c r="H467" s="1" t="s">
        <v>9058</v>
      </c>
      <c r="I467" s="1" t="s">
        <v>82</v>
      </c>
      <c r="J467" s="1" t="s">
        <v>82</v>
      </c>
      <c r="K467" s="1" t="s">
        <v>9059</v>
      </c>
      <c r="L467" s="1" t="s">
        <v>9023</v>
      </c>
      <c r="M467" s="1">
        <v>3.359</v>
      </c>
      <c r="O467" s="1" t="s">
        <v>82</v>
      </c>
      <c r="P467" s="1" t="s">
        <v>82</v>
      </c>
      <c r="Q467" s="1" t="s">
        <v>87</v>
      </c>
      <c r="R467" s="1" t="s">
        <v>115</v>
      </c>
      <c r="S467" s="1" t="s">
        <v>82</v>
      </c>
      <c r="T467" s="1" t="s">
        <v>82</v>
      </c>
      <c r="U467" s="1" t="s">
        <v>82</v>
      </c>
      <c r="V467" s="1" t="s">
        <v>82</v>
      </c>
      <c r="W467" s="1" t="s">
        <v>82</v>
      </c>
      <c r="X467" s="1" t="s">
        <v>9060</v>
      </c>
      <c r="Y467" s="1" t="s">
        <v>9061</v>
      </c>
      <c r="Z467" s="1" t="s">
        <v>9062</v>
      </c>
      <c r="AA467" s="1">
        <v>1</v>
      </c>
      <c r="AB467" s="1" t="s">
        <v>3354</v>
      </c>
      <c r="AC467" s="1" t="s">
        <v>9063</v>
      </c>
      <c r="AD467" s="1" t="s">
        <v>93</v>
      </c>
      <c r="AE467" s="1" t="s">
        <v>9064</v>
      </c>
      <c r="AF467" s="1" t="s">
        <v>9065</v>
      </c>
      <c r="AG467" s="1" t="s">
        <v>3358</v>
      </c>
      <c r="AH467" s="1" t="s">
        <v>2307</v>
      </c>
      <c r="AI467" s="1" t="s">
        <v>6715</v>
      </c>
      <c r="AJ467" s="1" t="s">
        <v>9066</v>
      </c>
      <c r="AK467" s="1" t="s">
        <v>9067</v>
      </c>
      <c r="AL467" s="1" t="s">
        <v>9068</v>
      </c>
      <c r="AM467" s="1" t="s">
        <v>82</v>
      </c>
      <c r="AN467" s="1">
        <v>74</v>
      </c>
      <c r="AO467" s="1">
        <v>0</v>
      </c>
      <c r="AP467" s="1">
        <v>0</v>
      </c>
      <c r="AQ467" s="1">
        <v>0</v>
      </c>
      <c r="AR467" s="1">
        <v>0</v>
      </c>
      <c r="AS467" s="1" t="s">
        <v>1982</v>
      </c>
      <c r="AT467" s="1" t="s">
        <v>975</v>
      </c>
      <c r="AU467" s="1" t="s">
        <v>1983</v>
      </c>
      <c r="AV467" s="1" t="s">
        <v>9036</v>
      </c>
      <c r="AW467" s="1" t="s">
        <v>9037</v>
      </c>
      <c r="AX467" s="1" t="s">
        <v>82</v>
      </c>
      <c r="AY467" s="1" t="s">
        <v>9023</v>
      </c>
      <c r="AZ467" s="1" t="s">
        <v>9038</v>
      </c>
      <c r="BA467" s="1" t="s">
        <v>486</v>
      </c>
      <c r="BB467" s="1">
        <v>2022</v>
      </c>
      <c r="BC467" s="1">
        <v>44</v>
      </c>
      <c r="BD467" s="1">
        <v>6</v>
      </c>
      <c r="BE467" s="1" t="s">
        <v>82</v>
      </c>
      <c r="BF467" s="1" t="s">
        <v>82</v>
      </c>
      <c r="BG467" s="1" t="s">
        <v>82</v>
      </c>
      <c r="BH467" s="1" t="s">
        <v>82</v>
      </c>
      <c r="BI467" s="1">
        <v>530</v>
      </c>
      <c r="BJ467" s="1">
        <v>541</v>
      </c>
      <c r="BK467" s="1" t="s">
        <v>82</v>
      </c>
      <c r="BL467" s="1" t="s">
        <v>9069</v>
      </c>
      <c r="BM467" s="1" t="str">
        <f>HYPERLINK("http://dx.doi.org/10.1016/j.pld.2021.08.005","http://dx.doi.org/10.1016/j.pld.2021.08.005")</f>
        <v>http://dx.doi.org/10.1016/j.pld.2021.08.005</v>
      </c>
      <c r="BN467" s="1" t="s">
        <v>82</v>
      </c>
      <c r="BO467" s="1" t="s">
        <v>82</v>
      </c>
      <c r="BP467" s="1">
        <v>12</v>
      </c>
      <c r="BQ467" s="1" t="s">
        <v>378</v>
      </c>
      <c r="BR467" s="1" t="s">
        <v>104</v>
      </c>
      <c r="BS467" s="1" t="s">
        <v>378</v>
      </c>
      <c r="BT467" s="1" t="s">
        <v>9070</v>
      </c>
      <c r="BU467" s="1">
        <v>36540707</v>
      </c>
      <c r="BV467" s="1" t="s">
        <v>635</v>
      </c>
      <c r="BW467" s="1" t="s">
        <v>82</v>
      </c>
      <c r="BX467" s="1" t="s">
        <v>82</v>
      </c>
      <c r="BY467" s="1" t="s">
        <v>108</v>
      </c>
      <c r="BZ467" s="1" t="s">
        <v>9071</v>
      </c>
      <c r="CA467" s="1" t="str">
        <f>HYPERLINK("https%3A%2F%2Fwww.webofscience.com%2Fwos%2Fwoscc%2Ffull-record%2FWOS:000901528600001","View Full Record in Web of Science")</f>
        <v>View Full Record in Web of Science</v>
      </c>
    </row>
    <row r="468" s="1" customFormat="1" ht="14.4" spans="1:79">
      <c r="A468">
        <v>467</v>
      </c>
      <c r="B468" s="2" t="s">
        <v>79</v>
      </c>
      <c r="C468" s="1" t="s">
        <v>80</v>
      </c>
      <c r="D468" s="1" t="s">
        <v>9072</v>
      </c>
      <c r="E468" s="1" t="s">
        <v>82</v>
      </c>
      <c r="F468" s="1" t="s">
        <v>82</v>
      </c>
      <c r="G468" s="1" t="s">
        <v>82</v>
      </c>
      <c r="H468" s="1" t="s">
        <v>9073</v>
      </c>
      <c r="I468" s="1" t="s">
        <v>82</v>
      </c>
      <c r="J468" s="1" t="s">
        <v>82</v>
      </c>
      <c r="K468" s="1" t="s">
        <v>9074</v>
      </c>
      <c r="L468" s="1" t="s">
        <v>9023</v>
      </c>
      <c r="M468" s="1">
        <v>3.359</v>
      </c>
      <c r="O468" s="1" t="s">
        <v>82</v>
      </c>
      <c r="P468" s="1" t="s">
        <v>82</v>
      </c>
      <c r="Q468" s="1" t="s">
        <v>87</v>
      </c>
      <c r="R468" s="1" t="s">
        <v>115</v>
      </c>
      <c r="S468" s="1" t="s">
        <v>82</v>
      </c>
      <c r="T468" s="1" t="s">
        <v>82</v>
      </c>
      <c r="U468" s="1" t="s">
        <v>82</v>
      </c>
      <c r="V468" s="1" t="s">
        <v>82</v>
      </c>
      <c r="W468" s="1" t="s">
        <v>82</v>
      </c>
      <c r="X468" s="1" t="s">
        <v>9075</v>
      </c>
      <c r="Y468" s="1" t="s">
        <v>9076</v>
      </c>
      <c r="Z468" s="1" t="s">
        <v>9077</v>
      </c>
      <c r="AA468" s="1">
        <v>1</v>
      </c>
      <c r="AB468" s="1" t="s">
        <v>9078</v>
      </c>
      <c r="AC468" s="1" t="s">
        <v>9079</v>
      </c>
      <c r="AD468" s="1" t="s">
        <v>93</v>
      </c>
      <c r="AE468" s="1" t="s">
        <v>1959</v>
      </c>
      <c r="AF468" s="1" t="s">
        <v>9080</v>
      </c>
      <c r="AG468" s="1" t="s">
        <v>9081</v>
      </c>
      <c r="AH468" s="1" t="s">
        <v>9082</v>
      </c>
      <c r="AI468" s="1" t="s">
        <v>9083</v>
      </c>
      <c r="AJ468" s="1" t="s">
        <v>9084</v>
      </c>
      <c r="AK468" s="1" t="s">
        <v>9085</v>
      </c>
      <c r="AL468" s="1" t="s">
        <v>9086</v>
      </c>
      <c r="AM468" s="1" t="s">
        <v>82</v>
      </c>
      <c r="AN468" s="1">
        <v>48</v>
      </c>
      <c r="AO468" s="1">
        <v>0</v>
      </c>
      <c r="AP468" s="1">
        <v>0</v>
      </c>
      <c r="AQ468" s="1">
        <v>1</v>
      </c>
      <c r="AR468" s="1">
        <v>1</v>
      </c>
      <c r="AS468" s="1" t="s">
        <v>1982</v>
      </c>
      <c r="AT468" s="1" t="s">
        <v>975</v>
      </c>
      <c r="AU468" s="1" t="s">
        <v>1983</v>
      </c>
      <c r="AV468" s="1" t="s">
        <v>9036</v>
      </c>
      <c r="AW468" s="1" t="s">
        <v>9037</v>
      </c>
      <c r="AX468" s="1" t="s">
        <v>82</v>
      </c>
      <c r="AY468" s="1" t="s">
        <v>9023</v>
      </c>
      <c r="AZ468" s="1" t="s">
        <v>9038</v>
      </c>
      <c r="BA468" s="1" t="s">
        <v>486</v>
      </c>
      <c r="BB468" s="1">
        <v>2022</v>
      </c>
      <c r="BC468" s="1">
        <v>44</v>
      </c>
      <c r="BD468" s="1">
        <v>6</v>
      </c>
      <c r="BE468" s="1" t="s">
        <v>82</v>
      </c>
      <c r="BF468" s="1" t="s">
        <v>82</v>
      </c>
      <c r="BG468" s="1" t="s">
        <v>82</v>
      </c>
      <c r="BH468" s="1" t="s">
        <v>82</v>
      </c>
      <c r="BI468" s="1">
        <v>607</v>
      </c>
      <c r="BJ468" s="1">
        <v>616</v>
      </c>
      <c r="BK468" s="1" t="s">
        <v>82</v>
      </c>
      <c r="BL468" s="1" t="s">
        <v>9087</v>
      </c>
      <c r="BM468" s="1" t="str">
        <f>HYPERLINK("http://dx.doi.org/10.1016/j.pld.2021.07.0032468-2659","http://dx.doi.org/10.1016/j.pld.2021.07.0032468-2659")</f>
        <v>http://dx.doi.org/10.1016/j.pld.2021.07.0032468-2659</v>
      </c>
      <c r="BN468" s="1" t="s">
        <v>82</v>
      </c>
      <c r="BO468" s="1" t="s">
        <v>82</v>
      </c>
      <c r="BP468" s="1">
        <v>10</v>
      </c>
      <c r="BQ468" s="1" t="s">
        <v>378</v>
      </c>
      <c r="BR468" s="1" t="s">
        <v>104</v>
      </c>
      <c r="BS468" s="1" t="s">
        <v>378</v>
      </c>
      <c r="BT468" s="1" t="s">
        <v>9088</v>
      </c>
      <c r="BU468" s="1">
        <v>36540704</v>
      </c>
      <c r="BV468" s="1" t="s">
        <v>82</v>
      </c>
      <c r="BW468" s="1" t="s">
        <v>82</v>
      </c>
      <c r="BX468" s="1" t="s">
        <v>82</v>
      </c>
      <c r="BY468" s="1" t="s">
        <v>108</v>
      </c>
      <c r="BZ468" s="1" t="s">
        <v>9089</v>
      </c>
      <c r="CA468" s="1" t="str">
        <f>HYPERLINK("https%3A%2F%2Fwww.webofscience.com%2Fwos%2Fwoscc%2Ffull-record%2FWOS:000901525600001","View Full Record in Web of Science")</f>
        <v>View Full Record in Web of Science</v>
      </c>
    </row>
    <row r="469" s="1" customFormat="1" ht="14.4" spans="1:79">
      <c r="A469">
        <v>468</v>
      </c>
      <c r="B469" s="2" t="s">
        <v>79</v>
      </c>
      <c r="C469" s="1" t="s">
        <v>80</v>
      </c>
      <c r="D469" s="1" t="s">
        <v>9090</v>
      </c>
      <c r="E469" s="1" t="s">
        <v>82</v>
      </c>
      <c r="F469" s="1" t="s">
        <v>82</v>
      </c>
      <c r="G469" s="1" t="s">
        <v>82</v>
      </c>
      <c r="H469" s="1" t="s">
        <v>9091</v>
      </c>
      <c r="I469" s="1" t="s">
        <v>82</v>
      </c>
      <c r="J469" s="1" t="s">
        <v>82</v>
      </c>
      <c r="K469" s="1" t="s">
        <v>9092</v>
      </c>
      <c r="L469" s="1" t="s">
        <v>9023</v>
      </c>
      <c r="M469" s="1">
        <v>3.359</v>
      </c>
      <c r="O469" s="1" t="s">
        <v>82</v>
      </c>
      <c r="P469" s="1" t="s">
        <v>82</v>
      </c>
      <c r="Q469" s="1" t="s">
        <v>87</v>
      </c>
      <c r="R469" s="1" t="s">
        <v>115</v>
      </c>
      <c r="S469" s="1" t="s">
        <v>82</v>
      </c>
      <c r="T469" s="1" t="s">
        <v>82</v>
      </c>
      <c r="U469" s="1" t="s">
        <v>82</v>
      </c>
      <c r="V469" s="1" t="s">
        <v>82</v>
      </c>
      <c r="W469" s="1" t="s">
        <v>82</v>
      </c>
      <c r="X469" s="1" t="s">
        <v>9093</v>
      </c>
      <c r="Y469" s="1" t="s">
        <v>9094</v>
      </c>
      <c r="Z469" s="1" t="s">
        <v>9095</v>
      </c>
      <c r="AB469" s="1" t="s">
        <v>9096</v>
      </c>
      <c r="AC469" s="1" t="s">
        <v>9097</v>
      </c>
      <c r="AD469" s="1" t="s">
        <v>120</v>
      </c>
      <c r="AE469" s="1" t="s">
        <v>9098</v>
      </c>
      <c r="AF469" s="1" t="s">
        <v>9099</v>
      </c>
      <c r="AG469" s="1" t="s">
        <v>8742</v>
      </c>
      <c r="AH469" s="1" t="s">
        <v>5585</v>
      </c>
      <c r="AI469" s="1" t="s">
        <v>9100</v>
      </c>
      <c r="AJ469" s="1" t="s">
        <v>9101</v>
      </c>
      <c r="AK469" s="1" t="s">
        <v>9102</v>
      </c>
      <c r="AL469" s="1" t="s">
        <v>9103</v>
      </c>
      <c r="AM469" s="1" t="s">
        <v>82</v>
      </c>
      <c r="AN469" s="1">
        <v>57</v>
      </c>
      <c r="AO469" s="1">
        <v>3</v>
      </c>
      <c r="AP469" s="1">
        <v>3</v>
      </c>
      <c r="AQ469" s="1">
        <v>3</v>
      </c>
      <c r="AR469" s="1">
        <v>3</v>
      </c>
      <c r="AS469" s="1" t="s">
        <v>1982</v>
      </c>
      <c r="AT469" s="1" t="s">
        <v>975</v>
      </c>
      <c r="AU469" s="1" t="s">
        <v>1983</v>
      </c>
      <c r="AV469" s="1" t="s">
        <v>9036</v>
      </c>
      <c r="AW469" s="1" t="s">
        <v>9037</v>
      </c>
      <c r="AX469" s="1" t="s">
        <v>82</v>
      </c>
      <c r="AY469" s="1" t="s">
        <v>9023</v>
      </c>
      <c r="AZ469" s="1" t="s">
        <v>9038</v>
      </c>
      <c r="BA469" s="1" t="s">
        <v>1403</v>
      </c>
      <c r="BB469" s="1">
        <v>2022</v>
      </c>
      <c r="BC469" s="1">
        <v>44</v>
      </c>
      <c r="BD469" s="1">
        <v>4</v>
      </c>
      <c r="BE469" s="1" t="s">
        <v>82</v>
      </c>
      <c r="BF469" s="1" t="s">
        <v>82</v>
      </c>
      <c r="BG469" s="1" t="s">
        <v>82</v>
      </c>
      <c r="BH469" s="1" t="s">
        <v>82</v>
      </c>
      <c r="BI469" s="1">
        <v>406</v>
      </c>
      <c r="BJ469" s="1">
        <v>416</v>
      </c>
      <c r="BK469" s="1" t="s">
        <v>82</v>
      </c>
      <c r="BL469" s="1" t="s">
        <v>9104</v>
      </c>
      <c r="BM469" s="1" t="str">
        <f>HYPERLINK("http://dx.doi.org/10.1016/j.pld.2021.08.003","http://dx.doi.org/10.1016/j.pld.2021.08.003")</f>
        <v>http://dx.doi.org/10.1016/j.pld.2021.08.003</v>
      </c>
      <c r="BN469" s="1" t="s">
        <v>82</v>
      </c>
      <c r="BO469" s="1" t="s">
        <v>82</v>
      </c>
      <c r="BP469" s="1">
        <v>11</v>
      </c>
      <c r="BQ469" s="1" t="s">
        <v>378</v>
      </c>
      <c r="BR469" s="1" t="s">
        <v>104</v>
      </c>
      <c r="BS469" s="1" t="s">
        <v>378</v>
      </c>
      <c r="BT469" s="1" t="s">
        <v>9105</v>
      </c>
      <c r="BU469" s="1">
        <v>35967257</v>
      </c>
      <c r="BV469" s="1" t="s">
        <v>592</v>
      </c>
      <c r="BW469" s="1" t="s">
        <v>82</v>
      </c>
      <c r="BX469" s="1" t="s">
        <v>82</v>
      </c>
      <c r="BY469" s="1" t="s">
        <v>108</v>
      </c>
      <c r="BZ469" s="1" t="s">
        <v>9106</v>
      </c>
      <c r="CA469" s="1" t="str">
        <f>HYPERLINK("https%3A%2F%2Fwww.webofscience.com%2Fwos%2Fwoscc%2Ffull-record%2FWOS:000860663400001","View Full Record in Web of Science")</f>
        <v>View Full Record in Web of Science</v>
      </c>
    </row>
    <row r="470" s="1" customFormat="1" ht="14.4" spans="1:79">
      <c r="A470">
        <v>469</v>
      </c>
      <c r="B470" s="2" t="s">
        <v>79</v>
      </c>
      <c r="C470" s="1" t="s">
        <v>80</v>
      </c>
      <c r="D470" s="1" t="s">
        <v>9107</v>
      </c>
      <c r="E470" s="1" t="s">
        <v>82</v>
      </c>
      <c r="F470" s="1" t="s">
        <v>82</v>
      </c>
      <c r="G470" s="1" t="s">
        <v>82</v>
      </c>
      <c r="H470" s="1" t="s">
        <v>9108</v>
      </c>
      <c r="I470" s="1" t="s">
        <v>82</v>
      </c>
      <c r="J470" s="1" t="s">
        <v>82</v>
      </c>
      <c r="K470" s="1" t="s">
        <v>9109</v>
      </c>
      <c r="L470" s="1" t="s">
        <v>9023</v>
      </c>
      <c r="M470" s="1">
        <v>3.359</v>
      </c>
      <c r="O470" s="1" t="s">
        <v>82</v>
      </c>
      <c r="P470" s="1" t="s">
        <v>82</v>
      </c>
      <c r="Q470" s="1" t="s">
        <v>87</v>
      </c>
      <c r="R470" s="1" t="s">
        <v>115</v>
      </c>
      <c r="S470" s="1" t="s">
        <v>82</v>
      </c>
      <c r="T470" s="1" t="s">
        <v>82</v>
      </c>
      <c r="U470" s="1" t="s">
        <v>82</v>
      </c>
      <c r="V470" s="1" t="s">
        <v>82</v>
      </c>
      <c r="W470" s="1" t="s">
        <v>82</v>
      </c>
      <c r="X470" s="1" t="s">
        <v>9110</v>
      </c>
      <c r="Y470" s="1" t="s">
        <v>9111</v>
      </c>
      <c r="Z470" s="1" t="s">
        <v>9112</v>
      </c>
      <c r="AB470" s="1" t="s">
        <v>9113</v>
      </c>
      <c r="AC470" s="1" t="s">
        <v>9114</v>
      </c>
      <c r="AD470" s="1" t="s">
        <v>120</v>
      </c>
      <c r="AE470" s="1" t="s">
        <v>9115</v>
      </c>
      <c r="AF470" s="1" t="s">
        <v>9116</v>
      </c>
      <c r="AG470" s="1" t="s">
        <v>9117</v>
      </c>
      <c r="AH470" s="1" t="s">
        <v>9118</v>
      </c>
      <c r="AI470" s="1" t="s">
        <v>9119</v>
      </c>
      <c r="AJ470" s="1" t="s">
        <v>9120</v>
      </c>
      <c r="AK470" s="1" t="s">
        <v>9121</v>
      </c>
      <c r="AL470" s="1" t="s">
        <v>9122</v>
      </c>
      <c r="AM470" s="1" t="s">
        <v>82</v>
      </c>
      <c r="AN470" s="1">
        <v>70</v>
      </c>
      <c r="AO470" s="1">
        <v>5</v>
      </c>
      <c r="AP470" s="1">
        <v>5</v>
      </c>
      <c r="AQ470" s="1">
        <v>23</v>
      </c>
      <c r="AR470" s="1">
        <v>23</v>
      </c>
      <c r="AS470" s="1" t="s">
        <v>1982</v>
      </c>
      <c r="AT470" s="1" t="s">
        <v>975</v>
      </c>
      <c r="AU470" s="1" t="s">
        <v>1983</v>
      </c>
      <c r="AV470" s="1" t="s">
        <v>9036</v>
      </c>
      <c r="AW470" s="1" t="s">
        <v>9037</v>
      </c>
      <c r="AX470" s="1" t="s">
        <v>82</v>
      </c>
      <c r="AY470" s="1" t="s">
        <v>9023</v>
      </c>
      <c r="AZ470" s="1" t="s">
        <v>9038</v>
      </c>
      <c r="BA470" s="1" t="s">
        <v>1403</v>
      </c>
      <c r="BB470" s="1">
        <v>2022</v>
      </c>
      <c r="BC470" s="1">
        <v>44</v>
      </c>
      <c r="BD470" s="1">
        <v>4</v>
      </c>
      <c r="BE470" s="1" t="s">
        <v>82</v>
      </c>
      <c r="BF470" s="1" t="s">
        <v>82</v>
      </c>
      <c r="BG470" s="1" t="s">
        <v>82</v>
      </c>
      <c r="BH470" s="1" t="s">
        <v>82</v>
      </c>
      <c r="BI470" s="1">
        <v>340</v>
      </c>
      <c r="BJ470" s="1">
        <v>350</v>
      </c>
      <c r="BK470" s="1" t="s">
        <v>82</v>
      </c>
      <c r="BL470" s="1" t="s">
        <v>9123</v>
      </c>
      <c r="BM470" s="1" t="str">
        <f>HYPERLINK("http://dx.doi.org/10.1016/j.pld.2022.05.003","http://dx.doi.org/10.1016/j.pld.2022.05.003")</f>
        <v>http://dx.doi.org/10.1016/j.pld.2022.05.003</v>
      </c>
      <c r="BN470" s="1" t="s">
        <v>82</v>
      </c>
      <c r="BO470" s="1" t="s">
        <v>82</v>
      </c>
      <c r="BP470" s="1">
        <v>11</v>
      </c>
      <c r="BQ470" s="1" t="s">
        <v>378</v>
      </c>
      <c r="BR470" s="1" t="s">
        <v>104</v>
      </c>
      <c r="BS470" s="1" t="s">
        <v>378</v>
      </c>
      <c r="BT470" s="1" t="s">
        <v>9124</v>
      </c>
      <c r="BU470" s="1">
        <v>35967253</v>
      </c>
      <c r="BV470" s="1" t="s">
        <v>592</v>
      </c>
      <c r="BW470" s="1" t="s">
        <v>82</v>
      </c>
      <c r="BX470" s="1" t="s">
        <v>82</v>
      </c>
      <c r="BY470" s="1" t="s">
        <v>108</v>
      </c>
      <c r="BZ470" s="1" t="s">
        <v>9125</v>
      </c>
      <c r="CA470" s="1" t="str">
        <f>HYPERLINK("https%3A%2F%2Fwww.webofscience.com%2Fwos%2Fwoscc%2Ffull-record%2FWOS:000844451000001","View Full Record in Web of Science")</f>
        <v>View Full Record in Web of Science</v>
      </c>
    </row>
    <row r="471" s="1" customFormat="1" ht="14.4" spans="1:79">
      <c r="A471">
        <v>470</v>
      </c>
      <c r="B471" s="2" t="s">
        <v>79</v>
      </c>
      <c r="C471" s="1" t="s">
        <v>80</v>
      </c>
      <c r="D471" s="1" t="s">
        <v>9126</v>
      </c>
      <c r="E471" s="1" t="s">
        <v>82</v>
      </c>
      <c r="F471" s="1" t="s">
        <v>82</v>
      </c>
      <c r="G471" s="1" t="s">
        <v>82</v>
      </c>
      <c r="H471" s="1" t="s">
        <v>9127</v>
      </c>
      <c r="I471" s="1" t="s">
        <v>82</v>
      </c>
      <c r="J471" s="1" t="s">
        <v>82</v>
      </c>
      <c r="K471" s="1" t="s">
        <v>9128</v>
      </c>
      <c r="L471" s="1" t="s">
        <v>9023</v>
      </c>
      <c r="M471" s="1">
        <v>3.359</v>
      </c>
      <c r="O471" s="1" t="s">
        <v>82</v>
      </c>
      <c r="P471" s="1" t="s">
        <v>82</v>
      </c>
      <c r="Q471" s="1" t="s">
        <v>87</v>
      </c>
      <c r="R471" s="1" t="s">
        <v>115</v>
      </c>
      <c r="S471" s="1" t="s">
        <v>82</v>
      </c>
      <c r="T471" s="1" t="s">
        <v>82</v>
      </c>
      <c r="U471" s="1" t="s">
        <v>82</v>
      </c>
      <c r="V471" s="1" t="s">
        <v>82</v>
      </c>
      <c r="W471" s="1" t="s">
        <v>82</v>
      </c>
      <c r="X471" s="1" t="s">
        <v>9129</v>
      </c>
      <c r="Y471" s="1" t="s">
        <v>9130</v>
      </c>
      <c r="Z471" s="1" t="s">
        <v>9131</v>
      </c>
      <c r="AA471" s="1">
        <v>1</v>
      </c>
      <c r="AB471" s="1" t="s">
        <v>9132</v>
      </c>
      <c r="AC471" s="1" t="s">
        <v>9133</v>
      </c>
      <c r="AD471" s="1" t="s">
        <v>93</v>
      </c>
      <c r="AE471" s="1" t="s">
        <v>2596</v>
      </c>
      <c r="AF471" s="1" t="s">
        <v>9134</v>
      </c>
      <c r="AG471" s="1" t="s">
        <v>9135</v>
      </c>
      <c r="AH471" s="1" t="s">
        <v>82</v>
      </c>
      <c r="AI471" s="1" t="s">
        <v>9136</v>
      </c>
      <c r="AJ471" s="1" t="s">
        <v>9137</v>
      </c>
      <c r="AK471" s="1" t="s">
        <v>9138</v>
      </c>
      <c r="AL471" s="1" t="s">
        <v>9139</v>
      </c>
      <c r="AM471" s="1" t="s">
        <v>82</v>
      </c>
      <c r="AN471" s="1">
        <v>90</v>
      </c>
      <c r="AO471" s="1">
        <v>1</v>
      </c>
      <c r="AP471" s="1">
        <v>2</v>
      </c>
      <c r="AQ471" s="1">
        <v>17</v>
      </c>
      <c r="AR471" s="1">
        <v>19</v>
      </c>
      <c r="AS471" s="1" t="s">
        <v>1982</v>
      </c>
      <c r="AT471" s="1" t="s">
        <v>975</v>
      </c>
      <c r="AU471" s="1" t="s">
        <v>1983</v>
      </c>
      <c r="AV471" s="1" t="s">
        <v>9036</v>
      </c>
      <c r="AW471" s="1" t="s">
        <v>9037</v>
      </c>
      <c r="AX471" s="1" t="s">
        <v>82</v>
      </c>
      <c r="AY471" s="1" t="s">
        <v>9023</v>
      </c>
      <c r="AZ471" s="1" t="s">
        <v>9038</v>
      </c>
      <c r="BA471" s="1" t="s">
        <v>245</v>
      </c>
      <c r="BB471" s="1">
        <v>2022</v>
      </c>
      <c r="BC471" s="1">
        <v>44</v>
      </c>
      <c r="BD471" s="1">
        <v>3</v>
      </c>
      <c r="BE471" s="1" t="s">
        <v>82</v>
      </c>
      <c r="BF471" s="1" t="s">
        <v>82</v>
      </c>
      <c r="BG471" s="1" t="s">
        <v>82</v>
      </c>
      <c r="BH471" s="1" t="s">
        <v>82</v>
      </c>
      <c r="BI471" s="1">
        <v>231</v>
      </c>
      <c r="BJ471" s="1">
        <v>242</v>
      </c>
      <c r="BK471" s="1" t="s">
        <v>82</v>
      </c>
      <c r="BL471" s="1" t="s">
        <v>9140</v>
      </c>
      <c r="BM471" s="1" t="str">
        <f>HYPERLINK("http://dx.doi.org/10.1016/j.pld.2021.09.001","http://dx.doi.org/10.1016/j.pld.2021.09.001")</f>
        <v>http://dx.doi.org/10.1016/j.pld.2021.09.001</v>
      </c>
      <c r="BN471" s="1" t="s">
        <v>82</v>
      </c>
      <c r="BO471" s="1" t="s">
        <v>82</v>
      </c>
      <c r="BP471" s="1">
        <v>12</v>
      </c>
      <c r="BQ471" s="1" t="s">
        <v>378</v>
      </c>
      <c r="BR471" s="1" t="s">
        <v>104</v>
      </c>
      <c r="BS471" s="1" t="s">
        <v>378</v>
      </c>
      <c r="BT471" s="1" t="s">
        <v>9141</v>
      </c>
      <c r="BU471" s="1">
        <v>35769589</v>
      </c>
      <c r="BV471" s="1" t="s">
        <v>592</v>
      </c>
      <c r="BW471" s="1" t="s">
        <v>82</v>
      </c>
      <c r="BX471" s="1" t="s">
        <v>82</v>
      </c>
      <c r="BY471" s="1" t="s">
        <v>108</v>
      </c>
      <c r="BZ471" s="1" t="s">
        <v>9142</v>
      </c>
      <c r="CA471" s="1" t="str">
        <f>HYPERLINK("https%3A%2F%2Fwww.webofscience.com%2Fwos%2Fwoscc%2Ffull-record%2FWOS:000814158000001","View Full Record in Web of Science")</f>
        <v>View Full Record in Web of Science</v>
      </c>
    </row>
    <row r="472" s="1" customFormat="1" ht="14.4" spans="1:79">
      <c r="A472">
        <v>471</v>
      </c>
      <c r="B472" s="2" t="s">
        <v>79</v>
      </c>
      <c r="C472" s="1" t="s">
        <v>80</v>
      </c>
      <c r="D472" s="1" t="s">
        <v>9143</v>
      </c>
      <c r="E472" s="1" t="s">
        <v>82</v>
      </c>
      <c r="F472" s="1" t="s">
        <v>82</v>
      </c>
      <c r="G472" s="1" t="s">
        <v>82</v>
      </c>
      <c r="H472" s="1" t="s">
        <v>9144</v>
      </c>
      <c r="I472" s="1" t="s">
        <v>82</v>
      </c>
      <c r="J472" s="1" t="s">
        <v>82</v>
      </c>
      <c r="K472" s="1" t="s">
        <v>9145</v>
      </c>
      <c r="L472" s="1" t="s">
        <v>9023</v>
      </c>
      <c r="M472" s="1">
        <v>3.359</v>
      </c>
      <c r="O472" s="1" t="s">
        <v>82</v>
      </c>
      <c r="P472" s="1" t="s">
        <v>82</v>
      </c>
      <c r="Q472" s="1" t="s">
        <v>87</v>
      </c>
      <c r="R472" s="1" t="s">
        <v>115</v>
      </c>
      <c r="S472" s="1" t="s">
        <v>82</v>
      </c>
      <c r="T472" s="1" t="s">
        <v>82</v>
      </c>
      <c r="U472" s="1" t="s">
        <v>82</v>
      </c>
      <c r="V472" s="1" t="s">
        <v>82</v>
      </c>
      <c r="W472" s="1" t="s">
        <v>82</v>
      </c>
      <c r="X472" s="1" t="s">
        <v>9146</v>
      </c>
      <c r="Y472" s="1" t="s">
        <v>9147</v>
      </c>
      <c r="Z472" s="1" t="s">
        <v>9148</v>
      </c>
      <c r="AB472" s="1" t="s">
        <v>9149</v>
      </c>
      <c r="AC472" s="1" t="s">
        <v>9150</v>
      </c>
      <c r="AD472" s="1" t="s">
        <v>206</v>
      </c>
      <c r="AE472" s="1" t="s">
        <v>9151</v>
      </c>
      <c r="AF472" s="1" t="s">
        <v>9152</v>
      </c>
      <c r="AG472" s="1" t="s">
        <v>9153</v>
      </c>
      <c r="AH472" s="1" t="s">
        <v>82</v>
      </c>
      <c r="AI472" s="1" t="s">
        <v>9154</v>
      </c>
      <c r="AJ472" s="1" t="s">
        <v>9155</v>
      </c>
      <c r="AK472" s="1" t="s">
        <v>9156</v>
      </c>
      <c r="AL472" s="1" t="s">
        <v>9157</v>
      </c>
      <c r="AM472" s="1" t="s">
        <v>82</v>
      </c>
      <c r="AN472" s="1">
        <v>72</v>
      </c>
      <c r="AO472" s="1">
        <v>1</v>
      </c>
      <c r="AP472" s="1">
        <v>1</v>
      </c>
      <c r="AQ472" s="1">
        <v>4</v>
      </c>
      <c r="AR472" s="1">
        <v>4</v>
      </c>
      <c r="AS472" s="1" t="s">
        <v>1982</v>
      </c>
      <c r="AT472" s="1" t="s">
        <v>975</v>
      </c>
      <c r="AU472" s="1" t="s">
        <v>1983</v>
      </c>
      <c r="AV472" s="1" t="s">
        <v>9036</v>
      </c>
      <c r="AW472" s="1" t="s">
        <v>9037</v>
      </c>
      <c r="AX472" s="1" t="s">
        <v>82</v>
      </c>
      <c r="AY472" s="1" t="s">
        <v>9023</v>
      </c>
      <c r="AZ472" s="1" t="s">
        <v>9038</v>
      </c>
      <c r="BA472" s="1" t="s">
        <v>245</v>
      </c>
      <c r="BB472" s="1">
        <v>2022</v>
      </c>
      <c r="BC472" s="1">
        <v>44</v>
      </c>
      <c r="BD472" s="1">
        <v>3</v>
      </c>
      <c r="BE472" s="1" t="s">
        <v>82</v>
      </c>
      <c r="BF472" s="1" t="s">
        <v>82</v>
      </c>
      <c r="BG472" s="1" t="s">
        <v>82</v>
      </c>
      <c r="BH472" s="1" t="s">
        <v>82</v>
      </c>
      <c r="BI472" s="1">
        <v>290</v>
      </c>
      <c r="BJ472" s="1">
        <v>299</v>
      </c>
      <c r="BK472" s="1" t="s">
        <v>82</v>
      </c>
      <c r="BL472" s="1" t="s">
        <v>9158</v>
      </c>
      <c r="BM472" s="1" t="str">
        <f>HYPERLINK("http://dx.doi.org/10.1016/j.pld.2021.09.004","http://dx.doi.org/10.1016/j.pld.2021.09.004")</f>
        <v>http://dx.doi.org/10.1016/j.pld.2021.09.004</v>
      </c>
      <c r="BN472" s="1" t="s">
        <v>82</v>
      </c>
      <c r="BO472" s="1" t="s">
        <v>82</v>
      </c>
      <c r="BP472" s="1">
        <v>10</v>
      </c>
      <c r="BQ472" s="1" t="s">
        <v>378</v>
      </c>
      <c r="BR472" s="1" t="s">
        <v>104</v>
      </c>
      <c r="BS472" s="1" t="s">
        <v>378</v>
      </c>
      <c r="BT472" s="1" t="s">
        <v>9141</v>
      </c>
      <c r="BU472" s="1">
        <v>35769593</v>
      </c>
      <c r="BV472" s="1" t="s">
        <v>635</v>
      </c>
      <c r="BW472" s="1" t="s">
        <v>82</v>
      </c>
      <c r="BX472" s="1" t="s">
        <v>82</v>
      </c>
      <c r="BY472" s="1" t="s">
        <v>108</v>
      </c>
      <c r="BZ472" s="1" t="s">
        <v>9159</v>
      </c>
      <c r="CA472" s="1" t="str">
        <f>HYPERLINK("https%3A%2F%2Fwww.webofscience.com%2Fwos%2Fwoscc%2Ffull-record%2FWOS:000814158000007","View Full Record in Web of Science")</f>
        <v>View Full Record in Web of Science</v>
      </c>
    </row>
    <row r="473" s="1" customFormat="1" ht="14.4" spans="1:79">
      <c r="A473">
        <v>472</v>
      </c>
      <c r="B473" s="2" t="s">
        <v>79</v>
      </c>
      <c r="C473" s="1" t="s">
        <v>80</v>
      </c>
      <c r="D473" s="1" t="s">
        <v>9160</v>
      </c>
      <c r="E473" s="1" t="s">
        <v>82</v>
      </c>
      <c r="F473" s="1" t="s">
        <v>82</v>
      </c>
      <c r="G473" s="1" t="s">
        <v>82</v>
      </c>
      <c r="H473" s="1" t="s">
        <v>9161</v>
      </c>
      <c r="I473" s="1" t="s">
        <v>82</v>
      </c>
      <c r="J473" s="1" t="s">
        <v>82</v>
      </c>
      <c r="K473" s="1" t="s">
        <v>9162</v>
      </c>
      <c r="L473" s="1" t="s">
        <v>9023</v>
      </c>
      <c r="M473" s="1">
        <v>3.359</v>
      </c>
      <c r="O473" s="1" t="s">
        <v>82</v>
      </c>
      <c r="P473" s="1" t="s">
        <v>82</v>
      </c>
      <c r="Q473" s="1" t="s">
        <v>87</v>
      </c>
      <c r="R473" s="1" t="s">
        <v>115</v>
      </c>
      <c r="S473" s="1" t="s">
        <v>82</v>
      </c>
      <c r="T473" s="1" t="s">
        <v>82</v>
      </c>
      <c r="U473" s="1" t="s">
        <v>82</v>
      </c>
      <c r="V473" s="1" t="s">
        <v>82</v>
      </c>
      <c r="W473" s="1" t="s">
        <v>82</v>
      </c>
      <c r="X473" s="1" t="s">
        <v>9163</v>
      </c>
      <c r="Y473" s="1" t="s">
        <v>9164</v>
      </c>
      <c r="Z473" s="1" t="s">
        <v>9165</v>
      </c>
      <c r="AA473" s="1">
        <v>1</v>
      </c>
      <c r="AB473" s="1" t="s">
        <v>9166</v>
      </c>
      <c r="AC473" s="1" t="s">
        <v>9167</v>
      </c>
      <c r="AD473" s="1" t="s">
        <v>93</v>
      </c>
      <c r="AE473" s="1" t="s">
        <v>2596</v>
      </c>
      <c r="AF473" s="1" t="s">
        <v>9168</v>
      </c>
      <c r="AG473" s="1" t="s">
        <v>9169</v>
      </c>
      <c r="AH473" s="1" t="s">
        <v>82</v>
      </c>
      <c r="AI473" s="1" t="s">
        <v>9170</v>
      </c>
      <c r="AJ473" s="1" t="s">
        <v>9171</v>
      </c>
      <c r="AK473" s="1" t="s">
        <v>9172</v>
      </c>
      <c r="AL473" s="1" t="s">
        <v>9173</v>
      </c>
      <c r="AM473" s="1" t="s">
        <v>82</v>
      </c>
      <c r="AN473" s="1">
        <v>38</v>
      </c>
      <c r="AO473" s="1">
        <v>2</v>
      </c>
      <c r="AP473" s="1">
        <v>2</v>
      </c>
      <c r="AQ473" s="1">
        <v>1</v>
      </c>
      <c r="AR473" s="1">
        <v>4</v>
      </c>
      <c r="AS473" s="1" t="s">
        <v>1982</v>
      </c>
      <c r="AT473" s="1" t="s">
        <v>975</v>
      </c>
      <c r="AU473" s="1" t="s">
        <v>1983</v>
      </c>
      <c r="AV473" s="1" t="s">
        <v>9036</v>
      </c>
      <c r="AW473" s="1" t="s">
        <v>9037</v>
      </c>
      <c r="AX473" s="1" t="s">
        <v>82</v>
      </c>
      <c r="AY473" s="1" t="s">
        <v>9023</v>
      </c>
      <c r="AZ473" s="1" t="s">
        <v>9038</v>
      </c>
      <c r="BA473" s="1" t="s">
        <v>245</v>
      </c>
      <c r="BB473" s="1">
        <v>2022</v>
      </c>
      <c r="BC473" s="1">
        <v>44</v>
      </c>
      <c r="BD473" s="1">
        <v>3</v>
      </c>
      <c r="BE473" s="1" t="s">
        <v>82</v>
      </c>
      <c r="BF473" s="1" t="s">
        <v>82</v>
      </c>
      <c r="BG473" s="1" t="s">
        <v>82</v>
      </c>
      <c r="BH473" s="1" t="s">
        <v>82</v>
      </c>
      <c r="BI473" s="1">
        <v>316</v>
      </c>
      <c r="BJ473" s="1">
        <v>321</v>
      </c>
      <c r="BK473" s="1" t="s">
        <v>82</v>
      </c>
      <c r="BL473" s="1" t="s">
        <v>9174</v>
      </c>
      <c r="BM473" s="1" t="str">
        <f>HYPERLINK("http://dx.doi.org/10.1016/j.pld.2021.07.002","http://dx.doi.org/10.1016/j.pld.2021.07.002")</f>
        <v>http://dx.doi.org/10.1016/j.pld.2021.07.002</v>
      </c>
      <c r="BN473" s="1" t="s">
        <v>82</v>
      </c>
      <c r="BO473" s="1" t="s">
        <v>82</v>
      </c>
      <c r="BP473" s="1">
        <v>6</v>
      </c>
      <c r="BQ473" s="1" t="s">
        <v>378</v>
      </c>
      <c r="BR473" s="1" t="s">
        <v>104</v>
      </c>
      <c r="BS473" s="1" t="s">
        <v>378</v>
      </c>
      <c r="BT473" s="1" t="s">
        <v>9141</v>
      </c>
      <c r="BU473" s="1">
        <v>35769591</v>
      </c>
      <c r="BV473" s="1" t="s">
        <v>592</v>
      </c>
      <c r="BW473" s="1" t="s">
        <v>82</v>
      </c>
      <c r="BX473" s="1" t="s">
        <v>82</v>
      </c>
      <c r="BY473" s="1" t="s">
        <v>108</v>
      </c>
      <c r="BZ473" s="1" t="s">
        <v>9175</v>
      </c>
      <c r="CA473" s="1" t="str">
        <f>HYPERLINK("https%3A%2F%2Fwww.webofscience.com%2Fwos%2Fwoscc%2Ffull-record%2FWOS:000814158000010","View Full Record in Web of Science")</f>
        <v>View Full Record in Web of Science</v>
      </c>
    </row>
    <row r="474" s="1" customFormat="1" ht="14.4" spans="1:79">
      <c r="A474">
        <v>473</v>
      </c>
      <c r="B474" s="2" t="s">
        <v>79</v>
      </c>
      <c r="C474" s="1" t="s">
        <v>80</v>
      </c>
      <c r="D474" s="1" t="s">
        <v>9176</v>
      </c>
      <c r="E474" s="1" t="s">
        <v>82</v>
      </c>
      <c r="F474" s="1" t="s">
        <v>82</v>
      </c>
      <c r="G474" s="1" t="s">
        <v>82</v>
      </c>
      <c r="H474" s="1" t="s">
        <v>9177</v>
      </c>
      <c r="I474" s="1" t="s">
        <v>82</v>
      </c>
      <c r="J474" s="1" t="s">
        <v>82</v>
      </c>
      <c r="K474" s="1" t="s">
        <v>9178</v>
      </c>
      <c r="L474" s="1" t="s">
        <v>9023</v>
      </c>
      <c r="M474" s="1">
        <v>3.359</v>
      </c>
      <c r="O474" s="1" t="s">
        <v>82</v>
      </c>
      <c r="P474" s="1" t="s">
        <v>82</v>
      </c>
      <c r="Q474" s="1" t="s">
        <v>87</v>
      </c>
      <c r="R474" s="1" t="s">
        <v>200</v>
      </c>
      <c r="S474" s="1" t="s">
        <v>82</v>
      </c>
      <c r="T474" s="1" t="s">
        <v>82</v>
      </c>
      <c r="U474" s="1" t="s">
        <v>82</v>
      </c>
      <c r="V474" s="1" t="s">
        <v>82</v>
      </c>
      <c r="W474" s="1" t="s">
        <v>82</v>
      </c>
      <c r="X474" s="1" t="s">
        <v>9179</v>
      </c>
      <c r="Y474" s="1" t="s">
        <v>9180</v>
      </c>
      <c r="Z474" s="1" t="s">
        <v>9181</v>
      </c>
      <c r="AA474" s="1">
        <v>1</v>
      </c>
      <c r="AB474" s="1" t="s">
        <v>9182</v>
      </c>
      <c r="AC474" s="1" t="s">
        <v>9183</v>
      </c>
      <c r="AD474" s="1" t="s">
        <v>93</v>
      </c>
      <c r="AE474" s="1" t="s">
        <v>9184</v>
      </c>
      <c r="AF474" s="1" t="s">
        <v>9185</v>
      </c>
      <c r="AG474" s="1" t="s">
        <v>8916</v>
      </c>
      <c r="AH474" s="1" t="s">
        <v>1738</v>
      </c>
      <c r="AI474" s="1" t="s">
        <v>9186</v>
      </c>
      <c r="AJ474" s="1" t="s">
        <v>9187</v>
      </c>
      <c r="AK474" s="1" t="s">
        <v>9188</v>
      </c>
      <c r="AL474" s="1" t="s">
        <v>9189</v>
      </c>
      <c r="AM474" s="1" t="s">
        <v>82</v>
      </c>
      <c r="AN474" s="1">
        <v>76</v>
      </c>
      <c r="AO474" s="1">
        <v>3</v>
      </c>
      <c r="AP474" s="1">
        <v>3</v>
      </c>
      <c r="AQ474" s="1">
        <v>19</v>
      </c>
      <c r="AR474" s="1">
        <v>26</v>
      </c>
      <c r="AS474" s="1" t="s">
        <v>1982</v>
      </c>
      <c r="AT474" s="1" t="s">
        <v>975</v>
      </c>
      <c r="AU474" s="1" t="s">
        <v>9190</v>
      </c>
      <c r="AV474" s="1" t="s">
        <v>9036</v>
      </c>
      <c r="AW474" s="1" t="s">
        <v>9037</v>
      </c>
      <c r="AX474" s="1" t="s">
        <v>82</v>
      </c>
      <c r="AY474" s="1" t="s">
        <v>9023</v>
      </c>
      <c r="AZ474" s="1" t="s">
        <v>9038</v>
      </c>
      <c r="BA474" s="1" t="s">
        <v>2145</v>
      </c>
      <c r="BB474" s="1">
        <v>2022</v>
      </c>
      <c r="BC474" s="1">
        <v>44</v>
      </c>
      <c r="BD474" s="1">
        <v>2</v>
      </c>
      <c r="BE474" s="1" t="s">
        <v>82</v>
      </c>
      <c r="BF474" s="1" t="s">
        <v>82</v>
      </c>
      <c r="BG474" s="1" t="s">
        <v>82</v>
      </c>
      <c r="BH474" s="1" t="s">
        <v>82</v>
      </c>
      <c r="BI474" s="1">
        <v>127</v>
      </c>
      <c r="BJ474" s="1">
        <v>134</v>
      </c>
      <c r="BK474" s="1" t="s">
        <v>82</v>
      </c>
      <c r="BL474" s="1" t="s">
        <v>9191</v>
      </c>
      <c r="BM474" s="1" t="str">
        <f>HYPERLINK("http://dx.doi.org/10.1016/j.pld.2021.06.005","http://dx.doi.org/10.1016/j.pld.2021.06.005")</f>
        <v>http://dx.doi.org/10.1016/j.pld.2021.06.005</v>
      </c>
      <c r="BN474" s="1" t="s">
        <v>82</v>
      </c>
      <c r="BO474" s="1" t="s">
        <v>82</v>
      </c>
      <c r="BP474" s="1">
        <v>8</v>
      </c>
      <c r="BQ474" s="1" t="s">
        <v>378</v>
      </c>
      <c r="BR474" s="1" t="s">
        <v>104</v>
      </c>
      <c r="BS474" s="1" t="s">
        <v>378</v>
      </c>
      <c r="BT474" s="1" t="s">
        <v>9192</v>
      </c>
      <c r="BU474" s="1">
        <v>35505991</v>
      </c>
      <c r="BV474" s="1" t="s">
        <v>592</v>
      </c>
      <c r="BW474" s="1" t="s">
        <v>82</v>
      </c>
      <c r="BX474" s="1" t="s">
        <v>82</v>
      </c>
      <c r="BY474" s="1" t="s">
        <v>108</v>
      </c>
      <c r="BZ474" s="1" t="s">
        <v>9193</v>
      </c>
      <c r="CA474" s="1" t="str">
        <f>HYPERLINK("https%3A%2F%2Fwww.webofscience.com%2Fwos%2Fwoscc%2Ffull-record%2FWOS:000798440100001","View Full Record in Web of Science")</f>
        <v>View Full Record in Web of Science</v>
      </c>
    </row>
    <row r="475" s="1" customFormat="1" ht="14.4" spans="1:79">
      <c r="A475">
        <v>474</v>
      </c>
      <c r="B475" s="2" t="s">
        <v>79</v>
      </c>
      <c r="C475" s="1" t="s">
        <v>80</v>
      </c>
      <c r="D475" s="1" t="s">
        <v>9194</v>
      </c>
      <c r="E475" s="1" t="s">
        <v>82</v>
      </c>
      <c r="F475" s="1" t="s">
        <v>82</v>
      </c>
      <c r="G475" s="1" t="s">
        <v>82</v>
      </c>
      <c r="H475" s="1" t="s">
        <v>9195</v>
      </c>
      <c r="I475" s="1" t="s">
        <v>82</v>
      </c>
      <c r="J475" s="1" t="s">
        <v>82</v>
      </c>
      <c r="K475" s="1" t="s">
        <v>9196</v>
      </c>
      <c r="L475" s="1" t="s">
        <v>9023</v>
      </c>
      <c r="M475" s="1">
        <v>3.359</v>
      </c>
      <c r="O475" s="1" t="s">
        <v>82</v>
      </c>
      <c r="P475" s="1" t="s">
        <v>82</v>
      </c>
      <c r="Q475" s="1" t="s">
        <v>87</v>
      </c>
      <c r="R475" s="1" t="s">
        <v>115</v>
      </c>
      <c r="S475" s="1" t="s">
        <v>82</v>
      </c>
      <c r="T475" s="1" t="s">
        <v>82</v>
      </c>
      <c r="U475" s="1" t="s">
        <v>82</v>
      </c>
      <c r="V475" s="1" t="s">
        <v>82</v>
      </c>
      <c r="W475" s="1" t="s">
        <v>82</v>
      </c>
      <c r="X475" s="1" t="s">
        <v>9197</v>
      </c>
      <c r="Y475" s="1" t="s">
        <v>9198</v>
      </c>
      <c r="Z475" s="1" t="s">
        <v>9199</v>
      </c>
      <c r="AB475" s="1" t="s">
        <v>9200</v>
      </c>
      <c r="AC475" s="1" t="s">
        <v>9201</v>
      </c>
      <c r="AD475" s="1" t="s">
        <v>120</v>
      </c>
      <c r="AE475" s="1" t="s">
        <v>9202</v>
      </c>
      <c r="AF475" s="1" t="s">
        <v>9203</v>
      </c>
      <c r="AG475" s="1" t="s">
        <v>9204</v>
      </c>
      <c r="AH475" s="1" t="s">
        <v>82</v>
      </c>
      <c r="AI475" s="1" t="s">
        <v>82</v>
      </c>
      <c r="AJ475" s="1" t="s">
        <v>9205</v>
      </c>
      <c r="AK475" s="1" t="s">
        <v>9206</v>
      </c>
      <c r="AL475" s="1" t="s">
        <v>9207</v>
      </c>
      <c r="AM475" s="1" t="s">
        <v>82</v>
      </c>
      <c r="AN475" s="1">
        <v>90</v>
      </c>
      <c r="AO475" s="1">
        <v>0</v>
      </c>
      <c r="AP475" s="1">
        <v>0</v>
      </c>
      <c r="AQ475" s="1">
        <v>1</v>
      </c>
      <c r="AR475" s="1">
        <v>3</v>
      </c>
      <c r="AS475" s="1" t="s">
        <v>1982</v>
      </c>
      <c r="AT475" s="1" t="s">
        <v>975</v>
      </c>
      <c r="AU475" s="1" t="s">
        <v>9190</v>
      </c>
      <c r="AV475" s="1" t="s">
        <v>9036</v>
      </c>
      <c r="AW475" s="1" t="s">
        <v>9037</v>
      </c>
      <c r="AX475" s="1" t="s">
        <v>82</v>
      </c>
      <c r="AY475" s="1" t="s">
        <v>9023</v>
      </c>
      <c r="AZ475" s="1" t="s">
        <v>9038</v>
      </c>
      <c r="BA475" s="1" t="s">
        <v>2145</v>
      </c>
      <c r="BB475" s="1">
        <v>2022</v>
      </c>
      <c r="BC475" s="1">
        <v>44</v>
      </c>
      <c r="BD475" s="1">
        <v>2</v>
      </c>
      <c r="BE475" s="1" t="s">
        <v>82</v>
      </c>
      <c r="BF475" s="1" t="s">
        <v>82</v>
      </c>
      <c r="BG475" s="1" t="s">
        <v>82</v>
      </c>
      <c r="BH475" s="1" t="s">
        <v>82</v>
      </c>
      <c r="BI475" s="1">
        <v>170</v>
      </c>
      <c r="BJ475" s="1">
        <v>180</v>
      </c>
      <c r="BK475" s="1" t="s">
        <v>82</v>
      </c>
      <c r="BL475" s="1" t="s">
        <v>9208</v>
      </c>
      <c r="BM475" s="1" t="str">
        <f>HYPERLINK("http://dx.doi.org/10.1016/j.pld.2021.06.004","http://dx.doi.org/10.1016/j.pld.2021.06.004")</f>
        <v>http://dx.doi.org/10.1016/j.pld.2021.06.004</v>
      </c>
      <c r="BN475" s="1" t="s">
        <v>82</v>
      </c>
      <c r="BO475" s="1" t="s">
        <v>82</v>
      </c>
      <c r="BP475" s="1">
        <v>11</v>
      </c>
      <c r="BQ475" s="1" t="s">
        <v>378</v>
      </c>
      <c r="BR475" s="1" t="s">
        <v>104</v>
      </c>
      <c r="BS475" s="1" t="s">
        <v>378</v>
      </c>
      <c r="BT475" s="1" t="s">
        <v>9192</v>
      </c>
      <c r="BU475" s="1">
        <v>35505990</v>
      </c>
      <c r="BV475" s="1" t="s">
        <v>635</v>
      </c>
      <c r="BW475" s="1" t="s">
        <v>82</v>
      </c>
      <c r="BX475" s="1" t="s">
        <v>82</v>
      </c>
      <c r="BY475" s="1" t="s">
        <v>108</v>
      </c>
      <c r="BZ475" s="1" t="s">
        <v>9209</v>
      </c>
      <c r="CA475" s="1" t="str">
        <f>HYPERLINK("https%3A%2F%2Fwww.webofscience.com%2Fwos%2Fwoscc%2Ffull-record%2FWOS:000798440100006","View Full Record in Web of Science")</f>
        <v>View Full Record in Web of Science</v>
      </c>
    </row>
    <row r="476" s="1" customFormat="1" ht="14.4" spans="1:79">
      <c r="A476">
        <v>475</v>
      </c>
      <c r="B476" s="2" t="s">
        <v>79</v>
      </c>
      <c r="C476" s="1" t="s">
        <v>80</v>
      </c>
      <c r="D476" s="1" t="s">
        <v>9210</v>
      </c>
      <c r="E476" s="1" t="s">
        <v>82</v>
      </c>
      <c r="F476" s="1" t="s">
        <v>82</v>
      </c>
      <c r="G476" s="1" t="s">
        <v>82</v>
      </c>
      <c r="H476" s="1" t="s">
        <v>9211</v>
      </c>
      <c r="I476" s="1" t="s">
        <v>82</v>
      </c>
      <c r="J476" s="1" t="s">
        <v>82</v>
      </c>
      <c r="K476" s="1" t="s">
        <v>9212</v>
      </c>
      <c r="L476" s="1" t="s">
        <v>9023</v>
      </c>
      <c r="M476" s="1">
        <v>3.359</v>
      </c>
      <c r="O476" s="1" t="s">
        <v>82</v>
      </c>
      <c r="P476" s="1" t="s">
        <v>82</v>
      </c>
      <c r="Q476" s="1" t="s">
        <v>87</v>
      </c>
      <c r="R476" s="1" t="s">
        <v>115</v>
      </c>
      <c r="S476" s="1" t="s">
        <v>82</v>
      </c>
      <c r="T476" s="1" t="s">
        <v>82</v>
      </c>
      <c r="U476" s="1" t="s">
        <v>82</v>
      </c>
      <c r="V476" s="1" t="s">
        <v>82</v>
      </c>
      <c r="W476" s="1" t="s">
        <v>82</v>
      </c>
      <c r="X476" s="1" t="s">
        <v>9213</v>
      </c>
      <c r="Y476" s="1" t="s">
        <v>9214</v>
      </c>
      <c r="Z476" s="1" t="s">
        <v>9215</v>
      </c>
      <c r="AA476" s="1">
        <v>1</v>
      </c>
      <c r="AB476" s="1" t="s">
        <v>9216</v>
      </c>
      <c r="AC476" s="1" t="s">
        <v>9217</v>
      </c>
      <c r="AD476" s="1" t="s">
        <v>93</v>
      </c>
      <c r="AE476" s="1" t="s">
        <v>1630</v>
      </c>
      <c r="AF476" s="1" t="s">
        <v>9218</v>
      </c>
      <c r="AG476" s="1" t="s">
        <v>6023</v>
      </c>
      <c r="AH476" s="1" t="s">
        <v>2307</v>
      </c>
      <c r="AI476" s="1" t="s">
        <v>9219</v>
      </c>
      <c r="AJ476" s="1" t="s">
        <v>9220</v>
      </c>
      <c r="AK476" s="1" t="s">
        <v>9221</v>
      </c>
      <c r="AL476" s="1" t="s">
        <v>9222</v>
      </c>
      <c r="AM476" s="1" t="s">
        <v>82</v>
      </c>
      <c r="AN476" s="1">
        <v>42</v>
      </c>
      <c r="AO476" s="1">
        <v>1</v>
      </c>
      <c r="AP476" s="1">
        <v>2</v>
      </c>
      <c r="AQ476" s="1">
        <v>2</v>
      </c>
      <c r="AR476" s="1">
        <v>3</v>
      </c>
      <c r="AS476" s="1" t="s">
        <v>1982</v>
      </c>
      <c r="AT476" s="1" t="s">
        <v>975</v>
      </c>
      <c r="AU476" s="1" t="s">
        <v>9190</v>
      </c>
      <c r="AV476" s="1" t="s">
        <v>9036</v>
      </c>
      <c r="AW476" s="1" t="s">
        <v>9037</v>
      </c>
      <c r="AX476" s="1" t="s">
        <v>82</v>
      </c>
      <c r="AY476" s="1" t="s">
        <v>9023</v>
      </c>
      <c r="AZ476" s="1" t="s">
        <v>9038</v>
      </c>
      <c r="BA476" s="1" t="s">
        <v>2145</v>
      </c>
      <c r="BB476" s="1">
        <v>2022</v>
      </c>
      <c r="BC476" s="1">
        <v>44</v>
      </c>
      <c r="BD476" s="1">
        <v>2</v>
      </c>
      <c r="BE476" s="1" t="s">
        <v>82</v>
      </c>
      <c r="BF476" s="1" t="s">
        <v>82</v>
      </c>
      <c r="BG476" s="1" t="s">
        <v>82</v>
      </c>
      <c r="BH476" s="1" t="s">
        <v>82</v>
      </c>
      <c r="BI476" s="1">
        <v>181</v>
      </c>
      <c r="BJ476" s="1">
        <v>190</v>
      </c>
      <c r="BK476" s="1" t="s">
        <v>82</v>
      </c>
      <c r="BL476" s="1" t="s">
        <v>9223</v>
      </c>
      <c r="BM476" s="1" t="str">
        <f>HYPERLINK("http://dx.doi.org/10.1016/j.pld.2021.09.005","http://dx.doi.org/10.1016/j.pld.2021.09.005")</f>
        <v>http://dx.doi.org/10.1016/j.pld.2021.09.005</v>
      </c>
      <c r="BN476" s="1" t="s">
        <v>82</v>
      </c>
      <c r="BO476" s="1" t="s">
        <v>82</v>
      </c>
      <c r="BP476" s="1">
        <v>10</v>
      </c>
      <c r="BQ476" s="1" t="s">
        <v>378</v>
      </c>
      <c r="BR476" s="1" t="s">
        <v>104</v>
      </c>
      <c r="BS476" s="1" t="s">
        <v>378</v>
      </c>
      <c r="BT476" s="1" t="s">
        <v>9192</v>
      </c>
      <c r="BU476" s="1">
        <v>35505984</v>
      </c>
      <c r="BV476" s="1" t="s">
        <v>592</v>
      </c>
      <c r="BW476" s="1" t="s">
        <v>82</v>
      </c>
      <c r="BX476" s="1" t="s">
        <v>82</v>
      </c>
      <c r="BY476" s="1" t="s">
        <v>108</v>
      </c>
      <c r="BZ476" s="1" t="s">
        <v>9224</v>
      </c>
      <c r="CA476" s="1" t="str">
        <f>HYPERLINK("https%3A%2F%2Fwww.webofscience.com%2Fwos%2Fwoscc%2Ffull-record%2FWOS:000798440100007","View Full Record in Web of Science")</f>
        <v>View Full Record in Web of Science</v>
      </c>
    </row>
    <row r="477" s="1" customFormat="1" ht="14.4" spans="1:79">
      <c r="A477">
        <v>476</v>
      </c>
      <c r="B477" s="2" t="s">
        <v>79</v>
      </c>
      <c r="C477" s="1" t="s">
        <v>80</v>
      </c>
      <c r="D477" s="1" t="s">
        <v>9225</v>
      </c>
      <c r="E477" s="1" t="s">
        <v>82</v>
      </c>
      <c r="F477" s="1" t="s">
        <v>82</v>
      </c>
      <c r="G477" s="1" t="s">
        <v>82</v>
      </c>
      <c r="H477" s="1" t="s">
        <v>9226</v>
      </c>
      <c r="I477" s="1" t="s">
        <v>82</v>
      </c>
      <c r="J477" s="1" t="s">
        <v>82</v>
      </c>
      <c r="K477" s="1" t="s">
        <v>9227</v>
      </c>
      <c r="L477" s="1" t="s">
        <v>9023</v>
      </c>
      <c r="M477" s="1">
        <v>3.359</v>
      </c>
      <c r="O477" s="1" t="s">
        <v>82</v>
      </c>
      <c r="P477" s="1" t="s">
        <v>82</v>
      </c>
      <c r="Q477" s="1" t="s">
        <v>87</v>
      </c>
      <c r="R477" s="1" t="s">
        <v>115</v>
      </c>
      <c r="S477" s="1" t="s">
        <v>82</v>
      </c>
      <c r="T477" s="1" t="s">
        <v>82</v>
      </c>
      <c r="U477" s="1" t="s">
        <v>82</v>
      </c>
      <c r="V477" s="1" t="s">
        <v>82</v>
      </c>
      <c r="W477" s="1" t="s">
        <v>82</v>
      </c>
      <c r="X477" s="1" t="s">
        <v>9228</v>
      </c>
      <c r="Y477" s="1" t="s">
        <v>9229</v>
      </c>
      <c r="Z477" s="1" t="s">
        <v>9230</v>
      </c>
      <c r="AB477" s="1" t="s">
        <v>9231</v>
      </c>
      <c r="AC477" s="1" t="s">
        <v>9232</v>
      </c>
      <c r="AD477" s="1" t="s">
        <v>120</v>
      </c>
      <c r="AE477" s="1" t="s">
        <v>9233</v>
      </c>
      <c r="AF477" s="1" t="s">
        <v>9234</v>
      </c>
      <c r="AG477" s="1" t="s">
        <v>3239</v>
      </c>
      <c r="AH477" s="1" t="s">
        <v>82</v>
      </c>
      <c r="AI477" s="1" t="s">
        <v>82</v>
      </c>
      <c r="AJ477" s="1" t="s">
        <v>9235</v>
      </c>
      <c r="AK477" s="1" t="s">
        <v>9236</v>
      </c>
      <c r="AL477" s="1" t="s">
        <v>9237</v>
      </c>
      <c r="AM477" s="1" t="s">
        <v>82</v>
      </c>
      <c r="AN477" s="1">
        <v>51</v>
      </c>
      <c r="AO477" s="1">
        <v>1</v>
      </c>
      <c r="AP477" s="1">
        <v>1</v>
      </c>
      <c r="AQ477" s="1">
        <v>10</v>
      </c>
      <c r="AR477" s="1">
        <v>17</v>
      </c>
      <c r="AS477" s="1" t="s">
        <v>1982</v>
      </c>
      <c r="AT477" s="1" t="s">
        <v>975</v>
      </c>
      <c r="AU477" s="1" t="s">
        <v>9190</v>
      </c>
      <c r="AV477" s="1" t="s">
        <v>9036</v>
      </c>
      <c r="AW477" s="1" t="s">
        <v>9037</v>
      </c>
      <c r="AX477" s="1" t="s">
        <v>82</v>
      </c>
      <c r="AY477" s="1" t="s">
        <v>9023</v>
      </c>
      <c r="AZ477" s="1" t="s">
        <v>9038</v>
      </c>
      <c r="BA477" s="1" t="s">
        <v>2145</v>
      </c>
      <c r="BB477" s="1">
        <v>2022</v>
      </c>
      <c r="BC477" s="1">
        <v>44</v>
      </c>
      <c r="BD477" s="1">
        <v>2</v>
      </c>
      <c r="BE477" s="1" t="s">
        <v>82</v>
      </c>
      <c r="BF477" s="1" t="s">
        <v>82</v>
      </c>
      <c r="BG477" s="1" t="s">
        <v>82</v>
      </c>
      <c r="BH477" s="1" t="s">
        <v>82</v>
      </c>
      <c r="BI477" s="1">
        <v>201</v>
      </c>
      <c r="BJ477" s="1">
        <v>212</v>
      </c>
      <c r="BK477" s="1" t="s">
        <v>82</v>
      </c>
      <c r="BL477" s="1" t="s">
        <v>9238</v>
      </c>
      <c r="BM477" s="1" t="str">
        <f>HYPERLINK("http://dx.doi.org/10.1016/j.pld.2021.06.008","http://dx.doi.org/10.1016/j.pld.2021.06.008")</f>
        <v>http://dx.doi.org/10.1016/j.pld.2021.06.008</v>
      </c>
      <c r="BN477" s="1" t="s">
        <v>82</v>
      </c>
      <c r="BO477" s="1" t="s">
        <v>82</v>
      </c>
      <c r="BP477" s="1">
        <v>12</v>
      </c>
      <c r="BQ477" s="1" t="s">
        <v>378</v>
      </c>
      <c r="BR477" s="1" t="s">
        <v>104</v>
      </c>
      <c r="BS477" s="1" t="s">
        <v>378</v>
      </c>
      <c r="BT477" s="1" t="s">
        <v>9192</v>
      </c>
      <c r="BU477" s="1">
        <v>35505987</v>
      </c>
      <c r="BV477" s="1" t="s">
        <v>635</v>
      </c>
      <c r="BW477" s="1" t="s">
        <v>82</v>
      </c>
      <c r="BX477" s="1" t="s">
        <v>82</v>
      </c>
      <c r="BY477" s="1" t="s">
        <v>108</v>
      </c>
      <c r="BZ477" s="1" t="s">
        <v>9239</v>
      </c>
      <c r="CA477" s="1" t="str">
        <f>HYPERLINK("https%3A%2F%2Fwww.webofscience.com%2Fwos%2Fwoscc%2Ffull-record%2FWOS:000798440100009","View Full Record in Web of Science")</f>
        <v>View Full Record in Web of Science</v>
      </c>
    </row>
    <row r="478" s="1" customFormat="1" ht="14.4" spans="1:79">
      <c r="A478">
        <v>477</v>
      </c>
      <c r="B478" s="2" t="s">
        <v>79</v>
      </c>
      <c r="C478" s="1" t="s">
        <v>80</v>
      </c>
      <c r="D478" s="1" t="s">
        <v>9240</v>
      </c>
      <c r="E478" s="1" t="s">
        <v>82</v>
      </c>
      <c r="F478" s="1" t="s">
        <v>82</v>
      </c>
      <c r="G478" s="1" t="s">
        <v>82</v>
      </c>
      <c r="H478" s="1" t="s">
        <v>9241</v>
      </c>
      <c r="I478" s="1" t="s">
        <v>82</v>
      </c>
      <c r="J478" s="1" t="s">
        <v>82</v>
      </c>
      <c r="K478" s="1" t="s">
        <v>9242</v>
      </c>
      <c r="L478" s="1" t="s">
        <v>9023</v>
      </c>
      <c r="M478" s="1">
        <v>3.359</v>
      </c>
      <c r="O478" s="1" t="s">
        <v>82</v>
      </c>
      <c r="P478" s="1" t="s">
        <v>82</v>
      </c>
      <c r="Q478" s="1" t="s">
        <v>87</v>
      </c>
      <c r="R478" s="1" t="s">
        <v>115</v>
      </c>
      <c r="S478" s="1" t="s">
        <v>82</v>
      </c>
      <c r="T478" s="1" t="s">
        <v>82</v>
      </c>
      <c r="U478" s="1" t="s">
        <v>82</v>
      </c>
      <c r="V478" s="1" t="s">
        <v>82</v>
      </c>
      <c r="W478" s="1" t="s">
        <v>82</v>
      </c>
      <c r="X478" s="1" t="s">
        <v>9243</v>
      </c>
      <c r="Y478" s="1" t="s">
        <v>9244</v>
      </c>
      <c r="Z478" s="1" t="s">
        <v>9245</v>
      </c>
      <c r="AA478" s="1">
        <v>1</v>
      </c>
      <c r="AB478" s="1" t="s">
        <v>9246</v>
      </c>
      <c r="AC478" s="1" t="s">
        <v>9247</v>
      </c>
      <c r="AD478" s="1" t="s">
        <v>93</v>
      </c>
      <c r="AE478" s="1" t="s">
        <v>9248</v>
      </c>
      <c r="AF478" s="1" t="s">
        <v>9249</v>
      </c>
      <c r="AG478" s="1" t="s">
        <v>9250</v>
      </c>
      <c r="AH478" s="1" t="s">
        <v>9251</v>
      </c>
      <c r="AI478" s="1" t="s">
        <v>9252</v>
      </c>
      <c r="AJ478" s="1" t="s">
        <v>9253</v>
      </c>
      <c r="AK478" s="1" t="s">
        <v>9254</v>
      </c>
      <c r="AL478" s="1" t="s">
        <v>9255</v>
      </c>
      <c r="AM478" s="1" t="s">
        <v>82</v>
      </c>
      <c r="AN478" s="1">
        <v>46</v>
      </c>
      <c r="AO478" s="1">
        <v>3</v>
      </c>
      <c r="AP478" s="1">
        <v>3</v>
      </c>
      <c r="AQ478" s="1">
        <v>8</v>
      </c>
      <c r="AR478" s="1">
        <v>9</v>
      </c>
      <c r="AS478" s="1" t="s">
        <v>1982</v>
      </c>
      <c r="AT478" s="1" t="s">
        <v>975</v>
      </c>
      <c r="AU478" s="1" t="s">
        <v>1983</v>
      </c>
      <c r="AV478" s="1" t="s">
        <v>9036</v>
      </c>
      <c r="AW478" s="1" t="s">
        <v>9037</v>
      </c>
      <c r="AX478" s="1" t="s">
        <v>82</v>
      </c>
      <c r="AY478" s="1" t="s">
        <v>9023</v>
      </c>
      <c r="AZ478" s="1" t="s">
        <v>9038</v>
      </c>
      <c r="BA478" s="1" t="s">
        <v>2145</v>
      </c>
      <c r="BB478" s="1">
        <v>2022</v>
      </c>
      <c r="BC478" s="1">
        <v>44</v>
      </c>
      <c r="BD478" s="1">
        <v>2</v>
      </c>
      <c r="BE478" s="1" t="s">
        <v>82</v>
      </c>
      <c r="BF478" s="1" t="s">
        <v>82</v>
      </c>
      <c r="BG478" s="1" t="s">
        <v>82</v>
      </c>
      <c r="BH478" s="1" t="s">
        <v>82</v>
      </c>
      <c r="BI478" s="1">
        <v>222</v>
      </c>
      <c r="BJ478" s="1">
        <v>230</v>
      </c>
      <c r="BK478" s="1" t="s">
        <v>82</v>
      </c>
      <c r="BL478" s="1" t="s">
        <v>9256</v>
      </c>
      <c r="BM478" s="1" t="str">
        <f>HYPERLINK("http://dx.doi.org/10.1016/j.pld.2021.11.008","http://dx.doi.org/10.1016/j.pld.2021.11.008")</f>
        <v>http://dx.doi.org/10.1016/j.pld.2021.11.008</v>
      </c>
      <c r="BN478" s="1" t="s">
        <v>82</v>
      </c>
      <c r="BO478" s="1" t="s">
        <v>82</v>
      </c>
      <c r="BP478" s="1">
        <v>9</v>
      </c>
      <c r="BQ478" s="1" t="s">
        <v>378</v>
      </c>
      <c r="BR478" s="1" t="s">
        <v>104</v>
      </c>
      <c r="BS478" s="1" t="s">
        <v>378</v>
      </c>
      <c r="BT478" s="1" t="s">
        <v>9192</v>
      </c>
      <c r="BU478" s="1">
        <v>35505983</v>
      </c>
      <c r="BV478" s="1" t="s">
        <v>635</v>
      </c>
      <c r="BW478" s="1" t="s">
        <v>82</v>
      </c>
      <c r="BX478" s="1" t="s">
        <v>82</v>
      </c>
      <c r="BY478" s="1" t="s">
        <v>108</v>
      </c>
      <c r="BZ478" s="1" t="s">
        <v>9257</v>
      </c>
      <c r="CA478" s="1" t="str">
        <f>HYPERLINK("https%3A%2F%2Fwww.webofscience.com%2Fwos%2Fwoscc%2Ffull-record%2FWOS:000798440100011","View Full Record in Web of Science")</f>
        <v>View Full Record in Web of Science</v>
      </c>
    </row>
    <row r="479" s="1" customFormat="1" ht="14.4" spans="1:79">
      <c r="A479">
        <v>478</v>
      </c>
      <c r="B479" s="2" t="s">
        <v>79</v>
      </c>
      <c r="C479" s="1" t="s">
        <v>80</v>
      </c>
      <c r="D479" s="1" t="s">
        <v>9258</v>
      </c>
      <c r="E479" s="1" t="s">
        <v>82</v>
      </c>
      <c r="F479" s="1" t="s">
        <v>82</v>
      </c>
      <c r="G479" s="1" t="s">
        <v>82</v>
      </c>
      <c r="H479" s="1" t="s">
        <v>9259</v>
      </c>
      <c r="I479" s="1" t="s">
        <v>82</v>
      </c>
      <c r="J479" s="1" t="s">
        <v>82</v>
      </c>
      <c r="K479" s="1" t="s">
        <v>9260</v>
      </c>
      <c r="L479" s="1" t="s">
        <v>9023</v>
      </c>
      <c r="M479" s="1">
        <v>3.359</v>
      </c>
      <c r="O479" s="1" t="s">
        <v>82</v>
      </c>
      <c r="P479" s="1" t="s">
        <v>82</v>
      </c>
      <c r="Q479" s="1" t="s">
        <v>87</v>
      </c>
      <c r="R479" s="1" t="s">
        <v>115</v>
      </c>
      <c r="S479" s="1" t="s">
        <v>82</v>
      </c>
      <c r="T479" s="1" t="s">
        <v>82</v>
      </c>
      <c r="U479" s="1" t="s">
        <v>82</v>
      </c>
      <c r="V479" s="1" t="s">
        <v>82</v>
      </c>
      <c r="W479" s="1" t="s">
        <v>82</v>
      </c>
      <c r="X479" s="1" t="s">
        <v>9261</v>
      </c>
      <c r="Y479" s="1" t="s">
        <v>9262</v>
      </c>
      <c r="Z479" s="1" t="s">
        <v>9263</v>
      </c>
      <c r="AA479" s="1">
        <v>1</v>
      </c>
      <c r="AB479" s="1" t="s">
        <v>9264</v>
      </c>
      <c r="AC479" s="1" t="s">
        <v>9265</v>
      </c>
      <c r="AD479" s="1" t="s">
        <v>93</v>
      </c>
      <c r="AE479" s="1" t="s">
        <v>1630</v>
      </c>
      <c r="AF479" s="1" t="s">
        <v>9266</v>
      </c>
      <c r="AG479" s="1" t="s">
        <v>412</v>
      </c>
      <c r="AH479" s="1" t="s">
        <v>82</v>
      </c>
      <c r="AI479" s="1" t="s">
        <v>9267</v>
      </c>
      <c r="AJ479" s="1" t="s">
        <v>9268</v>
      </c>
      <c r="AK479" s="1" t="s">
        <v>9269</v>
      </c>
      <c r="AL479" s="1" t="s">
        <v>9270</v>
      </c>
      <c r="AM479" s="1" t="s">
        <v>82</v>
      </c>
      <c r="AN479" s="1">
        <v>49</v>
      </c>
      <c r="AO479" s="1">
        <v>8</v>
      </c>
      <c r="AP479" s="1">
        <v>8</v>
      </c>
      <c r="AQ479" s="1">
        <v>12</v>
      </c>
      <c r="AR479" s="1">
        <v>21</v>
      </c>
      <c r="AS479" s="1" t="s">
        <v>1982</v>
      </c>
      <c r="AT479" s="1" t="s">
        <v>975</v>
      </c>
      <c r="AU479" s="1" t="s">
        <v>9190</v>
      </c>
      <c r="AV479" s="1" t="s">
        <v>9036</v>
      </c>
      <c r="AW479" s="1" t="s">
        <v>9037</v>
      </c>
      <c r="AX479" s="1" t="s">
        <v>82</v>
      </c>
      <c r="AY479" s="1" t="s">
        <v>9023</v>
      </c>
      <c r="AZ479" s="1" t="s">
        <v>9038</v>
      </c>
      <c r="BA479" s="1" t="s">
        <v>1826</v>
      </c>
      <c r="BB479" s="1">
        <v>2022</v>
      </c>
      <c r="BC479" s="1">
        <v>44</v>
      </c>
      <c r="BD479" s="1">
        <v>1</v>
      </c>
      <c r="BE479" s="1" t="s">
        <v>82</v>
      </c>
      <c r="BF479" s="1" t="s">
        <v>82</v>
      </c>
      <c r="BG479" s="1" t="s">
        <v>82</v>
      </c>
      <c r="BH479" s="1" t="s">
        <v>82</v>
      </c>
      <c r="BI479" s="1">
        <v>1</v>
      </c>
      <c r="BJ479" s="1">
        <v>10</v>
      </c>
      <c r="BK479" s="1" t="s">
        <v>82</v>
      </c>
      <c r="BL479" s="1" t="s">
        <v>9271</v>
      </c>
      <c r="BM479" s="1" t="str">
        <f>HYPERLINK("http://dx.doi.org/10.1016/j.pld.2021.03.004","http://dx.doi.org/10.1016/j.pld.2021.03.004")</f>
        <v>http://dx.doi.org/10.1016/j.pld.2021.03.004</v>
      </c>
      <c r="BN479" s="1" t="s">
        <v>82</v>
      </c>
      <c r="BO479" s="1" t="s">
        <v>82</v>
      </c>
      <c r="BP479" s="1">
        <v>10</v>
      </c>
      <c r="BQ479" s="1" t="s">
        <v>378</v>
      </c>
      <c r="BR479" s="1" t="s">
        <v>104</v>
      </c>
      <c r="BS479" s="1" t="s">
        <v>378</v>
      </c>
      <c r="BT479" s="1" t="s">
        <v>9272</v>
      </c>
      <c r="BU479" s="1">
        <v>35281124</v>
      </c>
      <c r="BV479" s="1" t="s">
        <v>592</v>
      </c>
      <c r="BW479" s="1" t="s">
        <v>82</v>
      </c>
      <c r="BX479" s="1" t="s">
        <v>82</v>
      </c>
      <c r="BY479" s="1" t="s">
        <v>108</v>
      </c>
      <c r="BZ479" s="1" t="s">
        <v>9273</v>
      </c>
      <c r="CA479" s="1" t="str">
        <f>HYPERLINK("https%3A%2F%2Fwww.webofscience.com%2Fwos%2Fwoscc%2Ffull-record%2FWOS:000761555800001","View Full Record in Web of Science")</f>
        <v>View Full Record in Web of Science</v>
      </c>
    </row>
    <row r="480" s="1" customFormat="1" ht="14.4" spans="1:79">
      <c r="A480">
        <v>479</v>
      </c>
      <c r="B480" s="2" t="s">
        <v>79</v>
      </c>
      <c r="C480" s="1" t="s">
        <v>80</v>
      </c>
      <c r="D480" s="1" t="s">
        <v>9274</v>
      </c>
      <c r="E480" s="1" t="s">
        <v>82</v>
      </c>
      <c r="F480" s="1" t="s">
        <v>82</v>
      </c>
      <c r="G480" s="1" t="s">
        <v>82</v>
      </c>
      <c r="H480" s="1" t="s">
        <v>9275</v>
      </c>
      <c r="I480" s="1" t="s">
        <v>82</v>
      </c>
      <c r="J480" s="1" t="s">
        <v>82</v>
      </c>
      <c r="K480" s="1" t="s">
        <v>9276</v>
      </c>
      <c r="L480" s="1" t="s">
        <v>9023</v>
      </c>
      <c r="M480" s="1">
        <v>3.359</v>
      </c>
      <c r="O480" s="1" t="s">
        <v>82</v>
      </c>
      <c r="P480" s="1" t="s">
        <v>82</v>
      </c>
      <c r="Q480" s="1" t="s">
        <v>87</v>
      </c>
      <c r="R480" s="1" t="s">
        <v>115</v>
      </c>
      <c r="S480" s="1" t="s">
        <v>82</v>
      </c>
      <c r="T480" s="1" t="s">
        <v>82</v>
      </c>
      <c r="U480" s="1" t="s">
        <v>82</v>
      </c>
      <c r="V480" s="1" t="s">
        <v>82</v>
      </c>
      <c r="W480" s="1" t="s">
        <v>82</v>
      </c>
      <c r="X480" s="1" t="s">
        <v>9277</v>
      </c>
      <c r="Y480" s="1" t="s">
        <v>9278</v>
      </c>
      <c r="Z480" s="1" t="s">
        <v>9279</v>
      </c>
      <c r="AB480" s="1" t="s">
        <v>9280</v>
      </c>
      <c r="AC480" s="1" t="s">
        <v>9281</v>
      </c>
      <c r="AD480" s="1" t="s">
        <v>206</v>
      </c>
      <c r="AE480" s="1" t="s">
        <v>9282</v>
      </c>
      <c r="AF480" s="1" t="s">
        <v>9283</v>
      </c>
      <c r="AG480" s="1" t="s">
        <v>9284</v>
      </c>
      <c r="AH480" s="1" t="s">
        <v>82</v>
      </c>
      <c r="AI480" s="1" t="s">
        <v>349</v>
      </c>
      <c r="AJ480" s="1" t="s">
        <v>9285</v>
      </c>
      <c r="AK480" s="1" t="s">
        <v>9286</v>
      </c>
      <c r="AL480" s="1" t="s">
        <v>9287</v>
      </c>
      <c r="AM480" s="1" t="s">
        <v>82</v>
      </c>
      <c r="AN480" s="1">
        <v>90</v>
      </c>
      <c r="AO480" s="1">
        <v>0</v>
      </c>
      <c r="AP480" s="1">
        <v>0</v>
      </c>
      <c r="AQ480" s="1">
        <v>9</v>
      </c>
      <c r="AR480" s="1">
        <v>21</v>
      </c>
      <c r="AS480" s="1" t="s">
        <v>1982</v>
      </c>
      <c r="AT480" s="1" t="s">
        <v>975</v>
      </c>
      <c r="AU480" s="1" t="s">
        <v>1983</v>
      </c>
      <c r="AV480" s="1" t="s">
        <v>9036</v>
      </c>
      <c r="AW480" s="1" t="s">
        <v>9037</v>
      </c>
      <c r="AX480" s="1" t="s">
        <v>82</v>
      </c>
      <c r="AY480" s="1" t="s">
        <v>9023</v>
      </c>
      <c r="AZ480" s="1" t="s">
        <v>9038</v>
      </c>
      <c r="BA480" s="1" t="s">
        <v>1826</v>
      </c>
      <c r="BB480" s="1">
        <v>2022</v>
      </c>
      <c r="BC480" s="1">
        <v>44</v>
      </c>
      <c r="BD480" s="1">
        <v>1</v>
      </c>
      <c r="BE480" s="1" t="s">
        <v>82</v>
      </c>
      <c r="BF480" s="1" t="s">
        <v>82</v>
      </c>
      <c r="BG480" s="1" t="s">
        <v>82</v>
      </c>
      <c r="BH480" s="1" t="s">
        <v>82</v>
      </c>
      <c r="BI480" s="1">
        <v>20</v>
      </c>
      <c r="BJ480" s="1">
        <v>29</v>
      </c>
      <c r="BK480" s="1" t="s">
        <v>82</v>
      </c>
      <c r="BL480" s="1" t="s">
        <v>9288</v>
      </c>
      <c r="BM480" s="1" t="str">
        <f>HYPERLINK("http://dx.doi.org/10.1016/j.pld.2021.11.004","http://dx.doi.org/10.1016/j.pld.2021.11.004")</f>
        <v>http://dx.doi.org/10.1016/j.pld.2021.11.004</v>
      </c>
      <c r="BN480" s="1" t="s">
        <v>82</v>
      </c>
      <c r="BO480" s="1" t="s">
        <v>82</v>
      </c>
      <c r="BP480" s="1">
        <v>10</v>
      </c>
      <c r="BQ480" s="1" t="s">
        <v>378</v>
      </c>
      <c r="BR480" s="1" t="s">
        <v>104</v>
      </c>
      <c r="BS480" s="1" t="s">
        <v>378</v>
      </c>
      <c r="BT480" s="1" t="s">
        <v>9272</v>
      </c>
      <c r="BU480" s="1">
        <v>35281121</v>
      </c>
      <c r="BV480" s="1" t="s">
        <v>592</v>
      </c>
      <c r="BW480" s="1" t="s">
        <v>82</v>
      </c>
      <c r="BX480" s="1" t="s">
        <v>82</v>
      </c>
      <c r="BY480" s="1" t="s">
        <v>108</v>
      </c>
      <c r="BZ480" s="1" t="s">
        <v>9289</v>
      </c>
      <c r="CA480" s="1" t="str">
        <f>HYPERLINK("https%3A%2F%2Fwww.webofscience.com%2Fwos%2Fwoscc%2Ffull-record%2FWOS:000761555800003","View Full Record in Web of Science")</f>
        <v>View Full Record in Web of Science</v>
      </c>
    </row>
    <row r="481" s="1" customFormat="1" ht="14.4" spans="1:79">
      <c r="A481">
        <v>480</v>
      </c>
      <c r="B481" s="2" t="s">
        <v>79</v>
      </c>
      <c r="C481" s="1" t="s">
        <v>80</v>
      </c>
      <c r="D481" s="1" t="s">
        <v>9290</v>
      </c>
      <c r="E481" s="1" t="s">
        <v>82</v>
      </c>
      <c r="F481" s="1" t="s">
        <v>82</v>
      </c>
      <c r="G481" s="1" t="s">
        <v>82</v>
      </c>
      <c r="H481" s="1" t="s">
        <v>9291</v>
      </c>
      <c r="I481" s="1" t="s">
        <v>82</v>
      </c>
      <c r="J481" s="1" t="s">
        <v>82</v>
      </c>
      <c r="K481" s="1" t="s">
        <v>9292</v>
      </c>
      <c r="L481" s="1" t="s">
        <v>9023</v>
      </c>
      <c r="M481" s="1">
        <v>3.359</v>
      </c>
      <c r="O481" s="1" t="s">
        <v>82</v>
      </c>
      <c r="P481" s="1" t="s">
        <v>82</v>
      </c>
      <c r="Q481" s="1" t="s">
        <v>87</v>
      </c>
      <c r="R481" s="1" t="s">
        <v>115</v>
      </c>
      <c r="S481" s="1" t="s">
        <v>82</v>
      </c>
      <c r="T481" s="1" t="s">
        <v>82</v>
      </c>
      <c r="U481" s="1" t="s">
        <v>82</v>
      </c>
      <c r="V481" s="1" t="s">
        <v>82</v>
      </c>
      <c r="W481" s="1" t="s">
        <v>82</v>
      </c>
      <c r="X481" s="1" t="s">
        <v>9293</v>
      </c>
      <c r="Y481" s="1" t="s">
        <v>9294</v>
      </c>
      <c r="Z481" s="1" t="s">
        <v>9295</v>
      </c>
      <c r="AB481" s="1" t="s">
        <v>9296</v>
      </c>
      <c r="AC481" s="1" t="s">
        <v>9297</v>
      </c>
      <c r="AD481" s="1" t="s">
        <v>120</v>
      </c>
      <c r="AE481" s="1" t="s">
        <v>9298</v>
      </c>
      <c r="AF481" s="1" t="s">
        <v>9299</v>
      </c>
      <c r="AG481" s="1" t="s">
        <v>9300</v>
      </c>
      <c r="AH481" s="1" t="s">
        <v>82</v>
      </c>
      <c r="AI481" s="1" t="s">
        <v>9301</v>
      </c>
      <c r="AJ481" s="1" t="s">
        <v>9302</v>
      </c>
      <c r="AK481" s="1" t="s">
        <v>9303</v>
      </c>
      <c r="AL481" s="1" t="s">
        <v>9304</v>
      </c>
      <c r="AM481" s="1" t="s">
        <v>82</v>
      </c>
      <c r="AN481" s="1">
        <v>31</v>
      </c>
      <c r="AO481" s="1">
        <v>2</v>
      </c>
      <c r="AP481" s="1">
        <v>2</v>
      </c>
      <c r="AQ481" s="1">
        <v>3</v>
      </c>
      <c r="AR481" s="1">
        <v>6</v>
      </c>
      <c r="AS481" s="1" t="s">
        <v>1982</v>
      </c>
      <c r="AT481" s="1" t="s">
        <v>975</v>
      </c>
      <c r="AU481" s="1" t="s">
        <v>9190</v>
      </c>
      <c r="AV481" s="1" t="s">
        <v>9036</v>
      </c>
      <c r="AW481" s="1" t="s">
        <v>9037</v>
      </c>
      <c r="AX481" s="1" t="s">
        <v>82</v>
      </c>
      <c r="AY481" s="1" t="s">
        <v>9023</v>
      </c>
      <c r="AZ481" s="1" t="s">
        <v>9038</v>
      </c>
      <c r="BA481" s="1" t="s">
        <v>1826</v>
      </c>
      <c r="BB481" s="1">
        <v>2022</v>
      </c>
      <c r="BC481" s="1">
        <v>44</v>
      </c>
      <c r="BD481" s="1">
        <v>1</v>
      </c>
      <c r="BE481" s="1" t="s">
        <v>82</v>
      </c>
      <c r="BF481" s="1" t="s">
        <v>82</v>
      </c>
      <c r="BG481" s="1" t="s">
        <v>82</v>
      </c>
      <c r="BH481" s="1" t="s">
        <v>82</v>
      </c>
      <c r="BI481" s="1">
        <v>83</v>
      </c>
      <c r="BJ481" s="1">
        <v>93</v>
      </c>
      <c r="BK481" s="1" t="s">
        <v>82</v>
      </c>
      <c r="BL481" s="1" t="s">
        <v>9305</v>
      </c>
      <c r="BM481" s="1" t="str">
        <f>HYPERLINK("http://dx.doi.org/10.1016/j.pld.2021.06.007","http://dx.doi.org/10.1016/j.pld.2021.06.007")</f>
        <v>http://dx.doi.org/10.1016/j.pld.2021.06.007</v>
      </c>
      <c r="BN481" s="1" t="s">
        <v>82</v>
      </c>
      <c r="BO481" s="1" t="s">
        <v>82</v>
      </c>
      <c r="BP481" s="1">
        <v>11</v>
      </c>
      <c r="BQ481" s="1" t="s">
        <v>378</v>
      </c>
      <c r="BR481" s="1" t="s">
        <v>104</v>
      </c>
      <c r="BS481" s="1" t="s">
        <v>378</v>
      </c>
      <c r="BT481" s="1" t="s">
        <v>9272</v>
      </c>
      <c r="BU481" s="1">
        <v>35281119</v>
      </c>
      <c r="BV481" s="1" t="s">
        <v>592</v>
      </c>
      <c r="BW481" s="1" t="s">
        <v>82</v>
      </c>
      <c r="BX481" s="1" t="s">
        <v>82</v>
      </c>
      <c r="BY481" s="1" t="s">
        <v>108</v>
      </c>
      <c r="BZ481" s="1" t="s">
        <v>9306</v>
      </c>
      <c r="CA481" s="1" t="str">
        <f>HYPERLINK("https%3A%2F%2Fwww.webofscience.com%2Fwos%2Fwoscc%2Ffull-record%2FWOS:000761555800007","View Full Record in Web of Science")</f>
        <v>View Full Record in Web of Science</v>
      </c>
    </row>
    <row r="482" s="1" customFormat="1" ht="14.4" spans="1:79">
      <c r="A482">
        <v>481</v>
      </c>
      <c r="B482" s="2" t="s">
        <v>79</v>
      </c>
      <c r="C482" s="1" t="s">
        <v>80</v>
      </c>
      <c r="D482" s="1" t="s">
        <v>9307</v>
      </c>
      <c r="E482" s="1" t="s">
        <v>82</v>
      </c>
      <c r="F482" s="1" t="s">
        <v>82</v>
      </c>
      <c r="G482" s="1" t="s">
        <v>82</v>
      </c>
      <c r="H482" s="1" t="s">
        <v>9308</v>
      </c>
      <c r="I482" s="1" t="s">
        <v>82</v>
      </c>
      <c r="J482" s="1" t="s">
        <v>82</v>
      </c>
      <c r="K482" s="1" t="s">
        <v>9309</v>
      </c>
      <c r="L482" s="1" t="s">
        <v>9023</v>
      </c>
      <c r="M482" s="1">
        <v>3.359</v>
      </c>
      <c r="O482" s="1" t="s">
        <v>82</v>
      </c>
      <c r="P482" s="1" t="s">
        <v>82</v>
      </c>
      <c r="Q482" s="1" t="s">
        <v>87</v>
      </c>
      <c r="R482" s="1" t="s">
        <v>115</v>
      </c>
      <c r="S482" s="1" t="s">
        <v>82</v>
      </c>
      <c r="T482" s="1" t="s">
        <v>82</v>
      </c>
      <c r="U482" s="1" t="s">
        <v>82</v>
      </c>
      <c r="V482" s="1" t="s">
        <v>82</v>
      </c>
      <c r="W482" s="1" t="s">
        <v>82</v>
      </c>
      <c r="X482" s="1" t="s">
        <v>9310</v>
      </c>
      <c r="Y482" s="1" t="s">
        <v>9311</v>
      </c>
      <c r="Z482" s="1" t="s">
        <v>9312</v>
      </c>
      <c r="AA482" s="1">
        <v>1</v>
      </c>
      <c r="AB482" s="1" t="s">
        <v>91</v>
      </c>
      <c r="AC482" s="1" t="s">
        <v>9313</v>
      </c>
      <c r="AD482" s="1" t="s">
        <v>93</v>
      </c>
      <c r="AE482" s="1" t="s">
        <v>1959</v>
      </c>
      <c r="AF482" s="1" t="s">
        <v>9314</v>
      </c>
      <c r="AG482" s="1" t="s">
        <v>9315</v>
      </c>
      <c r="AH482" s="1" t="s">
        <v>82</v>
      </c>
      <c r="AI482" s="1" t="s">
        <v>9316</v>
      </c>
      <c r="AJ482" s="1" t="s">
        <v>9317</v>
      </c>
      <c r="AK482" s="1" t="s">
        <v>9318</v>
      </c>
      <c r="AL482" s="1" t="s">
        <v>9319</v>
      </c>
      <c r="AM482" s="1" t="s">
        <v>82</v>
      </c>
      <c r="AN482" s="1">
        <v>39</v>
      </c>
      <c r="AO482" s="1">
        <v>1</v>
      </c>
      <c r="AP482" s="1">
        <v>1</v>
      </c>
      <c r="AQ482" s="1">
        <v>7</v>
      </c>
      <c r="AR482" s="1">
        <v>18</v>
      </c>
      <c r="AS482" s="1" t="s">
        <v>1982</v>
      </c>
      <c r="AT482" s="1" t="s">
        <v>975</v>
      </c>
      <c r="AU482" s="1" t="s">
        <v>9190</v>
      </c>
      <c r="AV482" s="1" t="s">
        <v>9036</v>
      </c>
      <c r="AW482" s="1" t="s">
        <v>9037</v>
      </c>
      <c r="AX482" s="1" t="s">
        <v>82</v>
      </c>
      <c r="AY482" s="1" t="s">
        <v>9023</v>
      </c>
      <c r="AZ482" s="1" t="s">
        <v>9038</v>
      </c>
      <c r="BA482" s="1" t="s">
        <v>1826</v>
      </c>
      <c r="BB482" s="1">
        <v>2022</v>
      </c>
      <c r="BC482" s="1">
        <v>44</v>
      </c>
      <c r="BD482" s="1">
        <v>1</v>
      </c>
      <c r="BE482" s="1" t="s">
        <v>82</v>
      </c>
      <c r="BF482" s="1" t="s">
        <v>82</v>
      </c>
      <c r="BG482" s="1" t="s">
        <v>82</v>
      </c>
      <c r="BH482" s="1" t="s">
        <v>82</v>
      </c>
      <c r="BI482" s="1">
        <v>94</v>
      </c>
      <c r="BJ482" s="1">
        <v>100</v>
      </c>
      <c r="BK482" s="1" t="s">
        <v>82</v>
      </c>
      <c r="BL482" s="1" t="s">
        <v>9320</v>
      </c>
      <c r="BM482" s="1" t="str">
        <f>HYPERLINK("http://dx.doi.org/10.1016/j.pld.2021.06.009","http://dx.doi.org/10.1016/j.pld.2021.06.009")</f>
        <v>http://dx.doi.org/10.1016/j.pld.2021.06.009</v>
      </c>
      <c r="BN482" s="1" t="s">
        <v>82</v>
      </c>
      <c r="BO482" s="1" t="s">
        <v>82</v>
      </c>
      <c r="BP482" s="1">
        <v>7</v>
      </c>
      <c r="BQ482" s="1" t="s">
        <v>378</v>
      </c>
      <c r="BR482" s="1" t="s">
        <v>104</v>
      </c>
      <c r="BS482" s="1" t="s">
        <v>378</v>
      </c>
      <c r="BT482" s="1" t="s">
        <v>9272</v>
      </c>
      <c r="BU482" s="1">
        <v>35281125</v>
      </c>
      <c r="BV482" s="1" t="s">
        <v>635</v>
      </c>
      <c r="BW482" s="1" t="s">
        <v>82</v>
      </c>
      <c r="BX482" s="1" t="s">
        <v>82</v>
      </c>
      <c r="BY482" s="1" t="s">
        <v>108</v>
      </c>
      <c r="BZ482" s="1" t="s">
        <v>9321</v>
      </c>
      <c r="CA482" s="1" t="str">
        <f>HYPERLINK("https%3A%2F%2Fwww.webofscience.com%2Fwos%2Fwoscc%2Ffull-record%2FWOS:000761555800008","View Full Record in Web of Science")</f>
        <v>View Full Record in Web of Science</v>
      </c>
    </row>
    <row r="483" s="1" customFormat="1" ht="14.4" spans="1:79">
      <c r="A483">
        <v>482</v>
      </c>
      <c r="B483" s="2" t="s">
        <v>79</v>
      </c>
      <c r="C483" s="1" t="s">
        <v>80</v>
      </c>
      <c r="D483" s="1" t="s">
        <v>9322</v>
      </c>
      <c r="E483" s="1" t="s">
        <v>82</v>
      </c>
      <c r="F483" s="1" t="s">
        <v>82</v>
      </c>
      <c r="G483" s="1" t="s">
        <v>82</v>
      </c>
      <c r="H483" s="1" t="s">
        <v>9323</v>
      </c>
      <c r="I483" s="1" t="s">
        <v>82</v>
      </c>
      <c r="J483" s="1" t="s">
        <v>82</v>
      </c>
      <c r="K483" s="1" t="s">
        <v>9324</v>
      </c>
      <c r="L483" s="1" t="s">
        <v>9023</v>
      </c>
      <c r="M483" s="1">
        <v>3.359</v>
      </c>
      <c r="O483" s="1" t="s">
        <v>82</v>
      </c>
      <c r="P483" s="1" t="s">
        <v>82</v>
      </c>
      <c r="Q483" s="1" t="s">
        <v>87</v>
      </c>
      <c r="R483" s="1" t="s">
        <v>115</v>
      </c>
      <c r="S483" s="1" t="s">
        <v>82</v>
      </c>
      <c r="T483" s="1" t="s">
        <v>82</v>
      </c>
      <c r="U483" s="1" t="s">
        <v>82</v>
      </c>
      <c r="V483" s="1" t="s">
        <v>82</v>
      </c>
      <c r="W483" s="1" t="s">
        <v>82</v>
      </c>
      <c r="X483" s="1" t="s">
        <v>9325</v>
      </c>
      <c r="Y483" s="1" t="s">
        <v>9326</v>
      </c>
      <c r="Z483" s="1" t="s">
        <v>9327</v>
      </c>
      <c r="AA483" s="1">
        <v>1</v>
      </c>
      <c r="AB483" s="1" t="s">
        <v>9328</v>
      </c>
      <c r="AC483" s="1" t="s">
        <v>9329</v>
      </c>
      <c r="AD483" s="1" t="s">
        <v>93</v>
      </c>
      <c r="AE483" s="1" t="s">
        <v>9330</v>
      </c>
      <c r="AF483" s="1" t="s">
        <v>9331</v>
      </c>
      <c r="AG483" s="1" t="s">
        <v>3728</v>
      </c>
      <c r="AH483" s="1" t="s">
        <v>82</v>
      </c>
      <c r="AI483" s="1" t="s">
        <v>82</v>
      </c>
      <c r="AJ483" s="1" t="s">
        <v>9332</v>
      </c>
      <c r="AK483" s="1" t="s">
        <v>9333</v>
      </c>
      <c r="AL483" s="1" t="s">
        <v>9334</v>
      </c>
      <c r="AM483" s="1" t="s">
        <v>82</v>
      </c>
      <c r="AN483" s="1">
        <v>54</v>
      </c>
      <c r="AO483" s="1">
        <v>2</v>
      </c>
      <c r="AP483" s="1">
        <v>2</v>
      </c>
      <c r="AQ483" s="1">
        <v>6</v>
      </c>
      <c r="AR483" s="1">
        <v>13</v>
      </c>
      <c r="AS483" s="1" t="s">
        <v>1982</v>
      </c>
      <c r="AT483" s="1" t="s">
        <v>975</v>
      </c>
      <c r="AU483" s="1" t="s">
        <v>9190</v>
      </c>
      <c r="AV483" s="1" t="s">
        <v>9036</v>
      </c>
      <c r="AW483" s="1" t="s">
        <v>9037</v>
      </c>
      <c r="AX483" s="1" t="s">
        <v>82</v>
      </c>
      <c r="AY483" s="1" t="s">
        <v>9023</v>
      </c>
      <c r="AZ483" s="1" t="s">
        <v>9038</v>
      </c>
      <c r="BA483" s="1" t="s">
        <v>1826</v>
      </c>
      <c r="BB483" s="1">
        <v>2022</v>
      </c>
      <c r="BC483" s="1">
        <v>44</v>
      </c>
      <c r="BD483" s="1">
        <v>1</v>
      </c>
      <c r="BE483" s="1" t="s">
        <v>82</v>
      </c>
      <c r="BF483" s="1" t="s">
        <v>82</v>
      </c>
      <c r="BG483" s="1" t="s">
        <v>82</v>
      </c>
      <c r="BH483" s="1" t="s">
        <v>82</v>
      </c>
      <c r="BI483" s="1">
        <v>101</v>
      </c>
      <c r="BJ483" s="1">
        <v>108</v>
      </c>
      <c r="BK483" s="1" t="s">
        <v>82</v>
      </c>
      <c r="BL483" s="1" t="s">
        <v>9335</v>
      </c>
      <c r="BM483" s="1" t="str">
        <f>HYPERLINK("http://dx.doi.org/10.1016/j.pld.2021.05.001","http://dx.doi.org/10.1016/j.pld.2021.05.001")</f>
        <v>http://dx.doi.org/10.1016/j.pld.2021.05.001</v>
      </c>
      <c r="BN483" s="1" t="s">
        <v>82</v>
      </c>
      <c r="BO483" s="1" t="s">
        <v>82</v>
      </c>
      <c r="BP483" s="1">
        <v>8</v>
      </c>
      <c r="BQ483" s="1" t="s">
        <v>378</v>
      </c>
      <c r="BR483" s="1" t="s">
        <v>104</v>
      </c>
      <c r="BS483" s="1" t="s">
        <v>378</v>
      </c>
      <c r="BT483" s="1" t="s">
        <v>9272</v>
      </c>
      <c r="BU483" s="1">
        <v>35281120</v>
      </c>
      <c r="BV483" s="1" t="s">
        <v>635</v>
      </c>
      <c r="BW483" s="1" t="s">
        <v>82</v>
      </c>
      <c r="BX483" s="1" t="s">
        <v>82</v>
      </c>
      <c r="BY483" s="1" t="s">
        <v>108</v>
      </c>
      <c r="BZ483" s="1" t="s">
        <v>9336</v>
      </c>
      <c r="CA483" s="1" t="str">
        <f>HYPERLINK("https%3A%2F%2Fwww.webofscience.com%2Fwos%2Fwoscc%2Ffull-record%2FWOS:000761555800009","View Full Record in Web of Science")</f>
        <v>View Full Record in Web of Science</v>
      </c>
    </row>
    <row r="484" s="1" customFormat="1" ht="14.4" spans="1:79">
      <c r="A484">
        <v>483</v>
      </c>
      <c r="B484" s="2" t="s">
        <v>79</v>
      </c>
      <c r="C484" s="1" t="s">
        <v>80</v>
      </c>
      <c r="D484" s="1" t="s">
        <v>9337</v>
      </c>
      <c r="E484" s="1" t="s">
        <v>82</v>
      </c>
      <c r="F484" s="1" t="s">
        <v>82</v>
      </c>
      <c r="G484" s="1" t="s">
        <v>82</v>
      </c>
      <c r="H484" s="1" t="s">
        <v>9338</v>
      </c>
      <c r="I484" s="1" t="s">
        <v>82</v>
      </c>
      <c r="J484" s="1" t="s">
        <v>82</v>
      </c>
      <c r="K484" s="1" t="s">
        <v>9339</v>
      </c>
      <c r="L484" s="1" t="s">
        <v>9023</v>
      </c>
      <c r="M484" s="1">
        <v>3.359</v>
      </c>
      <c r="O484" s="1" t="s">
        <v>82</v>
      </c>
      <c r="P484" s="1" t="s">
        <v>82</v>
      </c>
      <c r="Q484" s="1" t="s">
        <v>87</v>
      </c>
      <c r="R484" s="1" t="s">
        <v>115</v>
      </c>
      <c r="S484" s="1" t="s">
        <v>82</v>
      </c>
      <c r="T484" s="1" t="s">
        <v>82</v>
      </c>
      <c r="U484" s="1" t="s">
        <v>82</v>
      </c>
      <c r="V484" s="1" t="s">
        <v>82</v>
      </c>
      <c r="W484" s="1" t="s">
        <v>82</v>
      </c>
      <c r="X484" s="1" t="s">
        <v>9340</v>
      </c>
      <c r="Y484" s="1" t="s">
        <v>9341</v>
      </c>
      <c r="Z484" s="1" t="s">
        <v>9342</v>
      </c>
      <c r="AA484" s="1">
        <v>1</v>
      </c>
      <c r="AB484" s="1" t="s">
        <v>9343</v>
      </c>
      <c r="AC484" s="1" t="s">
        <v>9344</v>
      </c>
      <c r="AD484" s="1" t="s">
        <v>93</v>
      </c>
      <c r="AE484" s="1" t="s">
        <v>9345</v>
      </c>
      <c r="AF484" s="1" t="s">
        <v>9346</v>
      </c>
      <c r="AG484" s="1" t="s">
        <v>9347</v>
      </c>
      <c r="AH484" s="1" t="s">
        <v>82</v>
      </c>
      <c r="AI484" s="1" t="s">
        <v>3532</v>
      </c>
      <c r="AJ484" s="1" t="s">
        <v>9348</v>
      </c>
      <c r="AK484" s="1" t="s">
        <v>9349</v>
      </c>
      <c r="AL484" s="1" t="s">
        <v>9350</v>
      </c>
      <c r="AM484" s="1" t="s">
        <v>82</v>
      </c>
      <c r="AN484" s="1">
        <v>82</v>
      </c>
      <c r="AO484" s="1">
        <v>5</v>
      </c>
      <c r="AP484" s="1">
        <v>5</v>
      </c>
      <c r="AQ484" s="1">
        <v>27</v>
      </c>
      <c r="AR484" s="1">
        <v>38</v>
      </c>
      <c r="AS484" s="1" t="s">
        <v>1982</v>
      </c>
      <c r="AT484" s="1" t="s">
        <v>975</v>
      </c>
      <c r="AU484" s="1" t="s">
        <v>1983</v>
      </c>
      <c r="AV484" s="1" t="s">
        <v>9036</v>
      </c>
      <c r="AW484" s="1" t="s">
        <v>9037</v>
      </c>
      <c r="AX484" s="1" t="s">
        <v>82</v>
      </c>
      <c r="AY484" s="1" t="s">
        <v>9023</v>
      </c>
      <c r="AZ484" s="1" t="s">
        <v>9038</v>
      </c>
      <c r="BA484" s="1" t="s">
        <v>1826</v>
      </c>
      <c r="BB484" s="1">
        <v>2022</v>
      </c>
      <c r="BC484" s="1">
        <v>44</v>
      </c>
      <c r="BD484" s="1">
        <v>1</v>
      </c>
      <c r="BE484" s="1" t="s">
        <v>82</v>
      </c>
      <c r="BF484" s="1" t="s">
        <v>82</v>
      </c>
      <c r="BG484" s="1" t="s">
        <v>82</v>
      </c>
      <c r="BH484" s="1" t="s">
        <v>82</v>
      </c>
      <c r="BI484" s="1">
        <v>116</v>
      </c>
      <c r="BJ484" s="1">
        <v>125</v>
      </c>
      <c r="BK484" s="1" t="s">
        <v>82</v>
      </c>
      <c r="BL484" s="1" t="s">
        <v>9351</v>
      </c>
      <c r="BM484" s="1" t="str">
        <f>HYPERLINK("http://dx.doi.org/10.1016/j.pld.2020.11.0042468-2659","http://dx.doi.org/10.1016/j.pld.2020.11.0042468-2659")</f>
        <v>http://dx.doi.org/10.1016/j.pld.2020.11.0042468-2659</v>
      </c>
      <c r="BN484" s="1" t="s">
        <v>82</v>
      </c>
      <c r="BO484" s="1" t="s">
        <v>82</v>
      </c>
      <c r="BP484" s="1">
        <v>10</v>
      </c>
      <c r="BQ484" s="1" t="s">
        <v>378</v>
      </c>
      <c r="BR484" s="1" t="s">
        <v>104</v>
      </c>
      <c r="BS484" s="1" t="s">
        <v>378</v>
      </c>
      <c r="BT484" s="1" t="s">
        <v>9352</v>
      </c>
      <c r="BU484" s="1">
        <v>35281128</v>
      </c>
      <c r="BV484" s="1" t="s">
        <v>82</v>
      </c>
      <c r="BW484" s="1" t="s">
        <v>82</v>
      </c>
      <c r="BX484" s="1" t="s">
        <v>82</v>
      </c>
      <c r="BY484" s="1" t="s">
        <v>108</v>
      </c>
      <c r="BZ484" s="1" t="s">
        <v>9353</v>
      </c>
      <c r="CA484" s="1" t="str">
        <f>HYPERLINK("https%3A%2F%2Fwww.webofscience.com%2Fwos%2Fwoscc%2Ffull-record%2FWOS:000761555200001","View Full Record in Web of Science")</f>
        <v>View Full Record in Web of Science</v>
      </c>
    </row>
    <row r="485" s="1" customFormat="1" ht="14.4" spans="1:79">
      <c r="A485">
        <v>484</v>
      </c>
      <c r="B485" s="2" t="s">
        <v>79</v>
      </c>
      <c r="C485" s="1" t="s">
        <v>80</v>
      </c>
      <c r="D485" s="1" t="s">
        <v>9354</v>
      </c>
      <c r="E485" s="1" t="s">
        <v>82</v>
      </c>
      <c r="F485" s="1" t="s">
        <v>82</v>
      </c>
      <c r="G485" s="1" t="s">
        <v>82</v>
      </c>
      <c r="H485" s="1" t="s">
        <v>9355</v>
      </c>
      <c r="I485" s="1" t="s">
        <v>82</v>
      </c>
      <c r="J485" s="1" t="s">
        <v>82</v>
      </c>
      <c r="K485" s="1" t="s">
        <v>9356</v>
      </c>
      <c r="L485" s="1" t="s">
        <v>9357</v>
      </c>
      <c r="M485" s="1">
        <v>3.325</v>
      </c>
      <c r="O485" s="1" t="s">
        <v>82</v>
      </c>
      <c r="P485" s="1" t="s">
        <v>82</v>
      </c>
      <c r="Q485" s="1" t="s">
        <v>87</v>
      </c>
      <c r="R485" s="1" t="s">
        <v>115</v>
      </c>
      <c r="S485" s="1" t="s">
        <v>82</v>
      </c>
      <c r="T485" s="1" t="s">
        <v>82</v>
      </c>
      <c r="U485" s="1" t="s">
        <v>82</v>
      </c>
      <c r="V485" s="1" t="s">
        <v>82</v>
      </c>
      <c r="W485" s="1" t="s">
        <v>82</v>
      </c>
      <c r="X485" s="1" t="s">
        <v>9358</v>
      </c>
      <c r="Y485" s="1" t="s">
        <v>9359</v>
      </c>
      <c r="Z485" s="1" t="s">
        <v>9360</v>
      </c>
      <c r="AB485" s="1" t="s">
        <v>9361</v>
      </c>
      <c r="AC485" s="1" t="s">
        <v>9362</v>
      </c>
      <c r="AD485" s="1" t="s">
        <v>120</v>
      </c>
      <c r="AE485" s="1" t="s">
        <v>9363</v>
      </c>
      <c r="AF485" s="1" t="s">
        <v>9364</v>
      </c>
      <c r="AG485" s="1" t="s">
        <v>9365</v>
      </c>
      <c r="AH485" s="1" t="s">
        <v>9366</v>
      </c>
      <c r="AI485" s="1" t="s">
        <v>9367</v>
      </c>
      <c r="AJ485" s="1" t="s">
        <v>9368</v>
      </c>
      <c r="AK485" s="1" t="s">
        <v>9369</v>
      </c>
      <c r="AL485" s="1" t="s">
        <v>9370</v>
      </c>
      <c r="AM485" s="1" t="s">
        <v>82</v>
      </c>
      <c r="AN485" s="1">
        <v>47</v>
      </c>
      <c r="AO485" s="1">
        <v>0</v>
      </c>
      <c r="AP485" s="1">
        <v>0</v>
      </c>
      <c r="AQ485" s="1">
        <v>11</v>
      </c>
      <c r="AR485" s="1">
        <v>17</v>
      </c>
      <c r="AS485" s="1" t="s">
        <v>1002</v>
      </c>
      <c r="AT485" s="1" t="s">
        <v>1003</v>
      </c>
      <c r="AU485" s="1" t="s">
        <v>1004</v>
      </c>
      <c r="AV485" s="1" t="s">
        <v>9371</v>
      </c>
      <c r="AW485" s="1" t="s">
        <v>9372</v>
      </c>
      <c r="AX485" s="1" t="s">
        <v>82</v>
      </c>
      <c r="AY485" s="1" t="s">
        <v>9373</v>
      </c>
      <c r="AZ485" s="1" t="s">
        <v>9374</v>
      </c>
      <c r="BA485" s="1" t="s">
        <v>1403</v>
      </c>
      <c r="BB485" s="1">
        <v>2022</v>
      </c>
      <c r="BC485" s="1">
        <v>109</v>
      </c>
      <c r="BD485" s="1">
        <v>7</v>
      </c>
      <c r="BE485" s="1" t="s">
        <v>82</v>
      </c>
      <c r="BF485" s="1" t="s">
        <v>82</v>
      </c>
      <c r="BG485" s="1" t="s">
        <v>82</v>
      </c>
      <c r="BH485" s="1" t="s">
        <v>82</v>
      </c>
      <c r="BI485" s="1">
        <v>1191</v>
      </c>
      <c r="BJ485" s="1">
        <v>1202</v>
      </c>
      <c r="BK485" s="1" t="s">
        <v>82</v>
      </c>
      <c r="BL485" s="1" t="s">
        <v>9375</v>
      </c>
      <c r="BM485" s="1" t="str">
        <f>HYPERLINK("http://dx.doi.org/10.1002/ajb2.16001","http://dx.doi.org/10.1002/ajb2.16001")</f>
        <v>http://dx.doi.org/10.1002/ajb2.16001</v>
      </c>
      <c r="BN485" s="1" t="s">
        <v>82</v>
      </c>
      <c r="BO485" s="1" t="s">
        <v>1298</v>
      </c>
      <c r="BP485" s="1">
        <v>12</v>
      </c>
      <c r="BQ485" s="1" t="s">
        <v>378</v>
      </c>
      <c r="BR485" s="1" t="s">
        <v>104</v>
      </c>
      <c r="BS485" s="1" t="s">
        <v>378</v>
      </c>
      <c r="BT485" s="1" t="s">
        <v>9376</v>
      </c>
      <c r="BU485" s="1">
        <v>35588305</v>
      </c>
      <c r="BV485" s="1" t="s">
        <v>82</v>
      </c>
      <c r="BW485" s="1" t="s">
        <v>82</v>
      </c>
      <c r="BX485" s="1" t="s">
        <v>82</v>
      </c>
      <c r="BY485" s="1" t="s">
        <v>108</v>
      </c>
      <c r="BZ485" s="1" t="s">
        <v>9377</v>
      </c>
      <c r="CA485" s="1" t="str">
        <f>HYPERLINK("https%3A%2F%2Fwww.webofscience.com%2Fwos%2Fwoscc%2Ffull-record%2FWOS:000815585900001","View Full Record in Web of Science")</f>
        <v>View Full Record in Web of Science</v>
      </c>
    </row>
    <row r="486" s="1" customFormat="1" ht="14.4" spans="1:79">
      <c r="A486">
        <v>485</v>
      </c>
      <c r="B486" s="2" t="s">
        <v>79</v>
      </c>
      <c r="C486" s="1" t="s">
        <v>80</v>
      </c>
      <c r="D486" s="1" t="s">
        <v>9378</v>
      </c>
      <c r="E486" s="1" t="s">
        <v>82</v>
      </c>
      <c r="F486" s="1" t="s">
        <v>82</v>
      </c>
      <c r="G486" s="1" t="s">
        <v>82</v>
      </c>
      <c r="H486" s="1" t="s">
        <v>9379</v>
      </c>
      <c r="I486" s="1" t="s">
        <v>82</v>
      </c>
      <c r="J486" s="1" t="s">
        <v>82</v>
      </c>
      <c r="K486" s="1" t="s">
        <v>9380</v>
      </c>
      <c r="L486" s="1" t="s">
        <v>9381</v>
      </c>
      <c r="M486" s="1">
        <v>3.322</v>
      </c>
      <c r="O486" s="1" t="s">
        <v>82</v>
      </c>
      <c r="P486" s="1" t="s">
        <v>82</v>
      </c>
      <c r="Q486" s="1" t="s">
        <v>87</v>
      </c>
      <c r="R486" s="1" t="s">
        <v>115</v>
      </c>
      <c r="S486" s="1" t="s">
        <v>82</v>
      </c>
      <c r="T486" s="1" t="s">
        <v>82</v>
      </c>
      <c r="U486" s="1" t="s">
        <v>82</v>
      </c>
      <c r="V486" s="1" t="s">
        <v>82</v>
      </c>
      <c r="W486" s="1" t="s">
        <v>82</v>
      </c>
      <c r="X486" s="1" t="s">
        <v>9382</v>
      </c>
      <c r="Y486" s="1" t="s">
        <v>9383</v>
      </c>
      <c r="Z486" s="1" t="s">
        <v>9384</v>
      </c>
      <c r="AA486" s="1">
        <v>1</v>
      </c>
      <c r="AB486" s="1" t="s">
        <v>9385</v>
      </c>
      <c r="AC486" s="1" t="s">
        <v>9386</v>
      </c>
      <c r="AD486" s="1" t="s">
        <v>93</v>
      </c>
      <c r="AE486" s="1" t="s">
        <v>9387</v>
      </c>
      <c r="AF486" s="1" t="s">
        <v>9388</v>
      </c>
      <c r="AG486" s="1" t="s">
        <v>9389</v>
      </c>
      <c r="AH486" s="1" t="s">
        <v>82</v>
      </c>
      <c r="AI486" s="1" t="s">
        <v>9390</v>
      </c>
      <c r="AJ486" s="1" t="s">
        <v>9391</v>
      </c>
      <c r="AK486" s="1" t="s">
        <v>9392</v>
      </c>
      <c r="AL486" s="1" t="s">
        <v>9393</v>
      </c>
      <c r="AM486" s="1" t="s">
        <v>82</v>
      </c>
      <c r="AN486" s="1">
        <v>43</v>
      </c>
      <c r="AO486" s="1">
        <v>0</v>
      </c>
      <c r="AP486" s="1">
        <v>0</v>
      </c>
      <c r="AQ486" s="1">
        <v>4</v>
      </c>
      <c r="AR486" s="1">
        <v>6</v>
      </c>
      <c r="AS486" s="1" t="s">
        <v>2514</v>
      </c>
      <c r="AT486" s="1" t="s">
        <v>2515</v>
      </c>
      <c r="AU486" s="1" t="s">
        <v>2516</v>
      </c>
      <c r="AV486" s="1" t="s">
        <v>9394</v>
      </c>
      <c r="AW486" s="1" t="s">
        <v>9395</v>
      </c>
      <c r="AX486" s="1" t="s">
        <v>82</v>
      </c>
      <c r="AY486" s="1" t="s">
        <v>9396</v>
      </c>
      <c r="AZ486" s="1" t="s">
        <v>9397</v>
      </c>
      <c r="BA486" s="1" t="s">
        <v>9398</v>
      </c>
      <c r="BB486" s="1">
        <v>2022</v>
      </c>
      <c r="BC486" s="1">
        <v>617</v>
      </c>
      <c r="BD486" s="1" t="s">
        <v>82</v>
      </c>
      <c r="BE486" s="1">
        <v>2</v>
      </c>
      <c r="BF486" s="1" t="s">
        <v>82</v>
      </c>
      <c r="BG486" s="1" t="s">
        <v>82</v>
      </c>
      <c r="BH486" s="1" t="s">
        <v>82</v>
      </c>
      <c r="BI486" s="1">
        <v>1</v>
      </c>
      <c r="BJ486" s="1">
        <v>6</v>
      </c>
      <c r="BK486" s="1" t="s">
        <v>82</v>
      </c>
      <c r="BL486" s="1" t="s">
        <v>9399</v>
      </c>
      <c r="BM486" s="1" t="str">
        <f>HYPERLINK("http://dx.doi.org/10.1016/j.bbrc.2022.05.086","http://dx.doi.org/10.1016/j.bbrc.2022.05.086")</f>
        <v>http://dx.doi.org/10.1016/j.bbrc.2022.05.086</v>
      </c>
      <c r="BN486" s="1" t="s">
        <v>82</v>
      </c>
      <c r="BO486" s="1" t="s">
        <v>1298</v>
      </c>
      <c r="BP486" s="1">
        <v>6</v>
      </c>
      <c r="BQ486" s="1" t="s">
        <v>6107</v>
      </c>
      <c r="BR486" s="1" t="s">
        <v>104</v>
      </c>
      <c r="BS486" s="1" t="s">
        <v>6107</v>
      </c>
      <c r="BT486" s="1" t="s">
        <v>9400</v>
      </c>
      <c r="BU486" s="1">
        <v>35688044</v>
      </c>
      <c r="BV486" s="1" t="s">
        <v>82</v>
      </c>
      <c r="BW486" s="1" t="s">
        <v>82</v>
      </c>
      <c r="BX486" s="1" t="s">
        <v>82</v>
      </c>
      <c r="BY486" s="1" t="s">
        <v>108</v>
      </c>
      <c r="BZ486" s="1" t="s">
        <v>9401</v>
      </c>
      <c r="CA486" s="1" t="str">
        <f>HYPERLINK("https%3A%2F%2Fwww.webofscience.com%2Fwos%2Fwoscc%2Ffull-record%2FWOS:000809779800001","View Full Record in Web of Science")</f>
        <v>View Full Record in Web of Science</v>
      </c>
    </row>
    <row r="487" s="1" customFormat="1" ht="14.4" spans="1:79">
      <c r="A487">
        <v>486</v>
      </c>
      <c r="B487" s="2" t="s">
        <v>79</v>
      </c>
      <c r="C487" s="1" t="s">
        <v>80</v>
      </c>
      <c r="D487" s="1" t="s">
        <v>9402</v>
      </c>
      <c r="E487" s="1" t="s">
        <v>82</v>
      </c>
      <c r="F487" s="1" t="s">
        <v>82</v>
      </c>
      <c r="G487" s="1" t="s">
        <v>82</v>
      </c>
      <c r="H487" s="1" t="s">
        <v>9403</v>
      </c>
      <c r="I487" s="1" t="s">
        <v>82</v>
      </c>
      <c r="J487" s="1" t="s">
        <v>82</v>
      </c>
      <c r="K487" s="1" t="s">
        <v>9404</v>
      </c>
      <c r="L487" s="1" t="s">
        <v>9405</v>
      </c>
      <c r="M487" s="1">
        <v>3.313</v>
      </c>
      <c r="O487" s="1" t="s">
        <v>82</v>
      </c>
      <c r="P487" s="1" t="s">
        <v>82</v>
      </c>
      <c r="Q487" s="1" t="s">
        <v>87</v>
      </c>
      <c r="R487" s="1" t="s">
        <v>115</v>
      </c>
      <c r="S487" s="1" t="s">
        <v>82</v>
      </c>
      <c r="T487" s="1" t="s">
        <v>82</v>
      </c>
      <c r="U487" s="1" t="s">
        <v>82</v>
      </c>
      <c r="V487" s="1" t="s">
        <v>82</v>
      </c>
      <c r="W487" s="1" t="s">
        <v>82</v>
      </c>
      <c r="X487" s="1" t="s">
        <v>9406</v>
      </c>
      <c r="Y487" s="1" t="s">
        <v>9407</v>
      </c>
      <c r="Z487" s="1" t="s">
        <v>9408</v>
      </c>
      <c r="AB487" s="1" t="s">
        <v>2135</v>
      </c>
      <c r="AC487" s="1" t="s">
        <v>9409</v>
      </c>
      <c r="AD487" s="1" t="s">
        <v>120</v>
      </c>
      <c r="AE487" s="1" t="s">
        <v>9410</v>
      </c>
      <c r="AF487" s="1" t="s">
        <v>9411</v>
      </c>
      <c r="AG487" s="1" t="s">
        <v>9412</v>
      </c>
      <c r="AH487" s="1" t="s">
        <v>2140</v>
      </c>
      <c r="AI487" s="1" t="s">
        <v>9413</v>
      </c>
      <c r="AJ487" s="1" t="s">
        <v>9414</v>
      </c>
      <c r="AK487" s="1" t="s">
        <v>2143</v>
      </c>
      <c r="AL487" s="1" t="s">
        <v>9415</v>
      </c>
      <c r="AM487" s="1" t="s">
        <v>82</v>
      </c>
      <c r="AN487" s="1">
        <v>80</v>
      </c>
      <c r="AO487" s="1">
        <v>3</v>
      </c>
      <c r="AP487" s="1">
        <v>3</v>
      </c>
      <c r="AQ487" s="1">
        <v>4</v>
      </c>
      <c r="AR487" s="1">
        <v>6</v>
      </c>
      <c r="AS487" s="1" t="s">
        <v>479</v>
      </c>
      <c r="AT487" s="1" t="s">
        <v>480</v>
      </c>
      <c r="AU487" s="1" t="s">
        <v>481</v>
      </c>
      <c r="AV487" s="1" t="s">
        <v>9416</v>
      </c>
      <c r="AW487" s="1" t="s">
        <v>9417</v>
      </c>
      <c r="AX487" s="1" t="s">
        <v>82</v>
      </c>
      <c r="AY487" s="1" t="s">
        <v>9418</v>
      </c>
      <c r="AZ487" s="1" t="s">
        <v>9419</v>
      </c>
      <c r="BA487" s="1" t="s">
        <v>1826</v>
      </c>
      <c r="BB487" s="1">
        <v>2022</v>
      </c>
      <c r="BC487" s="1">
        <v>283</v>
      </c>
      <c r="BD487" s="1" t="s">
        <v>82</v>
      </c>
      <c r="BE487" s="1" t="s">
        <v>82</v>
      </c>
      <c r="BF487" s="1" t="s">
        <v>82</v>
      </c>
      <c r="BG487" s="1" t="s">
        <v>82</v>
      </c>
      <c r="BH487" s="1" t="s">
        <v>82</v>
      </c>
      <c r="BI487" s="1" t="s">
        <v>82</v>
      </c>
      <c r="BJ487" s="1" t="s">
        <v>82</v>
      </c>
      <c r="BK487" s="1">
        <v>115160</v>
      </c>
      <c r="BL487" s="1" t="s">
        <v>9420</v>
      </c>
      <c r="BM487" s="1" t="str">
        <f>HYPERLINK("http://dx.doi.org/10.1016/j.anifeedsci.2021.115160","http://dx.doi.org/10.1016/j.anifeedsci.2021.115160")</f>
        <v>http://dx.doi.org/10.1016/j.anifeedsci.2021.115160</v>
      </c>
      <c r="BN487" s="1" t="s">
        <v>82</v>
      </c>
      <c r="BO487" s="1" t="s">
        <v>82</v>
      </c>
      <c r="BP487" s="1">
        <v>13</v>
      </c>
      <c r="BQ487" s="1" t="s">
        <v>9421</v>
      </c>
      <c r="BR487" s="1" t="s">
        <v>104</v>
      </c>
      <c r="BS487" s="1" t="s">
        <v>1881</v>
      </c>
      <c r="BT487" s="1" t="s">
        <v>9422</v>
      </c>
      <c r="BU487" s="1" t="s">
        <v>82</v>
      </c>
      <c r="BV487" s="1" t="s">
        <v>268</v>
      </c>
      <c r="BW487" s="1" t="s">
        <v>82</v>
      </c>
      <c r="BX487" s="1" t="s">
        <v>82</v>
      </c>
      <c r="BY487" s="1" t="s">
        <v>108</v>
      </c>
      <c r="BZ487" s="1" t="s">
        <v>9423</v>
      </c>
      <c r="CA487" s="1" t="str">
        <f>HYPERLINK("https%3A%2F%2Fwww.webofscience.com%2Fwos%2Fwoscc%2Ffull-record%2FWOS:000798825300004","View Full Record in Web of Science")</f>
        <v>View Full Record in Web of Science</v>
      </c>
    </row>
    <row r="488" s="1" customFormat="1" ht="14.4" spans="1:79">
      <c r="A488">
        <v>487</v>
      </c>
      <c r="B488" s="2" t="s">
        <v>110</v>
      </c>
      <c r="C488" s="1" t="s">
        <v>80</v>
      </c>
      <c r="D488" s="1" t="s">
        <v>9424</v>
      </c>
      <c r="E488" s="1" t="s">
        <v>82</v>
      </c>
      <c r="F488" s="1" t="s">
        <v>82</v>
      </c>
      <c r="G488" s="1" t="s">
        <v>82</v>
      </c>
      <c r="H488" s="1" t="s">
        <v>9425</v>
      </c>
      <c r="I488" s="1" t="s">
        <v>82</v>
      </c>
      <c r="J488" s="1" t="s">
        <v>82</v>
      </c>
      <c r="K488" s="1" t="s">
        <v>9426</v>
      </c>
      <c r="L488" s="1" t="s">
        <v>9427</v>
      </c>
      <c r="M488" s="1">
        <v>3.282</v>
      </c>
      <c r="O488" s="1" t="s">
        <v>82</v>
      </c>
      <c r="P488" s="1" t="s">
        <v>82</v>
      </c>
      <c r="Q488" s="1" t="s">
        <v>87</v>
      </c>
      <c r="R488" s="1" t="s">
        <v>200</v>
      </c>
      <c r="S488" s="1" t="s">
        <v>82</v>
      </c>
      <c r="T488" s="1" t="s">
        <v>82</v>
      </c>
      <c r="U488" s="1" t="s">
        <v>82</v>
      </c>
      <c r="V488" s="1" t="s">
        <v>82</v>
      </c>
      <c r="W488" s="1" t="s">
        <v>82</v>
      </c>
      <c r="X488" s="1" t="s">
        <v>9428</v>
      </c>
      <c r="Y488" s="1" t="s">
        <v>9429</v>
      </c>
      <c r="Z488" s="1" t="s">
        <v>9430</v>
      </c>
      <c r="AB488" s="1" t="s">
        <v>9431</v>
      </c>
      <c r="AC488" s="1" t="s">
        <v>9432</v>
      </c>
      <c r="AD488" s="1" t="s">
        <v>120</v>
      </c>
      <c r="AE488" s="1" t="s">
        <v>9433</v>
      </c>
      <c r="AF488" s="1" t="s">
        <v>9434</v>
      </c>
      <c r="AG488" s="1" t="s">
        <v>9435</v>
      </c>
      <c r="AH488" s="1" t="s">
        <v>82</v>
      </c>
      <c r="AI488" s="1" t="s">
        <v>9436</v>
      </c>
      <c r="AJ488" s="1" t="s">
        <v>9437</v>
      </c>
      <c r="AK488" s="1" t="s">
        <v>9438</v>
      </c>
      <c r="AL488" s="1" t="s">
        <v>9439</v>
      </c>
      <c r="AM488" s="1" t="s">
        <v>82</v>
      </c>
      <c r="AN488" s="1">
        <v>114</v>
      </c>
      <c r="AO488" s="1">
        <v>0</v>
      </c>
      <c r="AP488" s="1">
        <v>0</v>
      </c>
      <c r="AQ488" s="1">
        <v>7</v>
      </c>
      <c r="AR488" s="1">
        <v>7</v>
      </c>
      <c r="AS488" s="1" t="s">
        <v>2117</v>
      </c>
      <c r="AT488" s="1" t="s">
        <v>2118</v>
      </c>
      <c r="AU488" s="1" t="s">
        <v>2119</v>
      </c>
      <c r="AV488" s="1" t="s">
        <v>82</v>
      </c>
      <c r="AW488" s="1" t="s">
        <v>9440</v>
      </c>
      <c r="AX488" s="1" t="s">
        <v>82</v>
      </c>
      <c r="AY488" s="1" t="s">
        <v>9427</v>
      </c>
      <c r="AZ488" s="1" t="s">
        <v>9441</v>
      </c>
      <c r="BA488" s="1" t="s">
        <v>2521</v>
      </c>
      <c r="BB488" s="1">
        <v>2022</v>
      </c>
      <c r="BC488" s="1">
        <v>13</v>
      </c>
      <c r="BD488" s="1">
        <v>8</v>
      </c>
      <c r="BE488" s="1" t="s">
        <v>82</v>
      </c>
      <c r="BF488" s="1" t="s">
        <v>82</v>
      </c>
      <c r="BG488" s="1" t="s">
        <v>82</v>
      </c>
      <c r="BH488" s="1" t="s">
        <v>82</v>
      </c>
      <c r="BI488" s="1" t="s">
        <v>82</v>
      </c>
      <c r="BJ488" s="1" t="s">
        <v>82</v>
      </c>
      <c r="BK488" s="1">
        <v>1281</v>
      </c>
      <c r="BL488" s="1" t="s">
        <v>9442</v>
      </c>
      <c r="BM488" s="1" t="str">
        <f>HYPERLINK("http://dx.doi.org/10.3390/f13081281","http://dx.doi.org/10.3390/f13081281")</f>
        <v>http://dx.doi.org/10.3390/f13081281</v>
      </c>
      <c r="BN488" s="1" t="s">
        <v>82</v>
      </c>
      <c r="BO488" s="1" t="s">
        <v>82</v>
      </c>
      <c r="BP488" s="1">
        <v>22</v>
      </c>
      <c r="BQ488" s="1" t="s">
        <v>7449</v>
      </c>
      <c r="BR488" s="1" t="s">
        <v>104</v>
      </c>
      <c r="BS488" s="1" t="s">
        <v>7449</v>
      </c>
      <c r="BT488" s="1" t="s">
        <v>9443</v>
      </c>
      <c r="BU488" s="1" t="s">
        <v>82</v>
      </c>
      <c r="BV488" s="1" t="s">
        <v>808</v>
      </c>
      <c r="BW488" s="1" t="s">
        <v>82</v>
      </c>
      <c r="BX488" s="1" t="s">
        <v>82</v>
      </c>
      <c r="BY488" s="1" t="s">
        <v>108</v>
      </c>
      <c r="BZ488" s="1" t="s">
        <v>9444</v>
      </c>
      <c r="CA488" s="1" t="str">
        <f>HYPERLINK("https%3A%2F%2Fwww.webofscience.com%2Fwos%2Fwoscc%2Ffull-record%2FWOS:000846068700001","View Full Record in Web of Science")</f>
        <v>View Full Record in Web of Science</v>
      </c>
    </row>
    <row r="489" s="1" customFormat="1" ht="14.4" spans="1:79">
      <c r="A489">
        <v>488</v>
      </c>
      <c r="B489" s="2" t="s">
        <v>79</v>
      </c>
      <c r="C489" s="1" t="s">
        <v>80</v>
      </c>
      <c r="D489" s="1" t="s">
        <v>9445</v>
      </c>
      <c r="E489" s="1" t="s">
        <v>82</v>
      </c>
      <c r="F489" s="1" t="s">
        <v>82</v>
      </c>
      <c r="G489" s="1" t="s">
        <v>82</v>
      </c>
      <c r="H489" s="1" t="s">
        <v>9446</v>
      </c>
      <c r="I489" s="1" t="s">
        <v>82</v>
      </c>
      <c r="J489" s="1" t="s">
        <v>82</v>
      </c>
      <c r="K489" s="1" t="s">
        <v>9447</v>
      </c>
      <c r="L489" s="1" t="s">
        <v>9448</v>
      </c>
      <c r="M489" s="1">
        <v>3.251</v>
      </c>
      <c r="O489" s="1" t="s">
        <v>82</v>
      </c>
      <c r="P489" s="1" t="s">
        <v>82</v>
      </c>
      <c r="Q489" s="1" t="s">
        <v>87</v>
      </c>
      <c r="R489" s="1" t="s">
        <v>115</v>
      </c>
      <c r="S489" s="1" t="s">
        <v>82</v>
      </c>
      <c r="T489" s="1" t="s">
        <v>82</v>
      </c>
      <c r="U489" s="1" t="s">
        <v>82</v>
      </c>
      <c r="V489" s="1" t="s">
        <v>82</v>
      </c>
      <c r="W489" s="1" t="s">
        <v>82</v>
      </c>
      <c r="X489" s="1" t="s">
        <v>9449</v>
      </c>
      <c r="Y489" s="1" t="s">
        <v>9450</v>
      </c>
      <c r="Z489" s="1" t="s">
        <v>9451</v>
      </c>
      <c r="AB489" s="1" t="s">
        <v>9452</v>
      </c>
      <c r="AC489" s="1" t="s">
        <v>9453</v>
      </c>
      <c r="AD489" s="1" t="s">
        <v>206</v>
      </c>
      <c r="AE489" s="1" t="s">
        <v>9454</v>
      </c>
      <c r="AF489" s="1" t="s">
        <v>9455</v>
      </c>
      <c r="AG489" s="1" t="s">
        <v>9456</v>
      </c>
      <c r="AH489" s="1" t="s">
        <v>9457</v>
      </c>
      <c r="AI489" s="1" t="s">
        <v>9458</v>
      </c>
      <c r="AJ489" s="1" t="s">
        <v>9459</v>
      </c>
      <c r="AK489" s="1" t="s">
        <v>9460</v>
      </c>
      <c r="AL489" s="1" t="s">
        <v>9461</v>
      </c>
      <c r="AM489" s="1" t="s">
        <v>82</v>
      </c>
      <c r="AN489" s="1">
        <v>40</v>
      </c>
      <c r="AO489" s="1">
        <v>2</v>
      </c>
      <c r="AP489" s="1">
        <v>2</v>
      </c>
      <c r="AQ489" s="1">
        <v>1</v>
      </c>
      <c r="AR489" s="1">
        <v>2</v>
      </c>
      <c r="AS489" s="1" t="s">
        <v>2117</v>
      </c>
      <c r="AT489" s="1" t="s">
        <v>2118</v>
      </c>
      <c r="AU489" s="1" t="s">
        <v>2119</v>
      </c>
      <c r="AV489" s="1" t="s">
        <v>82</v>
      </c>
      <c r="AW489" s="1" t="s">
        <v>9462</v>
      </c>
      <c r="AX489" s="1" t="s">
        <v>82</v>
      </c>
      <c r="AY489" s="1" t="s">
        <v>9448</v>
      </c>
      <c r="AZ489" s="1" t="s">
        <v>9463</v>
      </c>
      <c r="BA489" s="1" t="s">
        <v>245</v>
      </c>
      <c r="BB489" s="1">
        <v>2022</v>
      </c>
      <c r="BC489" s="1">
        <v>12</v>
      </c>
      <c r="BD489" s="1">
        <v>5</v>
      </c>
      <c r="BE489" s="1" t="s">
        <v>82</v>
      </c>
      <c r="BF489" s="1" t="s">
        <v>82</v>
      </c>
      <c r="BG489" s="1" t="s">
        <v>82</v>
      </c>
      <c r="BH489" s="1" t="s">
        <v>82</v>
      </c>
      <c r="BI489" s="1" t="s">
        <v>82</v>
      </c>
      <c r="BJ489" s="1" t="s">
        <v>82</v>
      </c>
      <c r="BK489" s="1">
        <v>635</v>
      </c>
      <c r="BL489" s="1" t="s">
        <v>9464</v>
      </c>
      <c r="BM489" s="1" t="str">
        <f>HYPERLINK("http://dx.doi.org/10.3390/life12050635","http://dx.doi.org/10.3390/life12050635")</f>
        <v>http://dx.doi.org/10.3390/life12050635</v>
      </c>
      <c r="BN489" s="1" t="s">
        <v>82</v>
      </c>
      <c r="BO489" s="1" t="s">
        <v>82</v>
      </c>
      <c r="BP489" s="1">
        <v>14</v>
      </c>
      <c r="BQ489" s="1" t="s">
        <v>9465</v>
      </c>
      <c r="BR489" s="1" t="s">
        <v>104</v>
      </c>
      <c r="BS489" s="1" t="s">
        <v>9466</v>
      </c>
      <c r="BT489" s="1" t="s">
        <v>9467</v>
      </c>
      <c r="BU489" s="1">
        <v>35629303</v>
      </c>
      <c r="BV489" s="1" t="s">
        <v>635</v>
      </c>
      <c r="BW489" s="1" t="s">
        <v>82</v>
      </c>
      <c r="BX489" s="1" t="s">
        <v>82</v>
      </c>
      <c r="BY489" s="1" t="s">
        <v>108</v>
      </c>
      <c r="BZ489" s="1" t="s">
        <v>9468</v>
      </c>
      <c r="CA489" s="1" t="str">
        <f>HYPERLINK("https%3A%2F%2Fwww.webofscience.com%2Fwos%2Fwoscc%2Ffull-record%2FWOS:000801707600001","View Full Record in Web of Science")</f>
        <v>View Full Record in Web of Science</v>
      </c>
    </row>
    <row r="490" s="1" customFormat="1" ht="14.4" spans="1:79">
      <c r="A490">
        <v>489</v>
      </c>
      <c r="B490" s="2" t="s">
        <v>79</v>
      </c>
      <c r="C490" s="1" t="s">
        <v>80</v>
      </c>
      <c r="D490" s="1" t="s">
        <v>9469</v>
      </c>
      <c r="E490" s="1" t="s">
        <v>82</v>
      </c>
      <c r="F490" s="1" t="s">
        <v>82</v>
      </c>
      <c r="G490" s="1" t="s">
        <v>82</v>
      </c>
      <c r="H490" s="1" t="s">
        <v>9470</v>
      </c>
      <c r="I490" s="1" t="s">
        <v>82</v>
      </c>
      <c r="J490" s="1" t="s">
        <v>82</v>
      </c>
      <c r="K490" s="1" t="s">
        <v>9471</v>
      </c>
      <c r="L490" s="1" t="s">
        <v>9472</v>
      </c>
      <c r="M490" s="1">
        <v>3.242</v>
      </c>
      <c r="O490" s="1" t="s">
        <v>82</v>
      </c>
      <c r="P490" s="1" t="s">
        <v>82</v>
      </c>
      <c r="Q490" s="1" t="s">
        <v>87</v>
      </c>
      <c r="R490" s="1" t="s">
        <v>1601</v>
      </c>
      <c r="S490" s="1" t="s">
        <v>82</v>
      </c>
      <c r="T490" s="1" t="s">
        <v>82</v>
      </c>
      <c r="U490" s="1" t="s">
        <v>82</v>
      </c>
      <c r="V490" s="1" t="s">
        <v>82</v>
      </c>
      <c r="W490" s="1" t="s">
        <v>82</v>
      </c>
      <c r="X490" s="1" t="s">
        <v>9473</v>
      </c>
      <c r="Y490" s="1" t="s">
        <v>9474</v>
      </c>
      <c r="Z490" s="1" t="s">
        <v>9475</v>
      </c>
      <c r="AB490" s="1" t="s">
        <v>4088</v>
      </c>
      <c r="AC490" s="1" t="s">
        <v>9476</v>
      </c>
      <c r="AD490" s="1" t="s">
        <v>120</v>
      </c>
      <c r="AE490" s="1" t="s">
        <v>9477</v>
      </c>
      <c r="AF490" s="1" t="s">
        <v>9478</v>
      </c>
      <c r="AG490" s="1" t="s">
        <v>9479</v>
      </c>
      <c r="AH490" s="1" t="s">
        <v>9480</v>
      </c>
      <c r="AI490" s="1" t="s">
        <v>9481</v>
      </c>
      <c r="AJ490" s="1" t="s">
        <v>82</v>
      </c>
      <c r="AK490" s="1" t="s">
        <v>82</v>
      </c>
      <c r="AL490" s="1" t="s">
        <v>82</v>
      </c>
      <c r="AM490" s="1" t="s">
        <v>82</v>
      </c>
      <c r="AN490" s="1">
        <v>184</v>
      </c>
      <c r="AO490" s="1">
        <v>2</v>
      </c>
      <c r="AP490" s="1">
        <v>2</v>
      </c>
      <c r="AQ490" s="1">
        <v>34</v>
      </c>
      <c r="AR490" s="1">
        <v>34</v>
      </c>
      <c r="AS490" s="1" t="s">
        <v>215</v>
      </c>
      <c r="AT490" s="1" t="s">
        <v>6669</v>
      </c>
      <c r="AU490" s="1" t="s">
        <v>6670</v>
      </c>
      <c r="AV490" s="1" t="s">
        <v>9482</v>
      </c>
      <c r="AW490" s="1" t="s">
        <v>9483</v>
      </c>
      <c r="AX490" s="1" t="s">
        <v>82</v>
      </c>
      <c r="AY490" s="1" t="s">
        <v>9484</v>
      </c>
      <c r="AZ490" s="1" t="s">
        <v>9485</v>
      </c>
      <c r="BA490" s="1" t="s">
        <v>82</v>
      </c>
      <c r="BB490" s="1" t="s">
        <v>82</v>
      </c>
      <c r="BC490" s="1" t="s">
        <v>82</v>
      </c>
      <c r="BD490" s="1" t="s">
        <v>82</v>
      </c>
      <c r="BE490" s="1" t="s">
        <v>82</v>
      </c>
      <c r="BF490" s="1" t="s">
        <v>82</v>
      </c>
      <c r="BG490" s="1" t="s">
        <v>82</v>
      </c>
      <c r="BH490" s="1" t="s">
        <v>82</v>
      </c>
      <c r="BI490" s="1" t="s">
        <v>82</v>
      </c>
      <c r="BJ490" s="1" t="s">
        <v>82</v>
      </c>
      <c r="BK490" s="1" t="s">
        <v>82</v>
      </c>
      <c r="BL490" s="1" t="s">
        <v>9486</v>
      </c>
      <c r="BM490" s="1" t="str">
        <f>HYPERLINK("http://dx.doi.org/10.1007/s10725-022-00917-7","http://dx.doi.org/10.1007/s10725-022-00917-7")</f>
        <v>http://dx.doi.org/10.1007/s10725-022-00917-7</v>
      </c>
      <c r="BN490" s="1" t="s">
        <v>82</v>
      </c>
      <c r="BO490" s="1" t="s">
        <v>2084</v>
      </c>
      <c r="BP490" s="1">
        <v>16</v>
      </c>
      <c r="BQ490" s="1" t="s">
        <v>378</v>
      </c>
      <c r="BR490" s="1" t="s">
        <v>104</v>
      </c>
      <c r="BS490" s="1" t="s">
        <v>378</v>
      </c>
      <c r="BT490" s="1" t="s">
        <v>9487</v>
      </c>
      <c r="BU490" s="1" t="s">
        <v>82</v>
      </c>
      <c r="BV490" s="1" t="s">
        <v>82</v>
      </c>
      <c r="BW490" s="1" t="s">
        <v>82</v>
      </c>
      <c r="BX490" s="1" t="s">
        <v>82</v>
      </c>
      <c r="BY490" s="1" t="s">
        <v>108</v>
      </c>
      <c r="BZ490" s="1" t="s">
        <v>9488</v>
      </c>
      <c r="CA490" s="1" t="str">
        <f>HYPERLINK("https%3A%2F%2Fwww.webofscience.com%2Fwos%2Fwoscc%2Ffull-record%2FWOS:000876232600001","View Full Record in Web of Science")</f>
        <v>View Full Record in Web of Science</v>
      </c>
    </row>
    <row r="491" s="1" customFormat="1" ht="14.4" spans="1:79">
      <c r="A491">
        <v>490</v>
      </c>
      <c r="B491" s="2" t="s">
        <v>110</v>
      </c>
      <c r="C491" s="1" t="s">
        <v>80</v>
      </c>
      <c r="D491" s="1" t="s">
        <v>9489</v>
      </c>
      <c r="E491" s="1" t="s">
        <v>82</v>
      </c>
      <c r="F491" s="1" t="s">
        <v>82</v>
      </c>
      <c r="G491" s="1" t="s">
        <v>82</v>
      </c>
      <c r="H491" s="1" t="s">
        <v>9490</v>
      </c>
      <c r="I491" s="1" t="s">
        <v>82</v>
      </c>
      <c r="J491" s="1" t="s">
        <v>82</v>
      </c>
      <c r="K491" s="1" t="s">
        <v>9491</v>
      </c>
      <c r="L491" s="1" t="s">
        <v>9492</v>
      </c>
      <c r="M491" s="1">
        <v>3.204</v>
      </c>
      <c r="O491" s="1" t="s">
        <v>82</v>
      </c>
      <c r="Q491" s="1" t="s">
        <v>87</v>
      </c>
      <c r="R491" s="1" t="s">
        <v>115</v>
      </c>
      <c r="S491" s="1" t="s">
        <v>82</v>
      </c>
      <c r="T491" s="1" t="s">
        <v>82</v>
      </c>
      <c r="U491" s="1" t="s">
        <v>82</v>
      </c>
      <c r="V491" s="1" t="s">
        <v>82</v>
      </c>
      <c r="W491" s="1" t="s">
        <v>82</v>
      </c>
      <c r="X491" s="1" t="s">
        <v>9493</v>
      </c>
      <c r="Y491" s="1" t="s">
        <v>9494</v>
      </c>
      <c r="Z491" s="1" t="s">
        <v>9495</v>
      </c>
      <c r="AB491" s="3" t="s">
        <v>9496</v>
      </c>
      <c r="AC491" s="3" t="s">
        <v>9497</v>
      </c>
      <c r="AD491" s="1" t="s">
        <v>206</v>
      </c>
      <c r="AE491" s="1" t="s">
        <v>6091</v>
      </c>
      <c r="AF491" s="1" t="s">
        <v>9498</v>
      </c>
      <c r="AG491" s="1" t="s">
        <v>9499</v>
      </c>
      <c r="AH491" s="1" t="s">
        <v>82</v>
      </c>
      <c r="AI491" s="1" t="s">
        <v>82</v>
      </c>
      <c r="AJ491" s="1" t="s">
        <v>9500</v>
      </c>
      <c r="AK491" s="1" t="s">
        <v>9501</v>
      </c>
      <c r="AL491" s="1" t="s">
        <v>9502</v>
      </c>
      <c r="AN491" s="1">
        <v>27</v>
      </c>
      <c r="AO491" s="1">
        <v>0</v>
      </c>
      <c r="AP491" s="1">
        <v>0</v>
      </c>
      <c r="AQ491" s="1">
        <v>2</v>
      </c>
      <c r="AR491" s="1">
        <v>2</v>
      </c>
      <c r="AS491" s="1" t="s">
        <v>479</v>
      </c>
      <c r="AT491" s="1" t="s">
        <v>480</v>
      </c>
      <c r="AU491" s="1" t="s">
        <v>481</v>
      </c>
      <c r="AV491" s="1" t="s">
        <v>9503</v>
      </c>
      <c r="AW491" s="1" t="s">
        <v>9504</v>
      </c>
      <c r="AX491" s="1" t="s">
        <v>82</v>
      </c>
      <c r="AY491" s="1" t="s">
        <v>9492</v>
      </c>
      <c r="AZ491" s="1" t="s">
        <v>9505</v>
      </c>
      <c r="BA491" s="1" t="s">
        <v>2145</v>
      </c>
      <c r="BB491" s="1">
        <v>2023</v>
      </c>
      <c r="BC491" s="1">
        <v>165</v>
      </c>
      <c r="BD491" s="1" t="s">
        <v>82</v>
      </c>
      <c r="BE491" s="1" t="s">
        <v>82</v>
      </c>
      <c r="BF491" s="1" t="s">
        <v>82</v>
      </c>
      <c r="BG491" s="1" t="s">
        <v>82</v>
      </c>
      <c r="BH491" s="1" t="s">
        <v>82</v>
      </c>
      <c r="BI491" s="1" t="s">
        <v>82</v>
      </c>
      <c r="BJ491" s="1" t="s">
        <v>82</v>
      </c>
      <c r="BK491" s="1">
        <v>105420</v>
      </c>
      <c r="BL491" s="1" t="s">
        <v>9506</v>
      </c>
      <c r="BM491" s="1" t="s">
        <v>9507</v>
      </c>
      <c r="BN491" s="1" t="s">
        <v>82</v>
      </c>
      <c r="BO491" s="1" t="s">
        <v>1618</v>
      </c>
      <c r="BP491" s="1">
        <v>7</v>
      </c>
      <c r="BQ491" s="1" t="s">
        <v>4165</v>
      </c>
      <c r="BR491" s="1" t="s">
        <v>104</v>
      </c>
      <c r="BS491" s="1" t="s">
        <v>982</v>
      </c>
      <c r="BT491" s="1" t="s">
        <v>9508</v>
      </c>
      <c r="BU491" s="1">
        <v>36586625</v>
      </c>
      <c r="BV491" s="1" t="s">
        <v>82</v>
      </c>
      <c r="BW491" s="1" t="s">
        <v>82</v>
      </c>
      <c r="BX491" s="1" t="s">
        <v>82</v>
      </c>
      <c r="BY491" s="1" t="s">
        <v>771</v>
      </c>
      <c r="BZ491" s="1" t="s">
        <v>9509</v>
      </c>
      <c r="CA491" s="1" t="s">
        <v>342</v>
      </c>
    </row>
    <row r="492" s="1" customFormat="1" ht="14.4" spans="1:79">
      <c r="A492">
        <v>491</v>
      </c>
      <c r="B492" s="2" t="s">
        <v>110</v>
      </c>
      <c r="C492" s="1" t="s">
        <v>80</v>
      </c>
      <c r="D492" s="1" t="s">
        <v>9510</v>
      </c>
      <c r="E492" s="1" t="s">
        <v>82</v>
      </c>
      <c r="F492" s="1" t="s">
        <v>82</v>
      </c>
      <c r="G492" s="1" t="s">
        <v>82</v>
      </c>
      <c r="H492" s="1" t="s">
        <v>9511</v>
      </c>
      <c r="I492" s="1" t="s">
        <v>82</v>
      </c>
      <c r="J492" s="1" t="s">
        <v>82</v>
      </c>
      <c r="K492" s="1" t="s">
        <v>9512</v>
      </c>
      <c r="L492" s="1" t="s">
        <v>9492</v>
      </c>
      <c r="M492" s="1">
        <v>3.204</v>
      </c>
      <c r="O492" s="1" t="s">
        <v>82</v>
      </c>
      <c r="Q492" s="1" t="s">
        <v>87</v>
      </c>
      <c r="R492" s="1" t="s">
        <v>115</v>
      </c>
      <c r="S492" s="1" t="s">
        <v>82</v>
      </c>
      <c r="T492" s="1" t="s">
        <v>82</v>
      </c>
      <c r="U492" s="1" t="s">
        <v>82</v>
      </c>
      <c r="V492" s="1" t="s">
        <v>82</v>
      </c>
      <c r="W492" s="1" t="s">
        <v>82</v>
      </c>
      <c r="X492" s="1" t="s">
        <v>9513</v>
      </c>
      <c r="Y492" s="1" t="s">
        <v>9514</v>
      </c>
      <c r="Z492" s="1" t="s">
        <v>9515</v>
      </c>
      <c r="AA492" s="1">
        <v>1</v>
      </c>
      <c r="AB492" s="3" t="s">
        <v>9516</v>
      </c>
      <c r="AC492" s="3" t="s">
        <v>9517</v>
      </c>
      <c r="AD492" s="1" t="s">
        <v>93</v>
      </c>
      <c r="AE492" s="1" t="s">
        <v>3467</v>
      </c>
      <c r="AF492" s="1" t="s">
        <v>9518</v>
      </c>
      <c r="AG492" s="1" t="s">
        <v>5379</v>
      </c>
      <c r="AH492" s="1" t="s">
        <v>82</v>
      </c>
      <c r="AI492" s="1" t="s">
        <v>82</v>
      </c>
      <c r="AJ492" s="1" t="s">
        <v>9519</v>
      </c>
      <c r="AK492" s="1" t="s">
        <v>9520</v>
      </c>
      <c r="AL492" s="1" t="s">
        <v>9521</v>
      </c>
      <c r="AM492" s="1" t="s">
        <v>82</v>
      </c>
      <c r="AN492" s="1">
        <v>39</v>
      </c>
      <c r="AO492" s="1">
        <v>0</v>
      </c>
      <c r="AP492" s="1">
        <v>0</v>
      </c>
      <c r="AQ492" s="1">
        <v>4</v>
      </c>
      <c r="AR492" s="1">
        <v>4</v>
      </c>
      <c r="AS492" s="1" t="s">
        <v>479</v>
      </c>
      <c r="AT492" s="1" t="s">
        <v>480</v>
      </c>
      <c r="AU492" s="1" t="s">
        <v>481</v>
      </c>
      <c r="AV492" s="1" t="s">
        <v>9503</v>
      </c>
      <c r="AW492" s="1" t="s">
        <v>9504</v>
      </c>
      <c r="AX492" s="1" t="s">
        <v>82</v>
      </c>
      <c r="AY492" s="1" t="s">
        <v>9492</v>
      </c>
      <c r="AZ492" s="1" t="s">
        <v>9505</v>
      </c>
      <c r="BA492" s="1" t="s">
        <v>2145</v>
      </c>
      <c r="BB492" s="1">
        <v>2023</v>
      </c>
      <c r="BC492" s="1">
        <v>165</v>
      </c>
      <c r="BD492" s="1" t="s">
        <v>82</v>
      </c>
      <c r="BE492" s="1" t="s">
        <v>82</v>
      </c>
      <c r="BF492" s="1" t="s">
        <v>82</v>
      </c>
      <c r="BG492" s="1" t="s">
        <v>82</v>
      </c>
      <c r="BH492" s="1" t="s">
        <v>82</v>
      </c>
      <c r="BI492" s="1" t="s">
        <v>82</v>
      </c>
      <c r="BJ492" s="1" t="s">
        <v>82</v>
      </c>
      <c r="BK492" s="1">
        <v>105399</v>
      </c>
      <c r="BL492" s="1" t="s">
        <v>9522</v>
      </c>
      <c r="BM492" s="1" t="s">
        <v>9523</v>
      </c>
      <c r="BN492" s="1" t="s">
        <v>82</v>
      </c>
      <c r="BO492" s="1" t="s">
        <v>1618</v>
      </c>
      <c r="BP492" s="1">
        <v>11</v>
      </c>
      <c r="BQ492" s="1" t="s">
        <v>4165</v>
      </c>
      <c r="BR492" s="1" t="s">
        <v>104</v>
      </c>
      <c r="BS492" s="1" t="s">
        <v>982</v>
      </c>
      <c r="BT492" s="1" t="s">
        <v>9524</v>
      </c>
      <c r="BU492" s="1">
        <v>36572116</v>
      </c>
      <c r="BV492" s="1" t="s">
        <v>82</v>
      </c>
      <c r="BW492" s="1" t="s">
        <v>82</v>
      </c>
      <c r="BX492" s="1" t="s">
        <v>82</v>
      </c>
      <c r="BY492" s="1" t="s">
        <v>771</v>
      </c>
      <c r="BZ492" s="1" t="s">
        <v>9525</v>
      </c>
      <c r="CA492" s="1" t="s">
        <v>342</v>
      </c>
    </row>
    <row r="493" s="1" customFormat="1" ht="14.4" spans="1:79">
      <c r="A493">
        <v>492</v>
      </c>
      <c r="B493" s="2" t="s">
        <v>110</v>
      </c>
      <c r="C493" s="1" t="s">
        <v>80</v>
      </c>
      <c r="D493" s="1" t="s">
        <v>9526</v>
      </c>
      <c r="E493" s="1" t="s">
        <v>82</v>
      </c>
      <c r="F493" s="1" t="s">
        <v>82</v>
      </c>
      <c r="G493" s="1" t="s">
        <v>82</v>
      </c>
      <c r="H493" s="1" t="s">
        <v>9527</v>
      </c>
      <c r="I493" s="1" t="s">
        <v>82</v>
      </c>
      <c r="J493" s="1" t="s">
        <v>82</v>
      </c>
      <c r="K493" s="1" t="s">
        <v>9528</v>
      </c>
      <c r="L493" s="1" t="s">
        <v>9492</v>
      </c>
      <c r="M493" s="1">
        <v>3.204</v>
      </c>
      <c r="O493" s="1" t="s">
        <v>82</v>
      </c>
      <c r="Q493" s="1" t="s">
        <v>87</v>
      </c>
      <c r="R493" s="1" t="s">
        <v>115</v>
      </c>
      <c r="S493" s="1" t="s">
        <v>82</v>
      </c>
      <c r="T493" s="1" t="s">
        <v>82</v>
      </c>
      <c r="U493" s="1" t="s">
        <v>82</v>
      </c>
      <c r="V493" s="1" t="s">
        <v>82</v>
      </c>
      <c r="W493" s="1" t="s">
        <v>82</v>
      </c>
      <c r="X493" s="1" t="s">
        <v>9529</v>
      </c>
      <c r="Y493" s="1" t="s">
        <v>9530</v>
      </c>
      <c r="Z493" s="1" t="s">
        <v>9531</v>
      </c>
      <c r="AB493" s="3" t="s">
        <v>5700</v>
      </c>
      <c r="AC493" s="3" t="s">
        <v>9532</v>
      </c>
      <c r="AD493" s="1" t="s">
        <v>206</v>
      </c>
      <c r="AE493" s="1" t="s">
        <v>9533</v>
      </c>
      <c r="AF493" s="1" t="s">
        <v>9534</v>
      </c>
      <c r="AG493" s="1" t="s">
        <v>5704</v>
      </c>
      <c r="AH493" s="1" t="s">
        <v>82</v>
      </c>
      <c r="AI493" s="1" t="s">
        <v>82</v>
      </c>
      <c r="AJ493" s="1" t="s">
        <v>9535</v>
      </c>
      <c r="AK493" s="1" t="s">
        <v>9536</v>
      </c>
      <c r="AL493" s="1" t="s">
        <v>9537</v>
      </c>
      <c r="AM493" s="1" t="s">
        <v>82</v>
      </c>
      <c r="AN493" s="1">
        <v>20</v>
      </c>
      <c r="AO493" s="1">
        <v>0</v>
      </c>
      <c r="AP493" s="1">
        <v>0</v>
      </c>
      <c r="AQ493" s="1">
        <v>3</v>
      </c>
      <c r="AR493" s="1">
        <v>3</v>
      </c>
      <c r="AS493" s="1" t="s">
        <v>479</v>
      </c>
      <c r="AT493" s="1" t="s">
        <v>480</v>
      </c>
      <c r="AU493" s="1" t="s">
        <v>481</v>
      </c>
      <c r="AV493" s="1" t="s">
        <v>9503</v>
      </c>
      <c r="AW493" s="1" t="s">
        <v>9504</v>
      </c>
      <c r="AX493" s="1" t="s">
        <v>82</v>
      </c>
      <c r="AY493" s="1" t="s">
        <v>9492</v>
      </c>
      <c r="AZ493" s="1" t="s">
        <v>9505</v>
      </c>
      <c r="BA493" s="1" t="s">
        <v>2145</v>
      </c>
      <c r="BB493" s="1">
        <v>2023</v>
      </c>
      <c r="BC493" s="1">
        <v>165</v>
      </c>
      <c r="BD493" s="1" t="s">
        <v>82</v>
      </c>
      <c r="BE493" s="1" t="s">
        <v>82</v>
      </c>
      <c r="BF493" s="1" t="s">
        <v>82</v>
      </c>
      <c r="BG493" s="1" t="s">
        <v>82</v>
      </c>
      <c r="BH493" s="1" t="s">
        <v>82</v>
      </c>
      <c r="BI493" s="1" t="s">
        <v>82</v>
      </c>
      <c r="BJ493" s="1" t="s">
        <v>82</v>
      </c>
      <c r="BK493" s="1">
        <v>105402</v>
      </c>
      <c r="BL493" s="1" t="s">
        <v>9538</v>
      </c>
      <c r="BM493" s="1" t="s">
        <v>9539</v>
      </c>
      <c r="BN493" s="1" t="s">
        <v>82</v>
      </c>
      <c r="BO493" s="1" t="s">
        <v>1618</v>
      </c>
      <c r="BP493" s="1">
        <v>7</v>
      </c>
      <c r="BQ493" s="1" t="s">
        <v>4165</v>
      </c>
      <c r="BR493" s="1" t="s">
        <v>104</v>
      </c>
      <c r="BS493" s="1" t="s">
        <v>982</v>
      </c>
      <c r="BT493" s="1" t="s">
        <v>9540</v>
      </c>
      <c r="BU493" s="1">
        <v>36577456</v>
      </c>
      <c r="BV493" s="1" t="s">
        <v>82</v>
      </c>
      <c r="BW493" s="1" t="s">
        <v>82</v>
      </c>
      <c r="BX493" s="1" t="s">
        <v>82</v>
      </c>
      <c r="BY493" s="1" t="s">
        <v>771</v>
      </c>
      <c r="BZ493" s="1" t="s">
        <v>9541</v>
      </c>
      <c r="CA493" s="1" t="s">
        <v>342</v>
      </c>
    </row>
    <row r="494" s="1" customFormat="1" ht="14.4" spans="1:79">
      <c r="A494">
        <v>493</v>
      </c>
      <c r="B494" s="2" t="s">
        <v>79</v>
      </c>
      <c r="C494" s="1" t="s">
        <v>80</v>
      </c>
      <c r="D494" s="1" t="s">
        <v>9542</v>
      </c>
      <c r="E494" s="1" t="s">
        <v>82</v>
      </c>
      <c r="F494" s="1" t="s">
        <v>82</v>
      </c>
      <c r="G494" s="1" t="s">
        <v>82</v>
      </c>
      <c r="H494" s="1" t="s">
        <v>9543</v>
      </c>
      <c r="I494" s="1" t="s">
        <v>82</v>
      </c>
      <c r="J494" s="1" t="s">
        <v>82</v>
      </c>
      <c r="K494" s="1" t="s">
        <v>9544</v>
      </c>
      <c r="L494" s="1" t="s">
        <v>9492</v>
      </c>
      <c r="M494" s="1">
        <v>3.204</v>
      </c>
      <c r="O494" s="1" t="s">
        <v>82</v>
      </c>
      <c r="P494" s="1" t="s">
        <v>82</v>
      </c>
      <c r="Q494" s="1" t="s">
        <v>87</v>
      </c>
      <c r="R494" s="1" t="s">
        <v>115</v>
      </c>
      <c r="S494" s="1" t="s">
        <v>82</v>
      </c>
      <c r="T494" s="1" t="s">
        <v>82</v>
      </c>
      <c r="U494" s="1" t="s">
        <v>82</v>
      </c>
      <c r="V494" s="1" t="s">
        <v>82</v>
      </c>
      <c r="W494" s="1" t="s">
        <v>82</v>
      </c>
      <c r="X494" s="1" t="s">
        <v>9545</v>
      </c>
      <c r="Y494" s="1" t="s">
        <v>9546</v>
      </c>
      <c r="Z494" s="1" t="s">
        <v>9547</v>
      </c>
      <c r="AA494" s="1">
        <v>1</v>
      </c>
      <c r="AB494" s="1" t="s">
        <v>9548</v>
      </c>
      <c r="AC494" s="1" t="s">
        <v>9549</v>
      </c>
      <c r="AD494" s="1" t="s">
        <v>93</v>
      </c>
      <c r="AE494" s="1" t="s">
        <v>9550</v>
      </c>
      <c r="AF494" s="1" t="s">
        <v>9551</v>
      </c>
      <c r="AG494" s="1" t="s">
        <v>5877</v>
      </c>
      <c r="AH494" s="1" t="s">
        <v>82</v>
      </c>
      <c r="AI494" s="1" t="s">
        <v>82</v>
      </c>
      <c r="AJ494" s="1" t="s">
        <v>9552</v>
      </c>
      <c r="AK494" s="1" t="s">
        <v>9553</v>
      </c>
      <c r="AL494" s="1" t="s">
        <v>9554</v>
      </c>
      <c r="AM494" s="1" t="s">
        <v>82</v>
      </c>
      <c r="AN494" s="1">
        <v>37</v>
      </c>
      <c r="AO494" s="1">
        <v>0</v>
      </c>
      <c r="AP494" s="1">
        <v>0</v>
      </c>
      <c r="AQ494" s="1">
        <v>5</v>
      </c>
      <c r="AR494" s="1">
        <v>5</v>
      </c>
      <c r="AS494" s="1" t="s">
        <v>479</v>
      </c>
      <c r="AT494" s="1" t="s">
        <v>480</v>
      </c>
      <c r="AU494" s="1" t="s">
        <v>481</v>
      </c>
      <c r="AV494" s="1" t="s">
        <v>9503</v>
      </c>
      <c r="AW494" s="1" t="s">
        <v>9504</v>
      </c>
      <c r="AX494" s="1" t="s">
        <v>82</v>
      </c>
      <c r="AY494" s="1" t="s">
        <v>9492</v>
      </c>
      <c r="AZ494" s="1" t="s">
        <v>9505</v>
      </c>
      <c r="BA494" s="1" t="s">
        <v>486</v>
      </c>
      <c r="BB494" s="1">
        <v>2022</v>
      </c>
      <c r="BC494" s="1">
        <v>163</v>
      </c>
      <c r="BD494" s="1" t="s">
        <v>82</v>
      </c>
      <c r="BE494" s="1" t="s">
        <v>82</v>
      </c>
      <c r="BF494" s="1" t="s">
        <v>82</v>
      </c>
      <c r="BG494" s="1" t="s">
        <v>82</v>
      </c>
      <c r="BH494" s="1" t="s">
        <v>82</v>
      </c>
      <c r="BI494" s="1" t="s">
        <v>82</v>
      </c>
      <c r="BJ494" s="1" t="s">
        <v>82</v>
      </c>
      <c r="BK494" s="1">
        <v>105336</v>
      </c>
      <c r="BL494" s="1" t="s">
        <v>9555</v>
      </c>
      <c r="BM494" s="1" t="str">
        <f>HYPERLINK("http://dx.doi.org/10.1016/j.fitote.2022.105336","http://dx.doi.org/10.1016/j.fitote.2022.105336")</f>
        <v>http://dx.doi.org/10.1016/j.fitote.2022.105336</v>
      </c>
      <c r="BN494" s="1" t="s">
        <v>82</v>
      </c>
      <c r="BO494" s="1" t="s">
        <v>82</v>
      </c>
      <c r="BP494" s="1">
        <v>7</v>
      </c>
      <c r="BQ494" s="1" t="s">
        <v>4165</v>
      </c>
      <c r="BR494" s="1" t="s">
        <v>104</v>
      </c>
      <c r="BS494" s="1" t="s">
        <v>982</v>
      </c>
      <c r="BT494" s="1" t="s">
        <v>9556</v>
      </c>
      <c r="BU494" s="1">
        <v>36257378</v>
      </c>
      <c r="BV494" s="1" t="s">
        <v>82</v>
      </c>
      <c r="BW494" s="1" t="s">
        <v>82</v>
      </c>
      <c r="BX494" s="1" t="s">
        <v>82</v>
      </c>
      <c r="BY494" s="1" t="s">
        <v>108</v>
      </c>
      <c r="BZ494" s="1" t="s">
        <v>9557</v>
      </c>
      <c r="CA494" s="1" t="str">
        <f>HYPERLINK("https%3A%2F%2Fwww.webofscience.com%2Fwos%2Fwoscc%2Ffull-record%2FWOS:000877914900004","View Full Record in Web of Science")</f>
        <v>View Full Record in Web of Science</v>
      </c>
    </row>
    <row r="495" s="1" customFormat="1" ht="14.4" spans="1:79">
      <c r="A495">
        <v>494</v>
      </c>
      <c r="B495" s="2" t="s">
        <v>110</v>
      </c>
      <c r="C495" s="1" t="s">
        <v>80</v>
      </c>
      <c r="D495" s="1" t="s">
        <v>9558</v>
      </c>
      <c r="E495" s="1" t="s">
        <v>82</v>
      </c>
      <c r="F495" s="1" t="s">
        <v>82</v>
      </c>
      <c r="G495" s="1" t="s">
        <v>82</v>
      </c>
      <c r="H495" s="1" t="s">
        <v>9559</v>
      </c>
      <c r="I495" s="1" t="s">
        <v>82</v>
      </c>
      <c r="J495" s="1" t="s">
        <v>82</v>
      </c>
      <c r="K495" s="1" t="s">
        <v>9560</v>
      </c>
      <c r="L495" s="1" t="s">
        <v>9492</v>
      </c>
      <c r="M495" s="1">
        <v>3.204</v>
      </c>
      <c r="O495" s="1" t="s">
        <v>82</v>
      </c>
      <c r="P495" s="1" t="s">
        <v>82</v>
      </c>
      <c r="Q495" s="1" t="s">
        <v>87</v>
      </c>
      <c r="R495" s="1" t="s">
        <v>115</v>
      </c>
      <c r="S495" s="1" t="s">
        <v>82</v>
      </c>
      <c r="T495" s="1" t="s">
        <v>82</v>
      </c>
      <c r="U495" s="1" t="s">
        <v>82</v>
      </c>
      <c r="V495" s="1" t="s">
        <v>82</v>
      </c>
      <c r="W495" s="1" t="s">
        <v>82</v>
      </c>
      <c r="X495" s="1" t="s">
        <v>9561</v>
      </c>
      <c r="Y495" s="1" t="s">
        <v>9562</v>
      </c>
      <c r="Z495" s="1" t="s">
        <v>9563</v>
      </c>
      <c r="AB495" s="1" t="s">
        <v>9564</v>
      </c>
      <c r="AC495" s="1" t="s">
        <v>9565</v>
      </c>
      <c r="AD495" s="1" t="s">
        <v>120</v>
      </c>
      <c r="AE495" s="1" t="s">
        <v>3632</v>
      </c>
      <c r="AF495" s="1" t="s">
        <v>9566</v>
      </c>
      <c r="AG495" s="1" t="s">
        <v>2279</v>
      </c>
      <c r="AH495" s="1" t="s">
        <v>82</v>
      </c>
      <c r="AI495" s="1" t="s">
        <v>82</v>
      </c>
      <c r="AJ495" s="1" t="s">
        <v>9567</v>
      </c>
      <c r="AK495" s="1" t="s">
        <v>9568</v>
      </c>
      <c r="AL495" s="1" t="s">
        <v>9569</v>
      </c>
      <c r="AM495" s="1" t="s">
        <v>82</v>
      </c>
      <c r="AN495" s="1">
        <v>49</v>
      </c>
      <c r="AO495" s="1">
        <v>0</v>
      </c>
      <c r="AP495" s="1">
        <v>0</v>
      </c>
      <c r="AQ495" s="1">
        <v>11</v>
      </c>
      <c r="AR495" s="1">
        <v>11</v>
      </c>
      <c r="AS495" s="1" t="s">
        <v>479</v>
      </c>
      <c r="AT495" s="1" t="s">
        <v>480</v>
      </c>
      <c r="AU495" s="1" t="s">
        <v>481</v>
      </c>
      <c r="AV495" s="1" t="s">
        <v>9503</v>
      </c>
      <c r="AW495" s="1" t="s">
        <v>9504</v>
      </c>
      <c r="AX495" s="1" t="s">
        <v>82</v>
      </c>
      <c r="AY495" s="1" t="s">
        <v>9492</v>
      </c>
      <c r="AZ495" s="1" t="s">
        <v>9505</v>
      </c>
      <c r="BA495" s="1" t="s">
        <v>1340</v>
      </c>
      <c r="BB495" s="1">
        <v>2022</v>
      </c>
      <c r="BC495" s="1">
        <v>162</v>
      </c>
      <c r="BD495" s="1" t="s">
        <v>82</v>
      </c>
      <c r="BE495" s="1" t="s">
        <v>82</v>
      </c>
      <c r="BF495" s="1" t="s">
        <v>82</v>
      </c>
      <c r="BG495" s="1" t="s">
        <v>82</v>
      </c>
      <c r="BH495" s="1" t="s">
        <v>82</v>
      </c>
      <c r="BI495" s="1" t="s">
        <v>82</v>
      </c>
      <c r="BJ495" s="1" t="s">
        <v>82</v>
      </c>
      <c r="BK495" s="1">
        <v>105283</v>
      </c>
      <c r="BL495" s="1" t="s">
        <v>9570</v>
      </c>
      <c r="BM495" s="1" t="str">
        <f>HYPERLINK("http://dx.doi.org/10.1016/j.fitote.2022.105283","http://dx.doi.org/10.1016/j.fitote.2022.105283")</f>
        <v>http://dx.doi.org/10.1016/j.fitote.2022.105283</v>
      </c>
      <c r="BN495" s="1" t="s">
        <v>82</v>
      </c>
      <c r="BO495" s="1" t="s">
        <v>224</v>
      </c>
      <c r="BP495" s="1">
        <v>9</v>
      </c>
      <c r="BQ495" s="1" t="s">
        <v>4165</v>
      </c>
      <c r="BR495" s="1" t="s">
        <v>104</v>
      </c>
      <c r="BS495" s="1" t="s">
        <v>982</v>
      </c>
      <c r="BT495" s="1" t="s">
        <v>9571</v>
      </c>
      <c r="BU495" s="1">
        <v>36007807</v>
      </c>
      <c r="BV495" s="1" t="s">
        <v>82</v>
      </c>
      <c r="BW495" s="1" t="s">
        <v>82</v>
      </c>
      <c r="BX495" s="1" t="s">
        <v>82</v>
      </c>
      <c r="BY495" s="1" t="s">
        <v>108</v>
      </c>
      <c r="BZ495" s="1" t="s">
        <v>9572</v>
      </c>
      <c r="CA495" s="1" t="str">
        <f>HYPERLINK("https%3A%2F%2Fwww.webofscience.com%2Fwos%2Fwoscc%2Ffull-record%2FWOS:000859419600005","View Full Record in Web of Science")</f>
        <v>View Full Record in Web of Science</v>
      </c>
    </row>
    <row r="496" s="1" customFormat="1" ht="14.4" spans="1:79">
      <c r="A496">
        <v>495</v>
      </c>
      <c r="B496" s="2" t="s">
        <v>110</v>
      </c>
      <c r="C496" s="1" t="s">
        <v>80</v>
      </c>
      <c r="D496" s="1" t="s">
        <v>9573</v>
      </c>
      <c r="E496" s="1" t="s">
        <v>82</v>
      </c>
      <c r="F496" s="1" t="s">
        <v>82</v>
      </c>
      <c r="G496" s="1" t="s">
        <v>82</v>
      </c>
      <c r="H496" s="1" t="s">
        <v>9574</v>
      </c>
      <c r="I496" s="1" t="s">
        <v>82</v>
      </c>
      <c r="J496" s="1" t="s">
        <v>82</v>
      </c>
      <c r="K496" s="1" t="s">
        <v>9575</v>
      </c>
      <c r="L496" s="1" t="s">
        <v>9492</v>
      </c>
      <c r="M496" s="1">
        <v>3.204</v>
      </c>
      <c r="O496" s="1" t="s">
        <v>82</v>
      </c>
      <c r="P496" s="1" t="s">
        <v>82</v>
      </c>
      <c r="Q496" s="1" t="s">
        <v>87</v>
      </c>
      <c r="R496" s="1" t="s">
        <v>115</v>
      </c>
      <c r="S496" s="1" t="s">
        <v>82</v>
      </c>
      <c r="T496" s="1" t="s">
        <v>82</v>
      </c>
      <c r="U496" s="1" t="s">
        <v>82</v>
      </c>
      <c r="V496" s="1" t="s">
        <v>82</v>
      </c>
      <c r="W496" s="1" t="s">
        <v>82</v>
      </c>
      <c r="X496" s="1" t="s">
        <v>9576</v>
      </c>
      <c r="Y496" s="1" t="s">
        <v>9577</v>
      </c>
      <c r="Z496" s="1" t="s">
        <v>9578</v>
      </c>
      <c r="AA496" s="1">
        <v>1</v>
      </c>
      <c r="AB496" s="1" t="s">
        <v>9579</v>
      </c>
      <c r="AC496" s="1" t="s">
        <v>9580</v>
      </c>
      <c r="AD496" s="1" t="s">
        <v>93</v>
      </c>
      <c r="AE496" s="1" t="s">
        <v>9581</v>
      </c>
      <c r="AF496" s="1" t="s">
        <v>9582</v>
      </c>
      <c r="AG496" s="1" t="s">
        <v>9583</v>
      </c>
      <c r="AH496" s="1" t="s">
        <v>82</v>
      </c>
      <c r="AI496" s="1" t="s">
        <v>2672</v>
      </c>
      <c r="AJ496" s="1" t="s">
        <v>9584</v>
      </c>
      <c r="AK496" s="1" t="s">
        <v>9585</v>
      </c>
      <c r="AL496" s="1" t="s">
        <v>9586</v>
      </c>
      <c r="AM496" s="1" t="s">
        <v>82</v>
      </c>
      <c r="AN496" s="1">
        <v>26</v>
      </c>
      <c r="AO496" s="1">
        <v>0</v>
      </c>
      <c r="AP496" s="1">
        <v>0</v>
      </c>
      <c r="AQ496" s="1">
        <v>2</v>
      </c>
      <c r="AR496" s="1">
        <v>2</v>
      </c>
      <c r="AS496" s="1" t="s">
        <v>479</v>
      </c>
      <c r="AT496" s="1" t="s">
        <v>480</v>
      </c>
      <c r="AU496" s="1" t="s">
        <v>4001</v>
      </c>
      <c r="AV496" s="1" t="s">
        <v>9503</v>
      </c>
      <c r="AW496" s="1" t="s">
        <v>9504</v>
      </c>
      <c r="AX496" s="1" t="s">
        <v>82</v>
      </c>
      <c r="AY496" s="1" t="s">
        <v>9492</v>
      </c>
      <c r="AZ496" s="1" t="s">
        <v>9505</v>
      </c>
      <c r="BA496" s="1" t="s">
        <v>2145</v>
      </c>
      <c r="BB496" s="1">
        <v>2022</v>
      </c>
      <c r="BC496" s="1">
        <v>157</v>
      </c>
      <c r="BD496" s="1" t="s">
        <v>82</v>
      </c>
      <c r="BE496" s="1" t="s">
        <v>82</v>
      </c>
      <c r="BF496" s="1" t="s">
        <v>82</v>
      </c>
      <c r="BG496" s="1" t="s">
        <v>82</v>
      </c>
      <c r="BH496" s="1" t="s">
        <v>82</v>
      </c>
      <c r="BI496" s="1" t="s">
        <v>82</v>
      </c>
      <c r="BJ496" s="1" t="s">
        <v>82</v>
      </c>
      <c r="BK496" s="1">
        <v>105120</v>
      </c>
      <c r="BL496" s="1" t="s">
        <v>9587</v>
      </c>
      <c r="BM496" s="1" t="str">
        <f>HYPERLINK("http://dx.doi.org/10.1016/j.fitote.2021.105120","http://dx.doi.org/10.1016/j.fitote.2021.105120")</f>
        <v>http://dx.doi.org/10.1016/j.fitote.2021.105120</v>
      </c>
      <c r="BN496" s="1" t="s">
        <v>82</v>
      </c>
      <c r="BO496" s="1" t="s">
        <v>82</v>
      </c>
      <c r="BP496" s="1">
        <v>6</v>
      </c>
      <c r="BQ496" s="1" t="s">
        <v>4165</v>
      </c>
      <c r="BR496" s="1" t="s">
        <v>104</v>
      </c>
      <c r="BS496" s="1" t="s">
        <v>982</v>
      </c>
      <c r="BT496" s="1" t="s">
        <v>9588</v>
      </c>
      <c r="BU496" s="1">
        <v>34974139</v>
      </c>
      <c r="BV496" s="1" t="s">
        <v>82</v>
      </c>
      <c r="BW496" s="1" t="s">
        <v>82</v>
      </c>
      <c r="BX496" s="1" t="s">
        <v>82</v>
      </c>
      <c r="BY496" s="1" t="s">
        <v>108</v>
      </c>
      <c r="BZ496" s="1" t="s">
        <v>9589</v>
      </c>
      <c r="CA496" s="1" t="str">
        <f>HYPERLINK("https%3A%2F%2Fwww.webofscience.com%2Fwos%2Fwoscc%2Ffull-record%2FWOS:000761409500010","View Full Record in Web of Science")</f>
        <v>View Full Record in Web of Science</v>
      </c>
    </row>
    <row r="497" s="1" customFormat="1" ht="14.4" spans="1:79">
      <c r="A497">
        <v>496</v>
      </c>
      <c r="B497" s="2" t="s">
        <v>110</v>
      </c>
      <c r="C497" s="1" t="s">
        <v>80</v>
      </c>
      <c r="D497" s="1" t="s">
        <v>9590</v>
      </c>
      <c r="E497" s="1" t="s">
        <v>82</v>
      </c>
      <c r="F497" s="1" t="s">
        <v>82</v>
      </c>
      <c r="G497" s="1" t="s">
        <v>82</v>
      </c>
      <c r="H497" s="1" t="s">
        <v>9591</v>
      </c>
      <c r="I497" s="1" t="s">
        <v>82</v>
      </c>
      <c r="J497" s="1" t="s">
        <v>82</v>
      </c>
      <c r="K497" s="1" t="s">
        <v>9592</v>
      </c>
      <c r="L497" s="1" t="s">
        <v>9492</v>
      </c>
      <c r="M497" s="1">
        <v>3.204</v>
      </c>
      <c r="O497" s="1" t="s">
        <v>82</v>
      </c>
      <c r="P497" s="1" t="s">
        <v>82</v>
      </c>
      <c r="Q497" s="1" t="s">
        <v>87</v>
      </c>
      <c r="R497" s="1" t="s">
        <v>115</v>
      </c>
      <c r="S497" s="1" t="s">
        <v>82</v>
      </c>
      <c r="T497" s="1" t="s">
        <v>82</v>
      </c>
      <c r="U497" s="1" t="s">
        <v>82</v>
      </c>
      <c r="V497" s="1" t="s">
        <v>82</v>
      </c>
      <c r="W497" s="1" t="s">
        <v>82</v>
      </c>
      <c r="X497" s="1" t="s">
        <v>9593</v>
      </c>
      <c r="Y497" s="1" t="s">
        <v>9594</v>
      </c>
      <c r="Z497" s="1" t="s">
        <v>9595</v>
      </c>
      <c r="AA497" s="1">
        <v>1</v>
      </c>
      <c r="AB497" s="1" t="s">
        <v>7756</v>
      </c>
      <c r="AC497" s="1" t="s">
        <v>9596</v>
      </c>
      <c r="AD497" s="1" t="s">
        <v>93</v>
      </c>
      <c r="AE497" s="1" t="s">
        <v>1818</v>
      </c>
      <c r="AF497" s="1" t="s">
        <v>9597</v>
      </c>
      <c r="AG497" s="1" t="s">
        <v>7760</v>
      </c>
      <c r="AH497" s="1" t="s">
        <v>82</v>
      </c>
      <c r="AI497" s="1" t="s">
        <v>82</v>
      </c>
      <c r="AJ497" s="1" t="s">
        <v>9598</v>
      </c>
      <c r="AK497" s="1" t="s">
        <v>9599</v>
      </c>
      <c r="AL497" s="1" t="s">
        <v>9600</v>
      </c>
      <c r="AM497" s="1" t="s">
        <v>82</v>
      </c>
      <c r="AN497" s="1">
        <v>26</v>
      </c>
      <c r="AO497" s="1">
        <v>2</v>
      </c>
      <c r="AP497" s="1">
        <v>2</v>
      </c>
      <c r="AQ497" s="1">
        <v>3</v>
      </c>
      <c r="AR497" s="1">
        <v>13</v>
      </c>
      <c r="AS497" s="1" t="s">
        <v>479</v>
      </c>
      <c r="AT497" s="1" t="s">
        <v>480</v>
      </c>
      <c r="AU497" s="1" t="s">
        <v>481</v>
      </c>
      <c r="AV497" s="1" t="s">
        <v>9503</v>
      </c>
      <c r="AW497" s="1" t="s">
        <v>9504</v>
      </c>
      <c r="AX497" s="1" t="s">
        <v>82</v>
      </c>
      <c r="AY497" s="1" t="s">
        <v>9492</v>
      </c>
      <c r="AZ497" s="1" t="s">
        <v>9505</v>
      </c>
      <c r="BA497" s="1" t="s">
        <v>657</v>
      </c>
      <c r="BB497" s="1">
        <v>2022</v>
      </c>
      <c r="BC497" s="1">
        <v>158</v>
      </c>
      <c r="BD497" s="1" t="s">
        <v>82</v>
      </c>
      <c r="BE497" s="1" t="s">
        <v>82</v>
      </c>
      <c r="BF497" s="1" t="s">
        <v>82</v>
      </c>
      <c r="BG497" s="1" t="s">
        <v>82</v>
      </c>
      <c r="BH497" s="1" t="s">
        <v>82</v>
      </c>
      <c r="BI497" s="1" t="s">
        <v>82</v>
      </c>
      <c r="BJ497" s="1" t="s">
        <v>82</v>
      </c>
      <c r="BK497" s="1">
        <v>105174</v>
      </c>
      <c r="BL497" s="1" t="s">
        <v>9601</v>
      </c>
      <c r="BM497" s="1" t="str">
        <f>HYPERLINK("http://dx.doi.org/10.1016/j.fitote.2022.105174","http://dx.doi.org/10.1016/j.fitote.2022.105174")</f>
        <v>http://dx.doi.org/10.1016/j.fitote.2022.105174</v>
      </c>
      <c r="BN497" s="1" t="s">
        <v>82</v>
      </c>
      <c r="BO497" s="1" t="s">
        <v>282</v>
      </c>
      <c r="BP497" s="1">
        <v>6</v>
      </c>
      <c r="BQ497" s="1" t="s">
        <v>4165</v>
      </c>
      <c r="BR497" s="1" t="s">
        <v>104</v>
      </c>
      <c r="BS497" s="1" t="s">
        <v>982</v>
      </c>
      <c r="BT497" s="1" t="s">
        <v>9602</v>
      </c>
      <c r="BU497" s="1">
        <v>35296434</v>
      </c>
      <c r="BV497" s="1" t="s">
        <v>82</v>
      </c>
      <c r="BW497" s="1" t="s">
        <v>82</v>
      </c>
      <c r="BX497" s="1" t="s">
        <v>82</v>
      </c>
      <c r="BY497" s="1" t="s">
        <v>108</v>
      </c>
      <c r="BZ497" s="1" t="s">
        <v>9603</v>
      </c>
      <c r="CA497" s="1" t="str">
        <f>HYPERLINK("https%3A%2F%2Fwww.webofscience.com%2Fwos%2Fwoscc%2Ffull-record%2FWOS:000794059000002","View Full Record in Web of Science")</f>
        <v>View Full Record in Web of Science</v>
      </c>
    </row>
    <row r="498" s="1" customFormat="1" ht="14.4" spans="1:79">
      <c r="A498">
        <v>497</v>
      </c>
      <c r="B498" s="2" t="s">
        <v>110</v>
      </c>
      <c r="C498" s="1" t="s">
        <v>80</v>
      </c>
      <c r="D498" s="1" t="s">
        <v>9604</v>
      </c>
      <c r="E498" s="1" t="s">
        <v>82</v>
      </c>
      <c r="F498" s="1" t="s">
        <v>82</v>
      </c>
      <c r="G498" s="1" t="s">
        <v>82</v>
      </c>
      <c r="H498" s="1" t="s">
        <v>9605</v>
      </c>
      <c r="I498" s="1" t="s">
        <v>82</v>
      </c>
      <c r="J498" s="1" t="s">
        <v>82</v>
      </c>
      <c r="K498" s="1" t="s">
        <v>9606</v>
      </c>
      <c r="L498" s="1" t="s">
        <v>9492</v>
      </c>
      <c r="M498" s="1">
        <v>3.204</v>
      </c>
      <c r="O498" s="1" t="s">
        <v>82</v>
      </c>
      <c r="P498" s="1" t="s">
        <v>82</v>
      </c>
      <c r="Q498" s="1" t="s">
        <v>87</v>
      </c>
      <c r="R498" s="1" t="s">
        <v>115</v>
      </c>
      <c r="S498" s="1" t="s">
        <v>82</v>
      </c>
      <c r="T498" s="1" t="s">
        <v>82</v>
      </c>
      <c r="U498" s="1" t="s">
        <v>82</v>
      </c>
      <c r="V498" s="1" t="s">
        <v>82</v>
      </c>
      <c r="W498" s="1" t="s">
        <v>82</v>
      </c>
      <c r="X498" s="1" t="s">
        <v>9607</v>
      </c>
      <c r="Y498" s="1" t="s">
        <v>9608</v>
      </c>
      <c r="Z498" s="1" t="s">
        <v>9609</v>
      </c>
      <c r="AB498" s="1" t="s">
        <v>9610</v>
      </c>
      <c r="AC498" s="1" t="s">
        <v>9611</v>
      </c>
      <c r="AD498" s="1" t="s">
        <v>120</v>
      </c>
      <c r="AE498" s="1" t="s">
        <v>9612</v>
      </c>
      <c r="AF498" s="1" t="s">
        <v>9613</v>
      </c>
      <c r="AG498" s="1" t="s">
        <v>9614</v>
      </c>
      <c r="AH498" s="1" t="s">
        <v>7974</v>
      </c>
      <c r="AI498" s="1" t="s">
        <v>9615</v>
      </c>
      <c r="AJ498" s="1" t="s">
        <v>9616</v>
      </c>
      <c r="AK498" s="1" t="s">
        <v>7538</v>
      </c>
      <c r="AL498" s="1" t="s">
        <v>9617</v>
      </c>
      <c r="AM498" s="1" t="s">
        <v>82</v>
      </c>
      <c r="AN498" s="1">
        <v>31</v>
      </c>
      <c r="AO498" s="1">
        <v>2</v>
      </c>
      <c r="AP498" s="1">
        <v>2</v>
      </c>
      <c r="AQ498" s="1">
        <v>9</v>
      </c>
      <c r="AR498" s="1">
        <v>23</v>
      </c>
      <c r="AS498" s="1" t="s">
        <v>479</v>
      </c>
      <c r="AT498" s="1" t="s">
        <v>480</v>
      </c>
      <c r="AU498" s="1" t="s">
        <v>481</v>
      </c>
      <c r="AV498" s="1" t="s">
        <v>9503</v>
      </c>
      <c r="AW498" s="1" t="s">
        <v>9504</v>
      </c>
      <c r="AX498" s="1" t="s">
        <v>82</v>
      </c>
      <c r="AY498" s="1" t="s">
        <v>9492</v>
      </c>
      <c r="AZ498" s="1" t="s">
        <v>9505</v>
      </c>
      <c r="BA498" s="1" t="s">
        <v>657</v>
      </c>
      <c r="BB498" s="1">
        <v>2022</v>
      </c>
      <c r="BC498" s="1">
        <v>158</v>
      </c>
      <c r="BD498" s="1" t="s">
        <v>82</v>
      </c>
      <c r="BE498" s="1" t="s">
        <v>82</v>
      </c>
      <c r="BF498" s="1" t="s">
        <v>82</v>
      </c>
      <c r="BG498" s="1" t="s">
        <v>82</v>
      </c>
      <c r="BH498" s="1" t="s">
        <v>82</v>
      </c>
      <c r="BI498" s="1" t="s">
        <v>82</v>
      </c>
      <c r="BJ498" s="1" t="s">
        <v>82</v>
      </c>
      <c r="BK498" s="1">
        <v>105140</v>
      </c>
      <c r="BL498" s="1" t="s">
        <v>9618</v>
      </c>
      <c r="BM498" s="1" t="str">
        <f>HYPERLINK("http://dx.doi.org/10.1016/j.fitote.2022.105140","http://dx.doi.org/10.1016/j.fitote.2022.105140")</f>
        <v>http://dx.doi.org/10.1016/j.fitote.2022.105140</v>
      </c>
      <c r="BN498" s="1" t="s">
        <v>82</v>
      </c>
      <c r="BO498" s="1" t="s">
        <v>82</v>
      </c>
      <c r="BP498" s="1">
        <v>9</v>
      </c>
      <c r="BQ498" s="1" t="s">
        <v>4165</v>
      </c>
      <c r="BR498" s="1" t="s">
        <v>104</v>
      </c>
      <c r="BS498" s="1" t="s">
        <v>982</v>
      </c>
      <c r="BT498" s="1" t="s">
        <v>9619</v>
      </c>
      <c r="BU498" s="1">
        <v>35122885</v>
      </c>
      <c r="BV498" s="1" t="s">
        <v>82</v>
      </c>
      <c r="BW498" s="1" t="s">
        <v>82</v>
      </c>
      <c r="BX498" s="1" t="s">
        <v>82</v>
      </c>
      <c r="BY498" s="1" t="s">
        <v>108</v>
      </c>
      <c r="BZ498" s="1" t="s">
        <v>9620</v>
      </c>
      <c r="CA498" s="1" t="str">
        <f>HYPERLINK("https%3A%2F%2Fwww.webofscience.com%2Fwos%2Fwoscc%2Ffull-record%2FWOS:000761407800002","View Full Record in Web of Science")</f>
        <v>View Full Record in Web of Science</v>
      </c>
    </row>
    <row r="499" s="1" customFormat="1" ht="14.4" spans="1:79">
      <c r="A499">
        <v>498</v>
      </c>
      <c r="B499" s="2" t="s">
        <v>110</v>
      </c>
      <c r="C499" s="1" t="s">
        <v>80</v>
      </c>
      <c r="D499" s="1" t="s">
        <v>9621</v>
      </c>
      <c r="E499" s="1" t="s">
        <v>82</v>
      </c>
      <c r="F499" s="1" t="s">
        <v>82</v>
      </c>
      <c r="G499" s="1" t="s">
        <v>82</v>
      </c>
      <c r="H499" s="1" t="s">
        <v>9622</v>
      </c>
      <c r="I499" s="1" t="s">
        <v>82</v>
      </c>
      <c r="J499" s="1" t="s">
        <v>82</v>
      </c>
      <c r="K499" s="1" t="s">
        <v>9623</v>
      </c>
      <c r="L499" s="1" t="s">
        <v>9492</v>
      </c>
      <c r="M499" s="1">
        <v>3.204</v>
      </c>
      <c r="O499" s="1" t="s">
        <v>82</v>
      </c>
      <c r="P499" s="1" t="s">
        <v>82</v>
      </c>
      <c r="Q499" s="1" t="s">
        <v>87</v>
      </c>
      <c r="R499" s="1" t="s">
        <v>115</v>
      </c>
      <c r="S499" s="1" t="s">
        <v>82</v>
      </c>
      <c r="T499" s="1" t="s">
        <v>82</v>
      </c>
      <c r="U499" s="1" t="s">
        <v>82</v>
      </c>
      <c r="V499" s="1" t="s">
        <v>82</v>
      </c>
      <c r="W499" s="1" t="s">
        <v>82</v>
      </c>
      <c r="X499" s="1" t="s">
        <v>9624</v>
      </c>
      <c r="Y499" s="1" t="s">
        <v>82</v>
      </c>
      <c r="Z499" s="1" t="s">
        <v>9625</v>
      </c>
      <c r="AB499" s="1" t="s">
        <v>9626</v>
      </c>
      <c r="AC499" s="1" t="s">
        <v>9627</v>
      </c>
      <c r="AD499" s="1" t="s">
        <v>206</v>
      </c>
      <c r="AE499" s="1" t="s">
        <v>9628</v>
      </c>
      <c r="AF499" s="1" t="s">
        <v>9629</v>
      </c>
      <c r="AG499" s="1" t="s">
        <v>9630</v>
      </c>
      <c r="AH499" s="1" t="s">
        <v>9631</v>
      </c>
      <c r="AI499" s="1" t="s">
        <v>82</v>
      </c>
      <c r="AJ499" s="1" t="s">
        <v>9632</v>
      </c>
      <c r="AK499" s="1" t="s">
        <v>9633</v>
      </c>
      <c r="AL499" s="1" t="s">
        <v>9634</v>
      </c>
      <c r="AM499" s="1" t="s">
        <v>82</v>
      </c>
      <c r="AN499" s="1">
        <v>43</v>
      </c>
      <c r="AO499" s="1">
        <v>1</v>
      </c>
      <c r="AP499" s="1">
        <v>1</v>
      </c>
      <c r="AQ499" s="1">
        <v>3</v>
      </c>
      <c r="AR499" s="1">
        <v>11</v>
      </c>
      <c r="AS499" s="1" t="s">
        <v>479</v>
      </c>
      <c r="AT499" s="1" t="s">
        <v>480</v>
      </c>
      <c r="AU499" s="1" t="s">
        <v>481</v>
      </c>
      <c r="AV499" s="1" t="s">
        <v>9503</v>
      </c>
      <c r="AW499" s="1" t="s">
        <v>9504</v>
      </c>
      <c r="AX499" s="1" t="s">
        <v>82</v>
      </c>
      <c r="AY499" s="1" t="s">
        <v>9492</v>
      </c>
      <c r="AZ499" s="1" t="s">
        <v>9505</v>
      </c>
      <c r="BA499" s="1" t="s">
        <v>2145</v>
      </c>
      <c r="BB499" s="1">
        <v>2022</v>
      </c>
      <c r="BC499" s="1">
        <v>157</v>
      </c>
      <c r="BD499" s="1" t="s">
        <v>82</v>
      </c>
      <c r="BE499" s="1" t="s">
        <v>82</v>
      </c>
      <c r="BF499" s="1" t="s">
        <v>82</v>
      </c>
      <c r="BG499" s="1" t="s">
        <v>82</v>
      </c>
      <c r="BH499" s="1" t="s">
        <v>82</v>
      </c>
      <c r="BI499" s="1" t="s">
        <v>82</v>
      </c>
      <c r="BJ499" s="1" t="s">
        <v>82</v>
      </c>
      <c r="BK499" s="1">
        <v>105129</v>
      </c>
      <c r="BL499" s="1" t="s">
        <v>9635</v>
      </c>
      <c r="BM499" s="1" t="str">
        <f>HYPERLINK("http://dx.doi.org/10.1016/j.fitote.2022.105129","http://dx.doi.org/10.1016/j.fitote.2022.105129")</f>
        <v>http://dx.doi.org/10.1016/j.fitote.2022.105129</v>
      </c>
      <c r="BN499" s="1" t="s">
        <v>82</v>
      </c>
      <c r="BO499" s="1" t="s">
        <v>82</v>
      </c>
      <c r="BP499" s="1">
        <v>6</v>
      </c>
      <c r="BQ499" s="1" t="s">
        <v>4165</v>
      </c>
      <c r="BR499" s="1" t="s">
        <v>104</v>
      </c>
      <c r="BS499" s="1" t="s">
        <v>982</v>
      </c>
      <c r="BT499" s="1" t="s">
        <v>9588</v>
      </c>
      <c r="BU499" s="1">
        <v>35051555</v>
      </c>
      <c r="BV499" s="1" t="s">
        <v>82</v>
      </c>
      <c r="BW499" s="1" t="s">
        <v>82</v>
      </c>
      <c r="BX499" s="1" t="s">
        <v>82</v>
      </c>
      <c r="BY499" s="1" t="s">
        <v>108</v>
      </c>
      <c r="BZ499" s="1" t="s">
        <v>9636</v>
      </c>
      <c r="CA499" s="1" t="str">
        <f>HYPERLINK("https%3A%2F%2Fwww.webofscience.com%2Fwos%2Fwoscc%2Ffull-record%2FWOS:000761409500016","View Full Record in Web of Science")</f>
        <v>View Full Record in Web of Science</v>
      </c>
    </row>
    <row r="500" s="1" customFormat="1" ht="14.4" spans="1:79">
      <c r="A500">
        <v>499</v>
      </c>
      <c r="B500" s="2" t="s">
        <v>110</v>
      </c>
      <c r="C500" s="1" t="s">
        <v>80</v>
      </c>
      <c r="D500" s="1" t="s">
        <v>9637</v>
      </c>
      <c r="E500" s="1" t="s">
        <v>82</v>
      </c>
      <c r="F500" s="1" t="s">
        <v>82</v>
      </c>
      <c r="G500" s="1" t="s">
        <v>82</v>
      </c>
      <c r="H500" s="1" t="s">
        <v>9638</v>
      </c>
      <c r="I500" s="1" t="s">
        <v>82</v>
      </c>
      <c r="J500" s="1" t="s">
        <v>82</v>
      </c>
      <c r="K500" s="1" t="s">
        <v>9639</v>
      </c>
      <c r="L500" s="1" t="s">
        <v>9492</v>
      </c>
      <c r="M500" s="1">
        <v>3.204</v>
      </c>
      <c r="O500" s="1" t="s">
        <v>82</v>
      </c>
      <c r="P500" s="1" t="s">
        <v>82</v>
      </c>
      <c r="Q500" s="1" t="s">
        <v>87</v>
      </c>
      <c r="R500" s="1" t="s">
        <v>115</v>
      </c>
      <c r="S500" s="1" t="s">
        <v>82</v>
      </c>
      <c r="T500" s="1" t="s">
        <v>82</v>
      </c>
      <c r="U500" s="1" t="s">
        <v>82</v>
      </c>
      <c r="V500" s="1" t="s">
        <v>82</v>
      </c>
      <c r="W500" s="1" t="s">
        <v>82</v>
      </c>
      <c r="X500" s="1" t="s">
        <v>9640</v>
      </c>
      <c r="Y500" s="1" t="s">
        <v>9641</v>
      </c>
      <c r="Z500" s="1" t="s">
        <v>9642</v>
      </c>
      <c r="AA500" s="1">
        <v>1</v>
      </c>
      <c r="AB500" s="1" t="s">
        <v>9643</v>
      </c>
      <c r="AC500" s="1" t="s">
        <v>9644</v>
      </c>
      <c r="AD500" s="1" t="s">
        <v>93</v>
      </c>
      <c r="AE500" s="1" t="s">
        <v>9645</v>
      </c>
      <c r="AF500" s="1" t="s">
        <v>9646</v>
      </c>
      <c r="AG500" s="1" t="s">
        <v>4504</v>
      </c>
      <c r="AH500" s="1" t="s">
        <v>4505</v>
      </c>
      <c r="AI500" s="1" t="s">
        <v>82</v>
      </c>
      <c r="AJ500" s="1" t="s">
        <v>9647</v>
      </c>
      <c r="AK500" s="1" t="s">
        <v>9648</v>
      </c>
      <c r="AL500" s="1" t="s">
        <v>9649</v>
      </c>
      <c r="AM500" s="1" t="s">
        <v>82</v>
      </c>
      <c r="AN500" s="1">
        <v>29</v>
      </c>
      <c r="AO500" s="1">
        <v>1</v>
      </c>
      <c r="AP500" s="1">
        <v>1</v>
      </c>
      <c r="AQ500" s="1">
        <v>5</v>
      </c>
      <c r="AR500" s="1">
        <v>14</v>
      </c>
      <c r="AS500" s="1" t="s">
        <v>479</v>
      </c>
      <c r="AT500" s="1" t="s">
        <v>480</v>
      </c>
      <c r="AU500" s="1" t="s">
        <v>481</v>
      </c>
      <c r="AV500" s="1" t="s">
        <v>9503</v>
      </c>
      <c r="AW500" s="1" t="s">
        <v>9504</v>
      </c>
      <c r="AX500" s="1" t="s">
        <v>82</v>
      </c>
      <c r="AY500" s="1" t="s">
        <v>9492</v>
      </c>
      <c r="AZ500" s="1" t="s">
        <v>9505</v>
      </c>
      <c r="BA500" s="1" t="s">
        <v>2145</v>
      </c>
      <c r="BB500" s="1">
        <v>2022</v>
      </c>
      <c r="BC500" s="1">
        <v>157</v>
      </c>
      <c r="BD500" s="1" t="s">
        <v>82</v>
      </c>
      <c r="BE500" s="1" t="s">
        <v>82</v>
      </c>
      <c r="BF500" s="1" t="s">
        <v>82</v>
      </c>
      <c r="BG500" s="1" t="s">
        <v>82</v>
      </c>
      <c r="BH500" s="1" t="s">
        <v>82</v>
      </c>
      <c r="BI500" s="1" t="s">
        <v>82</v>
      </c>
      <c r="BJ500" s="1" t="s">
        <v>82</v>
      </c>
      <c r="BK500" s="1">
        <v>105133</v>
      </c>
      <c r="BL500" s="1" t="s">
        <v>9650</v>
      </c>
      <c r="BM500" s="1" t="str">
        <f>HYPERLINK("http://dx.doi.org/10.1016/j.fitote.2022.105133","http://dx.doi.org/10.1016/j.fitote.2022.105133")</f>
        <v>http://dx.doi.org/10.1016/j.fitote.2022.105133</v>
      </c>
      <c r="BN500" s="1" t="s">
        <v>82</v>
      </c>
      <c r="BO500" s="1" t="s">
        <v>82</v>
      </c>
      <c r="BP500" s="1">
        <v>5</v>
      </c>
      <c r="BQ500" s="1" t="s">
        <v>4165</v>
      </c>
      <c r="BR500" s="1" t="s">
        <v>104</v>
      </c>
      <c r="BS500" s="1" t="s">
        <v>982</v>
      </c>
      <c r="BT500" s="1" t="s">
        <v>9588</v>
      </c>
      <c r="BU500" s="1">
        <v>35114336</v>
      </c>
      <c r="BV500" s="1" t="s">
        <v>82</v>
      </c>
      <c r="BW500" s="1" t="s">
        <v>82</v>
      </c>
      <c r="BX500" s="1" t="s">
        <v>82</v>
      </c>
      <c r="BY500" s="1" t="s">
        <v>108</v>
      </c>
      <c r="BZ500" s="1" t="s">
        <v>9651</v>
      </c>
      <c r="CA500" s="1" t="str">
        <f>HYPERLINK("https%3A%2F%2Fwww.webofscience.com%2Fwos%2Fwoscc%2Ffull-record%2FWOS:000761409500020","View Full Record in Web of Science")</f>
        <v>View Full Record in Web of Science</v>
      </c>
    </row>
    <row r="501" s="1" customFormat="1" ht="14.4" spans="1:79">
      <c r="A501">
        <v>500</v>
      </c>
      <c r="B501" s="2" t="s">
        <v>110</v>
      </c>
      <c r="C501" s="1" t="s">
        <v>80</v>
      </c>
      <c r="D501" s="1" t="s">
        <v>9652</v>
      </c>
      <c r="E501" s="1" t="s">
        <v>82</v>
      </c>
      <c r="F501" s="1" t="s">
        <v>82</v>
      </c>
      <c r="G501" s="1" t="s">
        <v>82</v>
      </c>
      <c r="H501" s="1" t="s">
        <v>9653</v>
      </c>
      <c r="I501" s="1" t="s">
        <v>82</v>
      </c>
      <c r="J501" s="1" t="s">
        <v>82</v>
      </c>
      <c r="K501" s="1" t="s">
        <v>9654</v>
      </c>
      <c r="L501" s="1" t="s">
        <v>9492</v>
      </c>
      <c r="M501" s="1">
        <v>3.204</v>
      </c>
      <c r="O501" s="1" t="s">
        <v>82</v>
      </c>
      <c r="P501" s="1" t="s">
        <v>82</v>
      </c>
      <c r="Q501" s="1" t="s">
        <v>87</v>
      </c>
      <c r="R501" s="1" t="s">
        <v>115</v>
      </c>
      <c r="S501" s="1" t="s">
        <v>82</v>
      </c>
      <c r="T501" s="1" t="s">
        <v>82</v>
      </c>
      <c r="U501" s="1" t="s">
        <v>82</v>
      </c>
      <c r="V501" s="1" t="s">
        <v>82</v>
      </c>
      <c r="W501" s="1" t="s">
        <v>82</v>
      </c>
      <c r="X501" s="1" t="s">
        <v>9655</v>
      </c>
      <c r="Y501" s="1" t="s">
        <v>7871</v>
      </c>
      <c r="Z501" s="1" t="s">
        <v>9656</v>
      </c>
      <c r="AA501" s="1">
        <v>1</v>
      </c>
      <c r="AB501" s="1" t="s">
        <v>9657</v>
      </c>
      <c r="AC501" s="1" t="s">
        <v>9658</v>
      </c>
      <c r="AD501" s="1" t="s">
        <v>93</v>
      </c>
      <c r="AE501" s="1" t="s">
        <v>1630</v>
      </c>
      <c r="AF501" s="1" t="s">
        <v>9659</v>
      </c>
      <c r="AG501" s="1" t="s">
        <v>9660</v>
      </c>
      <c r="AH501" s="1" t="s">
        <v>82</v>
      </c>
      <c r="AI501" s="1" t="s">
        <v>82</v>
      </c>
      <c r="AJ501" s="1" t="s">
        <v>9661</v>
      </c>
      <c r="AK501" s="1" t="s">
        <v>5899</v>
      </c>
      <c r="AL501" s="1" t="s">
        <v>9662</v>
      </c>
      <c r="AM501" s="1" t="s">
        <v>82</v>
      </c>
      <c r="AN501" s="1">
        <v>29</v>
      </c>
      <c r="AO501" s="1">
        <v>2</v>
      </c>
      <c r="AP501" s="1">
        <v>2</v>
      </c>
      <c r="AQ501" s="1">
        <v>3</v>
      </c>
      <c r="AR501" s="1">
        <v>18</v>
      </c>
      <c r="AS501" s="1" t="s">
        <v>479</v>
      </c>
      <c r="AT501" s="1" t="s">
        <v>480</v>
      </c>
      <c r="AU501" s="1" t="s">
        <v>481</v>
      </c>
      <c r="AV501" s="1" t="s">
        <v>9503</v>
      </c>
      <c r="AW501" s="1" t="s">
        <v>9504</v>
      </c>
      <c r="AX501" s="1" t="s">
        <v>82</v>
      </c>
      <c r="AY501" s="1" t="s">
        <v>9492</v>
      </c>
      <c r="AZ501" s="1" t="s">
        <v>9505</v>
      </c>
      <c r="BA501" s="1" t="s">
        <v>657</v>
      </c>
      <c r="BB501" s="1">
        <v>2022</v>
      </c>
      <c r="BC501" s="1">
        <v>158</v>
      </c>
      <c r="BD501" s="1" t="s">
        <v>82</v>
      </c>
      <c r="BE501" s="1" t="s">
        <v>82</v>
      </c>
      <c r="BF501" s="1" t="s">
        <v>82</v>
      </c>
      <c r="BG501" s="1" t="s">
        <v>82</v>
      </c>
      <c r="BH501" s="1" t="s">
        <v>82</v>
      </c>
      <c r="BI501" s="1" t="s">
        <v>82</v>
      </c>
      <c r="BJ501" s="1" t="s">
        <v>82</v>
      </c>
      <c r="BK501" s="1">
        <v>105160</v>
      </c>
      <c r="BL501" s="1" t="s">
        <v>9663</v>
      </c>
      <c r="BM501" s="1" t="str">
        <f>HYPERLINK("http://dx.doi.org/10.1016/j.fitote.2022.105160","http://dx.doi.org/10.1016/j.fitote.2022.105160")</f>
        <v>http://dx.doi.org/10.1016/j.fitote.2022.105160</v>
      </c>
      <c r="BN501" s="1" t="s">
        <v>82</v>
      </c>
      <c r="BO501" s="1" t="s">
        <v>296</v>
      </c>
      <c r="BP501" s="1">
        <v>7</v>
      </c>
      <c r="BQ501" s="1" t="s">
        <v>4165</v>
      </c>
      <c r="BR501" s="1" t="s">
        <v>104</v>
      </c>
      <c r="BS501" s="1" t="s">
        <v>982</v>
      </c>
      <c r="BT501" s="1" t="s">
        <v>9619</v>
      </c>
      <c r="BU501" s="1">
        <v>35182695</v>
      </c>
      <c r="BV501" s="1" t="s">
        <v>82</v>
      </c>
      <c r="BW501" s="1" t="s">
        <v>82</v>
      </c>
      <c r="BX501" s="1" t="s">
        <v>82</v>
      </c>
      <c r="BY501" s="1" t="s">
        <v>108</v>
      </c>
      <c r="BZ501" s="1" t="s">
        <v>9664</v>
      </c>
      <c r="CA501" s="1" t="str">
        <f>HYPERLINK("https%3A%2F%2Fwww.webofscience.com%2Fwos%2Fwoscc%2Ffull-record%2FWOS:000761407800009","View Full Record in Web of Science")</f>
        <v>View Full Record in Web of Science</v>
      </c>
    </row>
    <row r="502" s="1" customFormat="1" ht="14.4" spans="1:79">
      <c r="A502">
        <v>501</v>
      </c>
      <c r="B502" s="2" t="s">
        <v>110</v>
      </c>
      <c r="C502" s="1" t="s">
        <v>80</v>
      </c>
      <c r="D502" s="1" t="s">
        <v>9665</v>
      </c>
      <c r="E502" s="1" t="s">
        <v>82</v>
      </c>
      <c r="F502" s="1" t="s">
        <v>82</v>
      </c>
      <c r="G502" s="1" t="s">
        <v>82</v>
      </c>
      <c r="H502" s="1" t="s">
        <v>9666</v>
      </c>
      <c r="I502" s="1" t="s">
        <v>82</v>
      </c>
      <c r="J502" s="1" t="s">
        <v>82</v>
      </c>
      <c r="K502" s="1" t="s">
        <v>9667</v>
      </c>
      <c r="L502" s="1" t="s">
        <v>9492</v>
      </c>
      <c r="M502" s="1">
        <v>3.204</v>
      </c>
      <c r="O502" s="1" t="s">
        <v>82</v>
      </c>
      <c r="P502" s="1" t="s">
        <v>82</v>
      </c>
      <c r="Q502" s="1" t="s">
        <v>87</v>
      </c>
      <c r="R502" s="1" t="s">
        <v>115</v>
      </c>
      <c r="S502" s="1" t="s">
        <v>82</v>
      </c>
      <c r="T502" s="1" t="s">
        <v>82</v>
      </c>
      <c r="U502" s="1" t="s">
        <v>82</v>
      </c>
      <c r="V502" s="1" t="s">
        <v>82</v>
      </c>
      <c r="W502" s="1" t="s">
        <v>82</v>
      </c>
      <c r="X502" s="1" t="s">
        <v>9668</v>
      </c>
      <c r="Y502" s="1" t="s">
        <v>9669</v>
      </c>
      <c r="Z502" s="1" t="s">
        <v>9670</v>
      </c>
      <c r="AB502" s="1" t="s">
        <v>9671</v>
      </c>
      <c r="AC502" s="1" t="s">
        <v>9672</v>
      </c>
      <c r="AD502" s="1" t="s">
        <v>120</v>
      </c>
      <c r="AE502" s="1" t="s">
        <v>9673</v>
      </c>
      <c r="AF502" s="1" t="s">
        <v>9674</v>
      </c>
      <c r="AG502" s="1" t="s">
        <v>9675</v>
      </c>
      <c r="AH502" s="1" t="s">
        <v>7974</v>
      </c>
      <c r="AI502" s="1" t="s">
        <v>82</v>
      </c>
      <c r="AJ502" s="1" t="s">
        <v>9676</v>
      </c>
      <c r="AK502" s="1" t="s">
        <v>442</v>
      </c>
      <c r="AL502" s="1" t="s">
        <v>9677</v>
      </c>
      <c r="AM502" s="1" t="s">
        <v>82</v>
      </c>
      <c r="AN502" s="1">
        <v>32</v>
      </c>
      <c r="AO502" s="1">
        <v>1</v>
      </c>
      <c r="AP502" s="1">
        <v>1</v>
      </c>
      <c r="AQ502" s="1">
        <v>1</v>
      </c>
      <c r="AR502" s="1">
        <v>6</v>
      </c>
      <c r="AS502" s="1" t="s">
        <v>479</v>
      </c>
      <c r="AT502" s="1" t="s">
        <v>480</v>
      </c>
      <c r="AU502" s="1" t="s">
        <v>481</v>
      </c>
      <c r="AV502" s="1" t="s">
        <v>9503</v>
      </c>
      <c r="AW502" s="1" t="s">
        <v>9504</v>
      </c>
      <c r="AX502" s="1" t="s">
        <v>82</v>
      </c>
      <c r="AY502" s="1" t="s">
        <v>9492</v>
      </c>
      <c r="AZ502" s="1" t="s">
        <v>9505</v>
      </c>
      <c r="BA502" s="1" t="s">
        <v>657</v>
      </c>
      <c r="BB502" s="1">
        <v>2022</v>
      </c>
      <c r="BC502" s="1">
        <v>158</v>
      </c>
      <c r="BD502" s="1" t="s">
        <v>82</v>
      </c>
      <c r="BE502" s="1" t="s">
        <v>82</v>
      </c>
      <c r="BF502" s="1" t="s">
        <v>82</v>
      </c>
      <c r="BG502" s="1" t="s">
        <v>82</v>
      </c>
      <c r="BH502" s="1" t="s">
        <v>82</v>
      </c>
      <c r="BI502" s="1" t="s">
        <v>82</v>
      </c>
      <c r="BJ502" s="1" t="s">
        <v>82</v>
      </c>
      <c r="BK502" s="1">
        <v>105158</v>
      </c>
      <c r="BL502" s="1" t="s">
        <v>9678</v>
      </c>
      <c r="BM502" s="1" t="str">
        <f>HYPERLINK("http://dx.doi.org/10.1016/j.fitote.2022.105158","http://dx.doi.org/10.1016/j.fitote.2022.105158")</f>
        <v>http://dx.doi.org/10.1016/j.fitote.2022.105158</v>
      </c>
      <c r="BN502" s="1" t="s">
        <v>82</v>
      </c>
      <c r="BO502" s="1" t="s">
        <v>296</v>
      </c>
      <c r="BP502" s="1">
        <v>7</v>
      </c>
      <c r="BQ502" s="1" t="s">
        <v>4165</v>
      </c>
      <c r="BR502" s="1" t="s">
        <v>104</v>
      </c>
      <c r="BS502" s="1" t="s">
        <v>982</v>
      </c>
      <c r="BT502" s="1" t="s">
        <v>9619</v>
      </c>
      <c r="BU502" s="1">
        <v>35176424</v>
      </c>
      <c r="BV502" s="1" t="s">
        <v>82</v>
      </c>
      <c r="BW502" s="1" t="s">
        <v>82</v>
      </c>
      <c r="BX502" s="1" t="s">
        <v>82</v>
      </c>
      <c r="BY502" s="1" t="s">
        <v>108</v>
      </c>
      <c r="BZ502" s="1" t="s">
        <v>9679</v>
      </c>
      <c r="CA502" s="1" t="str">
        <f>HYPERLINK("https%3A%2F%2Fwww.webofscience.com%2Fwos%2Fwoscc%2Ffull-record%2FWOS:000761407800007","View Full Record in Web of Science")</f>
        <v>View Full Record in Web of Science</v>
      </c>
    </row>
    <row r="503" s="1" customFormat="1" ht="14.4" spans="1:79">
      <c r="A503">
        <v>502</v>
      </c>
      <c r="B503" s="2" t="s">
        <v>79</v>
      </c>
      <c r="C503" s="1" t="s">
        <v>80</v>
      </c>
      <c r="D503" s="1" t="s">
        <v>9680</v>
      </c>
      <c r="E503" s="1" t="s">
        <v>82</v>
      </c>
      <c r="F503" s="1" t="s">
        <v>82</v>
      </c>
      <c r="G503" s="1" t="s">
        <v>82</v>
      </c>
      <c r="H503" s="1" t="s">
        <v>9681</v>
      </c>
      <c r="I503" s="1" t="s">
        <v>82</v>
      </c>
      <c r="J503" s="1" t="s">
        <v>82</v>
      </c>
      <c r="K503" s="1" t="s">
        <v>9682</v>
      </c>
      <c r="L503" s="1" t="s">
        <v>9683</v>
      </c>
      <c r="M503" s="1">
        <v>3.192</v>
      </c>
      <c r="O503" s="1" t="s">
        <v>82</v>
      </c>
      <c r="P503" s="1" t="s">
        <v>82</v>
      </c>
      <c r="Q503" s="1" t="s">
        <v>87</v>
      </c>
      <c r="R503" s="1" t="s">
        <v>115</v>
      </c>
      <c r="S503" s="1" t="s">
        <v>82</v>
      </c>
      <c r="T503" s="1" t="s">
        <v>82</v>
      </c>
      <c r="U503" s="1" t="s">
        <v>82</v>
      </c>
      <c r="V503" s="1" t="s">
        <v>82</v>
      </c>
      <c r="W503" s="1" t="s">
        <v>82</v>
      </c>
      <c r="X503" s="1" t="s">
        <v>9684</v>
      </c>
      <c r="Y503" s="1" t="s">
        <v>9685</v>
      </c>
      <c r="Z503" s="1" t="s">
        <v>9686</v>
      </c>
      <c r="AB503" s="1" t="s">
        <v>9687</v>
      </c>
      <c r="AC503" s="1" t="s">
        <v>9688</v>
      </c>
      <c r="AD503" s="1" t="s">
        <v>120</v>
      </c>
      <c r="AE503" s="1" t="s">
        <v>9689</v>
      </c>
      <c r="AF503" s="1" t="s">
        <v>9690</v>
      </c>
      <c r="AG503" s="1" t="s">
        <v>9691</v>
      </c>
      <c r="AH503" s="1" t="s">
        <v>82</v>
      </c>
      <c r="AI503" s="1" t="s">
        <v>82</v>
      </c>
      <c r="AJ503" s="1" t="s">
        <v>9692</v>
      </c>
      <c r="AK503" s="1" t="s">
        <v>9693</v>
      </c>
      <c r="AL503" s="1" t="s">
        <v>9694</v>
      </c>
      <c r="AM503" s="1" t="s">
        <v>82</v>
      </c>
      <c r="AN503" s="1">
        <v>20</v>
      </c>
      <c r="AO503" s="1">
        <v>0</v>
      </c>
      <c r="AP503" s="1">
        <v>0</v>
      </c>
      <c r="AQ503" s="1">
        <v>1</v>
      </c>
      <c r="AR503" s="1">
        <v>5</v>
      </c>
      <c r="AS503" s="1" t="s">
        <v>9695</v>
      </c>
      <c r="AT503" s="1" t="s">
        <v>9696</v>
      </c>
      <c r="AU503" s="1" t="s">
        <v>9697</v>
      </c>
      <c r="AV503" s="1" t="s">
        <v>9698</v>
      </c>
      <c r="AW503" s="1" t="s">
        <v>9699</v>
      </c>
      <c r="AX503" s="1" t="s">
        <v>82</v>
      </c>
      <c r="AY503" s="1" t="s">
        <v>9700</v>
      </c>
      <c r="AZ503" s="1" t="s">
        <v>9701</v>
      </c>
      <c r="BA503" s="1" t="s">
        <v>2145</v>
      </c>
      <c r="BB503" s="1">
        <v>2022</v>
      </c>
      <c r="BC503" s="1">
        <v>76</v>
      </c>
      <c r="BD503" s="1">
        <v>2</v>
      </c>
      <c r="BE503" s="1" t="s">
        <v>82</v>
      </c>
      <c r="BF503" s="1" t="s">
        <v>82</v>
      </c>
      <c r="BG503" s="1" t="s">
        <v>82</v>
      </c>
      <c r="BH503" s="1" t="s">
        <v>82</v>
      </c>
      <c r="BI503" s="1">
        <v>435</v>
      </c>
      <c r="BJ503" s="1">
        <v>450</v>
      </c>
      <c r="BK503" s="1" t="s">
        <v>82</v>
      </c>
      <c r="BL503" s="1" t="s">
        <v>9702</v>
      </c>
      <c r="BM503" s="1" t="str">
        <f>HYPERLINK("http://dx.doi.org/10.1007/s11418-021-01599-7","http://dx.doi.org/10.1007/s11418-021-01599-7")</f>
        <v>http://dx.doi.org/10.1007/s11418-021-01599-7</v>
      </c>
      <c r="BN503" s="1" t="s">
        <v>82</v>
      </c>
      <c r="BO503" s="1" t="s">
        <v>315</v>
      </c>
      <c r="BP503" s="1">
        <v>16</v>
      </c>
      <c r="BQ503" s="1" t="s">
        <v>4165</v>
      </c>
      <c r="BR503" s="1" t="s">
        <v>104</v>
      </c>
      <c r="BS503" s="1" t="s">
        <v>982</v>
      </c>
      <c r="BT503" s="1" t="s">
        <v>9703</v>
      </c>
      <c r="BU503" s="1">
        <v>35075577</v>
      </c>
      <c r="BV503" s="1" t="s">
        <v>82</v>
      </c>
      <c r="BW503" s="1" t="s">
        <v>82</v>
      </c>
      <c r="BX503" s="1" t="s">
        <v>82</v>
      </c>
      <c r="BY503" s="1" t="s">
        <v>108</v>
      </c>
      <c r="BZ503" s="1" t="s">
        <v>9704</v>
      </c>
      <c r="CA503" s="1" t="str">
        <f>HYPERLINK("https%3A%2F%2Fwww.webofscience.com%2Fwos%2Fwoscc%2Ffull-record%2FWOS:000746335300001","View Full Record in Web of Science")</f>
        <v>View Full Record in Web of Science</v>
      </c>
    </row>
    <row r="504" s="1" customFormat="1" ht="14.4" spans="1:79">
      <c r="A504">
        <v>503</v>
      </c>
      <c r="B504" s="2" t="s">
        <v>110</v>
      </c>
      <c r="C504" s="1" t="s">
        <v>80</v>
      </c>
      <c r="D504" s="1" t="s">
        <v>9705</v>
      </c>
      <c r="E504" s="1" t="s">
        <v>82</v>
      </c>
      <c r="F504" s="1" t="s">
        <v>82</v>
      </c>
      <c r="G504" s="1" t="s">
        <v>82</v>
      </c>
      <c r="H504" s="1" t="s">
        <v>9706</v>
      </c>
      <c r="I504" s="1" t="s">
        <v>82</v>
      </c>
      <c r="J504" s="1" t="s">
        <v>82</v>
      </c>
      <c r="K504" s="1" t="s">
        <v>9707</v>
      </c>
      <c r="L504" s="1" t="s">
        <v>9683</v>
      </c>
      <c r="M504" s="1">
        <v>3.192</v>
      </c>
      <c r="O504" s="1" t="s">
        <v>82</v>
      </c>
      <c r="P504" s="1" t="s">
        <v>82</v>
      </c>
      <c r="Q504" s="1" t="s">
        <v>87</v>
      </c>
      <c r="R504" s="1" t="s">
        <v>115</v>
      </c>
      <c r="S504" s="1" t="s">
        <v>82</v>
      </c>
      <c r="T504" s="1" t="s">
        <v>82</v>
      </c>
      <c r="U504" s="1" t="s">
        <v>82</v>
      </c>
      <c r="V504" s="1" t="s">
        <v>82</v>
      </c>
      <c r="W504" s="1" t="s">
        <v>82</v>
      </c>
      <c r="X504" s="1" t="s">
        <v>9708</v>
      </c>
      <c r="Y504" s="1" t="s">
        <v>9709</v>
      </c>
      <c r="Z504" s="1" t="s">
        <v>9710</v>
      </c>
      <c r="AB504" s="1" t="s">
        <v>9711</v>
      </c>
      <c r="AC504" s="1" t="s">
        <v>9712</v>
      </c>
      <c r="AD504" s="1" t="s">
        <v>206</v>
      </c>
      <c r="AE504" s="1" t="s">
        <v>9713</v>
      </c>
      <c r="AF504" s="1" t="s">
        <v>9714</v>
      </c>
      <c r="AG504" s="1" t="s">
        <v>9715</v>
      </c>
      <c r="AH504" s="1" t="s">
        <v>82</v>
      </c>
      <c r="AI504" s="1" t="s">
        <v>82</v>
      </c>
      <c r="AJ504" s="1" t="s">
        <v>8423</v>
      </c>
      <c r="AK504" s="1" t="s">
        <v>8424</v>
      </c>
      <c r="AL504" s="1" t="s">
        <v>9716</v>
      </c>
      <c r="AM504" s="1" t="s">
        <v>82</v>
      </c>
      <c r="AN504" s="1">
        <v>40</v>
      </c>
      <c r="AO504" s="1">
        <v>2</v>
      </c>
      <c r="AP504" s="1">
        <v>2</v>
      </c>
      <c r="AQ504" s="1">
        <v>0</v>
      </c>
      <c r="AR504" s="1">
        <v>4</v>
      </c>
      <c r="AS504" s="1" t="s">
        <v>9695</v>
      </c>
      <c r="AT504" s="1" t="s">
        <v>9696</v>
      </c>
      <c r="AU504" s="1" t="s">
        <v>9697</v>
      </c>
      <c r="AV504" s="1" t="s">
        <v>9698</v>
      </c>
      <c r="AW504" s="1" t="s">
        <v>9699</v>
      </c>
      <c r="AX504" s="1" t="s">
        <v>82</v>
      </c>
      <c r="AY504" s="1" t="s">
        <v>9700</v>
      </c>
      <c r="AZ504" s="1" t="s">
        <v>9701</v>
      </c>
      <c r="BA504" s="1" t="s">
        <v>1826</v>
      </c>
      <c r="BB504" s="1">
        <v>2022</v>
      </c>
      <c r="BC504" s="1">
        <v>76</v>
      </c>
      <c r="BD504" s="1">
        <v>1</v>
      </c>
      <c r="BE504" s="1" t="s">
        <v>82</v>
      </c>
      <c r="BF504" s="1" t="s">
        <v>82</v>
      </c>
      <c r="BG504" s="1" t="s">
        <v>82</v>
      </c>
      <c r="BH504" s="1" t="s">
        <v>82</v>
      </c>
      <c r="BI504" s="1">
        <v>119</v>
      </c>
      <c r="BJ504" s="1">
        <v>131</v>
      </c>
      <c r="BK504" s="1" t="s">
        <v>82</v>
      </c>
      <c r="BL504" s="1" t="s">
        <v>9717</v>
      </c>
      <c r="BM504" s="1" t="str">
        <f>HYPERLINK("http://dx.doi.org/10.1007/s11418-021-01561-7","http://dx.doi.org/10.1007/s11418-021-01561-7")</f>
        <v>http://dx.doi.org/10.1007/s11418-021-01561-7</v>
      </c>
      <c r="BN504" s="1" t="s">
        <v>82</v>
      </c>
      <c r="BO504" s="1" t="s">
        <v>7500</v>
      </c>
      <c r="BP504" s="1">
        <v>13</v>
      </c>
      <c r="BQ504" s="1" t="s">
        <v>4165</v>
      </c>
      <c r="BR504" s="1" t="s">
        <v>104</v>
      </c>
      <c r="BS504" s="1" t="s">
        <v>982</v>
      </c>
      <c r="BT504" s="1" t="s">
        <v>9718</v>
      </c>
      <c r="BU504" s="1">
        <v>34480707</v>
      </c>
      <c r="BV504" s="1" t="s">
        <v>82</v>
      </c>
      <c r="BW504" s="1" t="s">
        <v>82</v>
      </c>
      <c r="BX504" s="1" t="s">
        <v>82</v>
      </c>
      <c r="BY504" s="1" t="s">
        <v>108</v>
      </c>
      <c r="BZ504" s="1" t="s">
        <v>9719</v>
      </c>
      <c r="CA504" s="1" t="str">
        <f>HYPERLINK("https%3A%2F%2Fwww.webofscience.com%2Fwos%2Fwoscc%2Ffull-record%2FWOS:000692437700001","View Full Record in Web of Science")</f>
        <v>View Full Record in Web of Science</v>
      </c>
    </row>
    <row r="505" s="1" customFormat="1" ht="14.4" spans="1:79">
      <c r="A505">
        <v>504</v>
      </c>
      <c r="B505" s="2" t="s">
        <v>79</v>
      </c>
      <c r="C505" s="1" t="s">
        <v>80</v>
      </c>
      <c r="D505" s="1" t="s">
        <v>9720</v>
      </c>
      <c r="E505" s="1" t="s">
        <v>82</v>
      </c>
      <c r="F505" s="1" t="s">
        <v>82</v>
      </c>
      <c r="G505" s="1" t="s">
        <v>82</v>
      </c>
      <c r="H505" s="1" t="s">
        <v>9721</v>
      </c>
      <c r="I505" s="1" t="s">
        <v>82</v>
      </c>
      <c r="J505" s="1" t="s">
        <v>82</v>
      </c>
      <c r="K505" s="1" t="s">
        <v>9722</v>
      </c>
      <c r="L505" s="1" t="s">
        <v>9723</v>
      </c>
      <c r="M505" s="1">
        <v>3.167</v>
      </c>
      <c r="O505" s="1" t="s">
        <v>82</v>
      </c>
      <c r="P505" s="1" t="s">
        <v>82</v>
      </c>
      <c r="Q505" s="1" t="s">
        <v>87</v>
      </c>
      <c r="R505" s="1" t="s">
        <v>115</v>
      </c>
      <c r="S505" s="1" t="s">
        <v>82</v>
      </c>
      <c r="T505" s="1" t="s">
        <v>82</v>
      </c>
      <c r="U505" s="1" t="s">
        <v>82</v>
      </c>
      <c r="V505" s="1" t="s">
        <v>82</v>
      </c>
      <c r="W505" s="1" t="s">
        <v>82</v>
      </c>
      <c r="X505" s="1" t="s">
        <v>9724</v>
      </c>
      <c r="Y505" s="1" t="s">
        <v>9725</v>
      </c>
      <c r="Z505" s="1" t="s">
        <v>9726</v>
      </c>
      <c r="AA505" s="1">
        <v>1</v>
      </c>
      <c r="AB505" s="1" t="s">
        <v>9727</v>
      </c>
      <c r="AC505" s="1" t="s">
        <v>9728</v>
      </c>
      <c r="AD505" s="1" t="s">
        <v>93</v>
      </c>
      <c r="AE505" s="1" t="s">
        <v>9729</v>
      </c>
      <c r="AF505" s="1" t="s">
        <v>9730</v>
      </c>
      <c r="AG505" s="1" t="s">
        <v>9731</v>
      </c>
      <c r="AH505" s="1" t="s">
        <v>82</v>
      </c>
      <c r="AI505" s="1" t="s">
        <v>9732</v>
      </c>
      <c r="AJ505" s="1" t="s">
        <v>9733</v>
      </c>
      <c r="AK505" s="1" t="s">
        <v>9734</v>
      </c>
      <c r="AL505" s="1" t="s">
        <v>9735</v>
      </c>
      <c r="AM505" s="1" t="s">
        <v>82</v>
      </c>
      <c r="AN505" s="1">
        <v>75</v>
      </c>
      <c r="AO505" s="1">
        <v>0</v>
      </c>
      <c r="AP505" s="1">
        <v>0</v>
      </c>
      <c r="AQ505" s="1">
        <v>5</v>
      </c>
      <c r="AR505" s="1">
        <v>5</v>
      </c>
      <c r="AS505" s="1" t="s">
        <v>1002</v>
      </c>
      <c r="AT505" s="1" t="s">
        <v>1003</v>
      </c>
      <c r="AU505" s="1" t="s">
        <v>1004</v>
      </c>
      <c r="AV505" s="1" t="s">
        <v>9736</v>
      </c>
      <c r="AW505" s="1" t="s">
        <v>82</v>
      </c>
      <c r="AX505" s="1" t="s">
        <v>82</v>
      </c>
      <c r="AY505" s="1" t="s">
        <v>9737</v>
      </c>
      <c r="AZ505" s="1" t="s">
        <v>9738</v>
      </c>
      <c r="BA505" s="1" t="s">
        <v>486</v>
      </c>
      <c r="BB505" s="1">
        <v>2022</v>
      </c>
      <c r="BC505" s="1">
        <v>12</v>
      </c>
      <c r="BD505" s="1">
        <v>11</v>
      </c>
      <c r="BE505" s="1" t="s">
        <v>82</v>
      </c>
      <c r="BF505" s="1" t="s">
        <v>82</v>
      </c>
      <c r="BG505" s="1" t="s">
        <v>82</v>
      </c>
      <c r="BH505" s="1" t="s">
        <v>82</v>
      </c>
      <c r="BI505" s="1" t="s">
        <v>82</v>
      </c>
      <c r="BJ505" s="1" t="s">
        <v>82</v>
      </c>
      <c r="BK505" s="1" t="s">
        <v>9739</v>
      </c>
      <c r="BL505" s="1" t="s">
        <v>9740</v>
      </c>
      <c r="BM505" s="1" t="str">
        <f>HYPERLINK("http://dx.doi.org/10.1002/ece3.9508","http://dx.doi.org/10.1002/ece3.9508")</f>
        <v>http://dx.doi.org/10.1002/ece3.9508</v>
      </c>
      <c r="BN505" s="1" t="s">
        <v>82</v>
      </c>
      <c r="BO505" s="1" t="s">
        <v>82</v>
      </c>
      <c r="BP505" s="1">
        <v>16</v>
      </c>
      <c r="BQ505" s="1" t="s">
        <v>9741</v>
      </c>
      <c r="BR505" s="1" t="s">
        <v>104</v>
      </c>
      <c r="BS505" s="1" t="s">
        <v>9742</v>
      </c>
      <c r="BT505" s="1" t="s">
        <v>9743</v>
      </c>
      <c r="BU505" s="1">
        <v>36415875</v>
      </c>
      <c r="BV505" s="1" t="s">
        <v>316</v>
      </c>
      <c r="BW505" s="1" t="s">
        <v>82</v>
      </c>
      <c r="BX505" s="1" t="s">
        <v>82</v>
      </c>
      <c r="BY505" s="1" t="s">
        <v>108</v>
      </c>
      <c r="BZ505" s="1" t="s">
        <v>9744</v>
      </c>
      <c r="CA505" s="1" t="str">
        <f>HYPERLINK("https%3A%2F%2Fwww.webofscience.com%2Fwos%2Fwoscc%2Ffull-record%2FWOS:000887257400001","View Full Record in Web of Science")</f>
        <v>View Full Record in Web of Science</v>
      </c>
    </row>
    <row r="506" s="1" customFormat="1" ht="14.4" spans="1:79">
      <c r="A506">
        <v>505</v>
      </c>
      <c r="B506" s="2" t="s">
        <v>79</v>
      </c>
      <c r="C506" s="1" t="s">
        <v>80</v>
      </c>
      <c r="D506" s="1" t="s">
        <v>9745</v>
      </c>
      <c r="E506" s="1" t="s">
        <v>82</v>
      </c>
      <c r="F506" s="1" t="s">
        <v>82</v>
      </c>
      <c r="G506" s="1" t="s">
        <v>82</v>
      </c>
      <c r="H506" s="1" t="s">
        <v>9746</v>
      </c>
      <c r="I506" s="1" t="s">
        <v>82</v>
      </c>
      <c r="J506" s="1" t="s">
        <v>82</v>
      </c>
      <c r="K506" s="1" t="s">
        <v>9747</v>
      </c>
      <c r="L506" s="1" t="s">
        <v>9723</v>
      </c>
      <c r="M506" s="1">
        <v>3.167</v>
      </c>
      <c r="O506" s="1" t="s">
        <v>82</v>
      </c>
      <c r="P506" s="1" t="s">
        <v>82</v>
      </c>
      <c r="Q506" s="1" t="s">
        <v>87</v>
      </c>
      <c r="R506" s="1" t="s">
        <v>200</v>
      </c>
      <c r="S506" s="1" t="s">
        <v>82</v>
      </c>
      <c r="T506" s="1" t="s">
        <v>82</v>
      </c>
      <c r="U506" s="1" t="s">
        <v>82</v>
      </c>
      <c r="V506" s="1" t="s">
        <v>82</v>
      </c>
      <c r="W506" s="1" t="s">
        <v>82</v>
      </c>
      <c r="X506" s="1" t="s">
        <v>9748</v>
      </c>
      <c r="Y506" s="1" t="s">
        <v>9749</v>
      </c>
      <c r="Z506" s="1" t="s">
        <v>9750</v>
      </c>
      <c r="AA506" s="1">
        <v>1</v>
      </c>
      <c r="AB506" s="1" t="s">
        <v>3008</v>
      </c>
      <c r="AC506" s="1" t="s">
        <v>9751</v>
      </c>
      <c r="AD506" s="1" t="s">
        <v>93</v>
      </c>
      <c r="AE506" s="1" t="s">
        <v>9752</v>
      </c>
      <c r="AF506" s="1" t="s">
        <v>9753</v>
      </c>
      <c r="AG506" s="1" t="s">
        <v>1609</v>
      </c>
      <c r="AH506" s="1" t="s">
        <v>82</v>
      </c>
      <c r="AI506" s="1" t="s">
        <v>82</v>
      </c>
      <c r="AJ506" s="1" t="s">
        <v>9754</v>
      </c>
      <c r="AK506" s="1" t="s">
        <v>9755</v>
      </c>
      <c r="AL506" s="1" t="s">
        <v>9756</v>
      </c>
      <c r="AM506" s="1" t="s">
        <v>82</v>
      </c>
      <c r="AN506" s="1">
        <v>56</v>
      </c>
      <c r="AO506" s="1">
        <v>1</v>
      </c>
      <c r="AP506" s="1">
        <v>1</v>
      </c>
      <c r="AQ506" s="1">
        <v>13</v>
      </c>
      <c r="AR506" s="1">
        <v>13</v>
      </c>
      <c r="AS506" s="1" t="s">
        <v>1002</v>
      </c>
      <c r="AT506" s="1" t="s">
        <v>1003</v>
      </c>
      <c r="AU506" s="1" t="s">
        <v>1004</v>
      </c>
      <c r="AV506" s="1" t="s">
        <v>9736</v>
      </c>
      <c r="AW506" s="1" t="s">
        <v>82</v>
      </c>
      <c r="AX506" s="1" t="s">
        <v>82</v>
      </c>
      <c r="AY506" s="1" t="s">
        <v>9737</v>
      </c>
      <c r="AZ506" s="1" t="s">
        <v>9738</v>
      </c>
      <c r="BA506" s="1" t="s">
        <v>486</v>
      </c>
      <c r="BB506" s="1">
        <v>2022</v>
      </c>
      <c r="BC506" s="1">
        <v>12</v>
      </c>
      <c r="BD506" s="1">
        <v>11</v>
      </c>
      <c r="BE506" s="1" t="s">
        <v>82</v>
      </c>
      <c r="BF506" s="1" t="s">
        <v>82</v>
      </c>
      <c r="BG506" s="1" t="s">
        <v>82</v>
      </c>
      <c r="BH506" s="1" t="s">
        <v>82</v>
      </c>
      <c r="BI506" s="1" t="s">
        <v>82</v>
      </c>
      <c r="BJ506" s="1" t="s">
        <v>82</v>
      </c>
      <c r="BK506" s="1" t="s">
        <v>9757</v>
      </c>
      <c r="BL506" s="1" t="s">
        <v>9758</v>
      </c>
      <c r="BM506" s="1" t="str">
        <f>HYPERLINK("http://dx.doi.org/10.1002/ece3.9451","http://dx.doi.org/10.1002/ece3.9451")</f>
        <v>http://dx.doi.org/10.1002/ece3.9451</v>
      </c>
      <c r="BN506" s="1" t="s">
        <v>82</v>
      </c>
      <c r="BO506" s="1" t="s">
        <v>82</v>
      </c>
      <c r="BP506" s="1">
        <v>8</v>
      </c>
      <c r="BQ506" s="1" t="s">
        <v>9741</v>
      </c>
      <c r="BR506" s="1" t="s">
        <v>104</v>
      </c>
      <c r="BS506" s="1" t="s">
        <v>9742</v>
      </c>
      <c r="BT506" s="1" t="s">
        <v>9759</v>
      </c>
      <c r="BU506" s="1">
        <v>36329812</v>
      </c>
      <c r="BV506" s="1" t="s">
        <v>316</v>
      </c>
      <c r="BW506" s="1" t="s">
        <v>82</v>
      </c>
      <c r="BX506" s="1" t="s">
        <v>82</v>
      </c>
      <c r="BY506" s="1" t="s">
        <v>108</v>
      </c>
      <c r="BZ506" s="1" t="s">
        <v>9760</v>
      </c>
      <c r="CA506" s="1" t="str">
        <f>HYPERLINK("https%3A%2F%2Fwww.webofscience.com%2Fwos%2Fwoscc%2Ffull-record%2FWOS:000876158800001","View Full Record in Web of Science")</f>
        <v>View Full Record in Web of Science</v>
      </c>
    </row>
    <row r="507" s="1" customFormat="1" ht="14.4" spans="1:79">
      <c r="A507">
        <v>506</v>
      </c>
      <c r="B507" s="2" t="s">
        <v>79</v>
      </c>
      <c r="C507" s="1" t="s">
        <v>80</v>
      </c>
      <c r="D507" s="1" t="s">
        <v>9761</v>
      </c>
      <c r="E507" s="1" t="s">
        <v>82</v>
      </c>
      <c r="F507" s="1" t="s">
        <v>82</v>
      </c>
      <c r="G507" s="1" t="s">
        <v>82</v>
      </c>
      <c r="H507" s="1" t="s">
        <v>9762</v>
      </c>
      <c r="I507" s="1" t="s">
        <v>82</v>
      </c>
      <c r="J507" s="1" t="s">
        <v>82</v>
      </c>
      <c r="K507" s="1" t="s">
        <v>9763</v>
      </c>
      <c r="L507" s="1" t="s">
        <v>9723</v>
      </c>
      <c r="M507" s="1">
        <v>3.167</v>
      </c>
      <c r="O507" s="1" t="s">
        <v>82</v>
      </c>
      <c r="P507" s="1" t="s">
        <v>82</v>
      </c>
      <c r="Q507" s="1" t="s">
        <v>87</v>
      </c>
      <c r="R507" s="1" t="s">
        <v>115</v>
      </c>
      <c r="S507" s="1" t="s">
        <v>82</v>
      </c>
      <c r="T507" s="1" t="s">
        <v>82</v>
      </c>
      <c r="U507" s="1" t="s">
        <v>82</v>
      </c>
      <c r="V507" s="1" t="s">
        <v>82</v>
      </c>
      <c r="W507" s="1" t="s">
        <v>82</v>
      </c>
      <c r="X507" s="1" t="s">
        <v>9764</v>
      </c>
      <c r="Y507" s="1" t="s">
        <v>9765</v>
      </c>
      <c r="Z507" s="1" t="s">
        <v>9766</v>
      </c>
      <c r="AB507" s="1" t="s">
        <v>9767</v>
      </c>
      <c r="AC507" s="1" t="s">
        <v>9768</v>
      </c>
      <c r="AD507" s="1" t="s">
        <v>120</v>
      </c>
      <c r="AE507" s="1" t="s">
        <v>9769</v>
      </c>
      <c r="AF507" s="1" t="s">
        <v>9770</v>
      </c>
      <c r="AG507" s="1" t="s">
        <v>9771</v>
      </c>
      <c r="AH507" s="1" t="s">
        <v>9772</v>
      </c>
      <c r="AI507" s="1" t="s">
        <v>9773</v>
      </c>
      <c r="AJ507" s="1" t="s">
        <v>9774</v>
      </c>
      <c r="AK507" s="1" t="s">
        <v>9775</v>
      </c>
      <c r="AL507" s="1" t="s">
        <v>9776</v>
      </c>
      <c r="AM507" s="1" t="s">
        <v>82</v>
      </c>
      <c r="AN507" s="1">
        <v>77</v>
      </c>
      <c r="AO507" s="1">
        <v>0</v>
      </c>
      <c r="AP507" s="1">
        <v>0</v>
      </c>
      <c r="AQ507" s="1">
        <v>5</v>
      </c>
      <c r="AR507" s="1">
        <v>5</v>
      </c>
      <c r="AS507" s="1" t="s">
        <v>1002</v>
      </c>
      <c r="AT507" s="1" t="s">
        <v>1003</v>
      </c>
      <c r="AU507" s="1" t="s">
        <v>1004</v>
      </c>
      <c r="AV507" s="1" t="s">
        <v>9736</v>
      </c>
      <c r="AW507" s="1" t="s">
        <v>82</v>
      </c>
      <c r="AX507" s="1" t="s">
        <v>82</v>
      </c>
      <c r="AY507" s="1" t="s">
        <v>9737</v>
      </c>
      <c r="AZ507" s="1" t="s">
        <v>9738</v>
      </c>
      <c r="BA507" s="1" t="s">
        <v>222</v>
      </c>
      <c r="BB507" s="1">
        <v>2022</v>
      </c>
      <c r="BC507" s="1">
        <v>12</v>
      </c>
      <c r="BD507" s="1">
        <v>9</v>
      </c>
      <c r="BE507" s="1" t="s">
        <v>82</v>
      </c>
      <c r="BF507" s="1" t="s">
        <v>82</v>
      </c>
      <c r="BG507" s="1" t="s">
        <v>82</v>
      </c>
      <c r="BH507" s="1" t="s">
        <v>82</v>
      </c>
      <c r="BI507" s="1" t="s">
        <v>82</v>
      </c>
      <c r="BJ507" s="1" t="s">
        <v>82</v>
      </c>
      <c r="BK507" s="1" t="s">
        <v>9777</v>
      </c>
      <c r="BL507" s="1" t="s">
        <v>9778</v>
      </c>
      <c r="BM507" s="1" t="str">
        <f>HYPERLINK("http://dx.doi.org/10.1002/ece3.9308","http://dx.doi.org/10.1002/ece3.9308")</f>
        <v>http://dx.doi.org/10.1002/ece3.9308</v>
      </c>
      <c r="BN507" s="1" t="s">
        <v>82</v>
      </c>
      <c r="BO507" s="1" t="s">
        <v>82</v>
      </c>
      <c r="BP507" s="1">
        <v>9</v>
      </c>
      <c r="BQ507" s="1" t="s">
        <v>9741</v>
      </c>
      <c r="BR507" s="1" t="s">
        <v>104</v>
      </c>
      <c r="BS507" s="1" t="s">
        <v>9742</v>
      </c>
      <c r="BT507" s="1" t="s">
        <v>9779</v>
      </c>
      <c r="BU507" s="1">
        <v>36177127</v>
      </c>
      <c r="BV507" s="1" t="s">
        <v>316</v>
      </c>
      <c r="BW507" s="1" t="s">
        <v>82</v>
      </c>
      <c r="BX507" s="1" t="s">
        <v>82</v>
      </c>
      <c r="BY507" s="1" t="s">
        <v>108</v>
      </c>
      <c r="BZ507" s="1" t="s">
        <v>9780</v>
      </c>
      <c r="CA507" s="1" t="str">
        <f>HYPERLINK("https%3A%2F%2Fwww.webofscience.com%2Fwos%2Fwoscc%2Ffull-record%2FWOS:000853701800001","View Full Record in Web of Science")</f>
        <v>View Full Record in Web of Science</v>
      </c>
    </row>
    <row r="508" s="1" customFormat="1" ht="14.4" spans="1:79">
      <c r="A508">
        <v>507</v>
      </c>
      <c r="B508" s="2" t="s">
        <v>79</v>
      </c>
      <c r="C508" s="1" t="s">
        <v>80</v>
      </c>
      <c r="D508" s="1" t="s">
        <v>9781</v>
      </c>
      <c r="E508" s="1" t="s">
        <v>82</v>
      </c>
      <c r="F508" s="1" t="s">
        <v>82</v>
      </c>
      <c r="G508" s="1" t="s">
        <v>82</v>
      </c>
      <c r="H508" s="1" t="s">
        <v>9782</v>
      </c>
      <c r="I508" s="1" t="s">
        <v>82</v>
      </c>
      <c r="J508" s="1" t="s">
        <v>82</v>
      </c>
      <c r="K508" s="1" t="s">
        <v>9783</v>
      </c>
      <c r="L508" s="1" t="s">
        <v>9723</v>
      </c>
      <c r="M508" s="1">
        <v>3.167</v>
      </c>
      <c r="O508" s="1" t="s">
        <v>82</v>
      </c>
      <c r="P508" s="1" t="s">
        <v>82</v>
      </c>
      <c r="Q508" s="1" t="s">
        <v>87</v>
      </c>
      <c r="R508" s="1" t="s">
        <v>115</v>
      </c>
      <c r="S508" s="1" t="s">
        <v>82</v>
      </c>
      <c r="T508" s="1" t="s">
        <v>82</v>
      </c>
      <c r="U508" s="1" t="s">
        <v>82</v>
      </c>
      <c r="V508" s="1" t="s">
        <v>82</v>
      </c>
      <c r="W508" s="1" t="s">
        <v>82</v>
      </c>
      <c r="X508" s="1" t="s">
        <v>9784</v>
      </c>
      <c r="Y508" s="1" t="s">
        <v>9785</v>
      </c>
      <c r="Z508" s="1" t="s">
        <v>9786</v>
      </c>
      <c r="AB508" s="1" t="s">
        <v>2712</v>
      </c>
      <c r="AC508" s="1" t="s">
        <v>9787</v>
      </c>
      <c r="AD508" s="1" t="s">
        <v>206</v>
      </c>
      <c r="AE508" s="1" t="s">
        <v>9788</v>
      </c>
      <c r="AF508" s="1" t="s">
        <v>9789</v>
      </c>
      <c r="AG508" s="1" t="s">
        <v>2748</v>
      </c>
      <c r="AH508" s="1" t="s">
        <v>82</v>
      </c>
      <c r="AI508" s="1" t="s">
        <v>82</v>
      </c>
      <c r="AJ508" s="1" t="s">
        <v>9790</v>
      </c>
      <c r="AK508" s="1" t="s">
        <v>9791</v>
      </c>
      <c r="AL508" s="1" t="s">
        <v>9792</v>
      </c>
      <c r="AM508" s="1" t="s">
        <v>82</v>
      </c>
      <c r="AN508" s="1">
        <v>60</v>
      </c>
      <c r="AO508" s="1">
        <v>1</v>
      </c>
      <c r="AP508" s="1">
        <v>1</v>
      </c>
      <c r="AQ508" s="1">
        <v>10</v>
      </c>
      <c r="AR508" s="1">
        <v>23</v>
      </c>
      <c r="AS508" s="1" t="s">
        <v>1002</v>
      </c>
      <c r="AT508" s="1" t="s">
        <v>1003</v>
      </c>
      <c r="AU508" s="1" t="s">
        <v>1004</v>
      </c>
      <c r="AV508" s="1" t="s">
        <v>9736</v>
      </c>
      <c r="AW508" s="1" t="s">
        <v>82</v>
      </c>
      <c r="AX508" s="1" t="s">
        <v>82</v>
      </c>
      <c r="AY508" s="1" t="s">
        <v>9737</v>
      </c>
      <c r="AZ508" s="1" t="s">
        <v>9738</v>
      </c>
      <c r="BA508" s="1" t="s">
        <v>397</v>
      </c>
      <c r="BB508" s="1">
        <v>2022</v>
      </c>
      <c r="BC508" s="1">
        <v>12</v>
      </c>
      <c r="BD508" s="1">
        <v>2</v>
      </c>
      <c r="BE508" s="1" t="s">
        <v>82</v>
      </c>
      <c r="BF508" s="1" t="s">
        <v>82</v>
      </c>
      <c r="BG508" s="1" t="s">
        <v>82</v>
      </c>
      <c r="BH508" s="1" t="s">
        <v>82</v>
      </c>
      <c r="BI508" s="1" t="s">
        <v>82</v>
      </c>
      <c r="BJ508" s="1" t="s">
        <v>82</v>
      </c>
      <c r="BK508" s="1" t="s">
        <v>9793</v>
      </c>
      <c r="BL508" s="1" t="s">
        <v>9794</v>
      </c>
      <c r="BM508" s="1" t="str">
        <f>HYPERLINK("http://dx.doi.org/10.1002/ece3.8544","http://dx.doi.org/10.1002/ece3.8544")</f>
        <v>http://dx.doi.org/10.1002/ece3.8544</v>
      </c>
      <c r="BN508" s="1" t="s">
        <v>82</v>
      </c>
      <c r="BO508" s="1" t="s">
        <v>82</v>
      </c>
      <c r="BP508" s="1">
        <v>10</v>
      </c>
      <c r="BQ508" s="1" t="s">
        <v>9741</v>
      </c>
      <c r="BR508" s="1" t="s">
        <v>104</v>
      </c>
      <c r="BS508" s="1" t="s">
        <v>9742</v>
      </c>
      <c r="BT508" s="1" t="s">
        <v>9795</v>
      </c>
      <c r="BU508" s="1">
        <v>35154648</v>
      </c>
      <c r="BV508" s="1" t="s">
        <v>2436</v>
      </c>
      <c r="BW508" s="1" t="s">
        <v>82</v>
      </c>
      <c r="BX508" s="1" t="s">
        <v>82</v>
      </c>
      <c r="BY508" s="1" t="s">
        <v>108</v>
      </c>
      <c r="BZ508" s="1" t="s">
        <v>9796</v>
      </c>
      <c r="CA508" s="1" t="str">
        <f>HYPERLINK("https%3A%2F%2Fwww.webofscience.com%2Fwos%2Fwoscc%2Ffull-record%2FWOS:000760366500074","View Full Record in Web of Science")</f>
        <v>View Full Record in Web of Science</v>
      </c>
    </row>
    <row r="509" s="1" customFormat="1" ht="14.4" spans="1:79">
      <c r="A509">
        <v>508</v>
      </c>
      <c r="B509" s="2" t="s">
        <v>79</v>
      </c>
      <c r="C509" s="1" t="s">
        <v>80</v>
      </c>
      <c r="D509" s="1" t="s">
        <v>9797</v>
      </c>
      <c r="E509" s="1" t="s">
        <v>82</v>
      </c>
      <c r="F509" s="1" t="s">
        <v>82</v>
      </c>
      <c r="G509" s="1" t="s">
        <v>82</v>
      </c>
      <c r="H509" s="1" t="s">
        <v>9798</v>
      </c>
      <c r="I509" s="1" t="s">
        <v>82</v>
      </c>
      <c r="J509" s="1" t="s">
        <v>82</v>
      </c>
      <c r="K509" s="1" t="s">
        <v>9799</v>
      </c>
      <c r="L509" s="1" t="s">
        <v>9800</v>
      </c>
      <c r="M509" s="1">
        <v>3.139</v>
      </c>
      <c r="O509" s="1" t="s">
        <v>82</v>
      </c>
      <c r="P509" s="1" t="s">
        <v>82</v>
      </c>
      <c r="Q509" s="1" t="s">
        <v>87</v>
      </c>
      <c r="R509" s="1" t="s">
        <v>115</v>
      </c>
      <c r="S509" s="1" t="s">
        <v>82</v>
      </c>
      <c r="T509" s="1" t="s">
        <v>82</v>
      </c>
      <c r="U509" s="1" t="s">
        <v>82</v>
      </c>
      <c r="V509" s="1" t="s">
        <v>82</v>
      </c>
      <c r="W509" s="1" t="s">
        <v>82</v>
      </c>
      <c r="X509" s="1" t="s">
        <v>9801</v>
      </c>
      <c r="Y509" s="1" t="s">
        <v>9802</v>
      </c>
      <c r="Z509" s="1" t="s">
        <v>9803</v>
      </c>
      <c r="AB509" s="1" t="s">
        <v>9804</v>
      </c>
      <c r="AC509" s="1" t="s">
        <v>9805</v>
      </c>
      <c r="AD509" s="1" t="s">
        <v>120</v>
      </c>
      <c r="AE509" s="1" t="s">
        <v>9806</v>
      </c>
      <c r="AF509" s="1" t="s">
        <v>9807</v>
      </c>
      <c r="AG509" s="1" t="s">
        <v>9808</v>
      </c>
      <c r="AH509" s="1" t="s">
        <v>82</v>
      </c>
      <c r="AI509" s="1" t="s">
        <v>9809</v>
      </c>
      <c r="AJ509" s="1" t="s">
        <v>82</v>
      </c>
      <c r="AK509" s="1" t="s">
        <v>82</v>
      </c>
      <c r="AL509" s="1" t="s">
        <v>82</v>
      </c>
      <c r="AM509" s="1" t="s">
        <v>82</v>
      </c>
      <c r="AN509" s="1">
        <v>58</v>
      </c>
      <c r="AO509" s="1">
        <v>0</v>
      </c>
      <c r="AP509" s="1">
        <v>0</v>
      </c>
      <c r="AQ509" s="1">
        <v>0</v>
      </c>
      <c r="AR509" s="1">
        <v>0</v>
      </c>
      <c r="AS509" s="1" t="s">
        <v>2117</v>
      </c>
      <c r="AT509" s="1" t="s">
        <v>2118</v>
      </c>
      <c r="AU509" s="1" t="s">
        <v>2119</v>
      </c>
      <c r="AV509" s="1" t="s">
        <v>82</v>
      </c>
      <c r="AW509" s="1" t="s">
        <v>9810</v>
      </c>
      <c r="AX509" s="1" t="s">
        <v>82</v>
      </c>
      <c r="AY509" s="1" t="s">
        <v>9800</v>
      </c>
      <c r="AZ509" s="1" t="s">
        <v>9811</v>
      </c>
      <c r="BA509" s="1" t="s">
        <v>486</v>
      </c>
      <c r="BB509" s="1">
        <v>2022</v>
      </c>
      <c r="BC509" s="1">
        <v>13</v>
      </c>
      <c r="BD509" s="1">
        <v>11</v>
      </c>
      <c r="BE509" s="1" t="s">
        <v>82</v>
      </c>
      <c r="BF509" s="1" t="s">
        <v>82</v>
      </c>
      <c r="BG509" s="1" t="s">
        <v>82</v>
      </c>
      <c r="BH509" s="1" t="s">
        <v>82</v>
      </c>
      <c r="BI509" s="1" t="s">
        <v>82</v>
      </c>
      <c r="BJ509" s="1" t="s">
        <v>82</v>
      </c>
      <c r="BK509" s="1">
        <v>1054</v>
      </c>
      <c r="BL509" s="1" t="s">
        <v>9812</v>
      </c>
      <c r="BM509" s="1" t="str">
        <f>HYPERLINK("http://dx.doi.org/10.3390/insects13111054","http://dx.doi.org/10.3390/insects13111054")</f>
        <v>http://dx.doi.org/10.3390/insects13111054</v>
      </c>
      <c r="BN509" s="1" t="s">
        <v>82</v>
      </c>
      <c r="BO509" s="1" t="s">
        <v>82</v>
      </c>
      <c r="BP509" s="1">
        <v>13</v>
      </c>
      <c r="BQ509" s="1" t="s">
        <v>3600</v>
      </c>
      <c r="BR509" s="1" t="s">
        <v>104</v>
      </c>
      <c r="BS509" s="1" t="s">
        <v>3600</v>
      </c>
      <c r="BT509" s="1" t="s">
        <v>9813</v>
      </c>
      <c r="BU509" s="1">
        <v>36421956</v>
      </c>
      <c r="BV509" s="1" t="s">
        <v>592</v>
      </c>
      <c r="BW509" s="1" t="s">
        <v>82</v>
      </c>
      <c r="BX509" s="1" t="s">
        <v>82</v>
      </c>
      <c r="BY509" s="1" t="s">
        <v>108</v>
      </c>
      <c r="BZ509" s="1" t="s">
        <v>9814</v>
      </c>
      <c r="CA509" s="1" t="str">
        <f>HYPERLINK("https%3A%2F%2Fwww.webofscience.com%2Fwos%2Fwoscc%2Ffull-record%2FWOS:000895171100001","View Full Record in Web of Science")</f>
        <v>View Full Record in Web of Science</v>
      </c>
    </row>
    <row r="510" s="1" customFormat="1" ht="14.4" spans="1:79">
      <c r="A510">
        <v>509</v>
      </c>
      <c r="B510" s="2" t="s">
        <v>79</v>
      </c>
      <c r="C510" s="1" t="s">
        <v>80</v>
      </c>
      <c r="D510" s="1" t="s">
        <v>9815</v>
      </c>
      <c r="E510" s="1" t="s">
        <v>82</v>
      </c>
      <c r="F510" s="1" t="s">
        <v>82</v>
      </c>
      <c r="G510" s="1" t="s">
        <v>82</v>
      </c>
      <c r="H510" s="1" t="s">
        <v>9816</v>
      </c>
      <c r="I510" s="1" t="s">
        <v>82</v>
      </c>
      <c r="J510" s="1" t="s">
        <v>82</v>
      </c>
      <c r="K510" s="1" t="s">
        <v>9817</v>
      </c>
      <c r="L510" s="1" t="s">
        <v>9818</v>
      </c>
      <c r="M510" s="1">
        <v>3.111</v>
      </c>
      <c r="O510" s="1" t="s">
        <v>82</v>
      </c>
      <c r="P510" s="1" t="s">
        <v>82</v>
      </c>
      <c r="Q510" s="1" t="s">
        <v>87</v>
      </c>
      <c r="R510" s="1" t="s">
        <v>115</v>
      </c>
      <c r="S510" s="1" t="s">
        <v>82</v>
      </c>
      <c r="T510" s="1" t="s">
        <v>82</v>
      </c>
      <c r="U510" s="1" t="s">
        <v>82</v>
      </c>
      <c r="V510" s="1" t="s">
        <v>82</v>
      </c>
      <c r="W510" s="1" t="s">
        <v>82</v>
      </c>
      <c r="X510" s="1" t="s">
        <v>9819</v>
      </c>
      <c r="Y510" s="1" t="s">
        <v>9820</v>
      </c>
      <c r="Z510" s="1" t="s">
        <v>9821</v>
      </c>
      <c r="AA510" s="1">
        <v>1</v>
      </c>
      <c r="AB510" s="1" t="s">
        <v>9822</v>
      </c>
      <c r="AC510" s="1" t="s">
        <v>9823</v>
      </c>
      <c r="AD510" s="1" t="s">
        <v>93</v>
      </c>
      <c r="AE510" s="1" t="s">
        <v>9824</v>
      </c>
      <c r="AF510" s="1" t="s">
        <v>9825</v>
      </c>
      <c r="AG510" s="1" t="s">
        <v>9826</v>
      </c>
      <c r="AH510" s="1" t="s">
        <v>82</v>
      </c>
      <c r="AI510" s="1" t="s">
        <v>82</v>
      </c>
      <c r="AJ510" s="1" t="s">
        <v>9827</v>
      </c>
      <c r="AK510" s="1" t="s">
        <v>9828</v>
      </c>
      <c r="AL510" s="1" t="s">
        <v>9829</v>
      </c>
      <c r="AM510" s="1" t="s">
        <v>82</v>
      </c>
      <c r="AN510" s="1">
        <v>26</v>
      </c>
      <c r="AO510" s="1">
        <v>0</v>
      </c>
      <c r="AP510" s="1">
        <v>0</v>
      </c>
      <c r="AQ510" s="1">
        <v>2</v>
      </c>
      <c r="AR510" s="1">
        <v>2</v>
      </c>
      <c r="AS510" s="1" t="s">
        <v>9830</v>
      </c>
      <c r="AT510" s="1" t="s">
        <v>9831</v>
      </c>
      <c r="AU510" s="1" t="s">
        <v>9832</v>
      </c>
      <c r="AV510" s="1" t="s">
        <v>9833</v>
      </c>
      <c r="AW510" s="1" t="s">
        <v>9834</v>
      </c>
      <c r="AX510" s="1" t="s">
        <v>82</v>
      </c>
      <c r="AY510" s="1" t="s">
        <v>9818</v>
      </c>
      <c r="AZ510" s="1" t="s">
        <v>9835</v>
      </c>
      <c r="BA510" s="1" t="s">
        <v>2584</v>
      </c>
      <c r="BB510" s="1">
        <v>2022</v>
      </c>
      <c r="BC510" s="1" t="s">
        <v>82</v>
      </c>
      <c r="BD510" s="1">
        <v>92</v>
      </c>
      <c r="BE510" s="1" t="s">
        <v>82</v>
      </c>
      <c r="BF510" s="1" t="s">
        <v>82</v>
      </c>
      <c r="BG510" s="1" t="s">
        <v>82</v>
      </c>
      <c r="BH510" s="1" t="s">
        <v>82</v>
      </c>
      <c r="BI510" s="1">
        <v>45</v>
      </c>
      <c r="BJ510" s="1">
        <v>62</v>
      </c>
      <c r="BK510" s="1" t="s">
        <v>82</v>
      </c>
      <c r="BL510" s="1" t="s">
        <v>9836</v>
      </c>
      <c r="BM510" s="1" t="str">
        <f>HYPERLINK("http://dx.doi.org/10.3897/mycokeys.92.83939","http://dx.doi.org/10.3897/mycokeys.92.83939")</f>
        <v>http://dx.doi.org/10.3897/mycokeys.92.83939</v>
      </c>
      <c r="BN510" s="1" t="s">
        <v>82</v>
      </c>
      <c r="BO510" s="1" t="s">
        <v>82</v>
      </c>
      <c r="BP510" s="1">
        <v>18</v>
      </c>
      <c r="BQ510" s="1" t="s">
        <v>225</v>
      </c>
      <c r="BR510" s="1" t="s">
        <v>104</v>
      </c>
      <c r="BS510" s="1" t="s">
        <v>225</v>
      </c>
      <c r="BT510" s="1" t="s">
        <v>9837</v>
      </c>
      <c r="BU510" s="1" t="s">
        <v>82</v>
      </c>
      <c r="BV510" s="1" t="s">
        <v>592</v>
      </c>
      <c r="BW510" s="1" t="s">
        <v>82</v>
      </c>
      <c r="BX510" s="1" t="s">
        <v>82</v>
      </c>
      <c r="BY510" s="1" t="s">
        <v>108</v>
      </c>
      <c r="BZ510" s="1" t="s">
        <v>9838</v>
      </c>
      <c r="CA510" s="1" t="str">
        <f>HYPERLINK("https%3A%2F%2Fwww.webofscience.com%2Fwos%2Fwoscc%2Ffull-record%2FWOS:000847367900001","View Full Record in Web of Science")</f>
        <v>View Full Record in Web of Science</v>
      </c>
    </row>
    <row r="511" s="1" customFormat="1" ht="14.4" spans="1:79">
      <c r="A511">
        <v>510</v>
      </c>
      <c r="B511" s="2" t="s">
        <v>79</v>
      </c>
      <c r="C511" s="1" t="s">
        <v>80</v>
      </c>
      <c r="D511" s="1" t="s">
        <v>9839</v>
      </c>
      <c r="E511" s="1" t="s">
        <v>82</v>
      </c>
      <c r="F511" s="1" t="s">
        <v>82</v>
      </c>
      <c r="G511" s="1" t="s">
        <v>82</v>
      </c>
      <c r="H511" s="1" t="s">
        <v>9840</v>
      </c>
      <c r="I511" s="1" t="s">
        <v>82</v>
      </c>
      <c r="J511" s="1" t="s">
        <v>82</v>
      </c>
      <c r="K511" s="1" t="s">
        <v>9841</v>
      </c>
      <c r="L511" s="1" t="s">
        <v>9818</v>
      </c>
      <c r="M511" s="1">
        <v>3.111</v>
      </c>
      <c r="O511" s="1" t="s">
        <v>82</v>
      </c>
      <c r="P511" s="1" t="s">
        <v>82</v>
      </c>
      <c r="Q511" s="1" t="s">
        <v>87</v>
      </c>
      <c r="R511" s="1" t="s">
        <v>115</v>
      </c>
      <c r="S511" s="1" t="s">
        <v>82</v>
      </c>
      <c r="T511" s="1" t="s">
        <v>82</v>
      </c>
      <c r="U511" s="1" t="s">
        <v>82</v>
      </c>
      <c r="V511" s="1" t="s">
        <v>82</v>
      </c>
      <c r="W511" s="1" t="s">
        <v>82</v>
      </c>
      <c r="X511" s="1" t="s">
        <v>9842</v>
      </c>
      <c r="Y511" s="1" t="s">
        <v>9843</v>
      </c>
      <c r="Z511" s="1" t="s">
        <v>9844</v>
      </c>
      <c r="AB511" s="1" t="s">
        <v>9845</v>
      </c>
      <c r="AC511" s="1" t="s">
        <v>9846</v>
      </c>
      <c r="AD511" s="1" t="s">
        <v>120</v>
      </c>
      <c r="AE511" s="1" t="s">
        <v>9847</v>
      </c>
      <c r="AF511" s="1" t="s">
        <v>9848</v>
      </c>
      <c r="AG511" s="1" t="s">
        <v>9849</v>
      </c>
      <c r="AH511" s="1" t="s">
        <v>9850</v>
      </c>
      <c r="AI511" s="1" t="s">
        <v>9851</v>
      </c>
      <c r="AJ511" s="1" t="s">
        <v>9852</v>
      </c>
      <c r="AK511" s="1" t="s">
        <v>9853</v>
      </c>
      <c r="AL511" s="1" t="s">
        <v>9854</v>
      </c>
      <c r="AM511" s="1" t="s">
        <v>82</v>
      </c>
      <c r="AN511" s="1">
        <v>26</v>
      </c>
      <c r="AO511" s="1">
        <v>0</v>
      </c>
      <c r="AP511" s="1">
        <v>0</v>
      </c>
      <c r="AQ511" s="1">
        <v>0</v>
      </c>
      <c r="AR511" s="1">
        <v>0</v>
      </c>
      <c r="AS511" s="1" t="s">
        <v>9830</v>
      </c>
      <c r="AT511" s="1" t="s">
        <v>9831</v>
      </c>
      <c r="AU511" s="1" t="s">
        <v>9832</v>
      </c>
      <c r="AV511" s="1" t="s">
        <v>9833</v>
      </c>
      <c r="AW511" s="1" t="s">
        <v>9834</v>
      </c>
      <c r="AX511" s="1" t="s">
        <v>82</v>
      </c>
      <c r="AY511" s="1" t="s">
        <v>9818</v>
      </c>
      <c r="AZ511" s="1" t="s">
        <v>9835</v>
      </c>
      <c r="BA511" s="1" t="s">
        <v>9855</v>
      </c>
      <c r="BB511" s="1">
        <v>2022</v>
      </c>
      <c r="BC511" s="1" t="s">
        <v>82</v>
      </c>
      <c r="BD511" s="1">
        <v>86</v>
      </c>
      <c r="BE511" s="1" t="s">
        <v>82</v>
      </c>
      <c r="BF511" s="1" t="s">
        <v>82</v>
      </c>
      <c r="BG511" s="1" t="s">
        <v>82</v>
      </c>
      <c r="BH511" s="1" t="s">
        <v>82</v>
      </c>
      <c r="BI511" s="1">
        <v>1</v>
      </c>
      <c r="BJ511" s="1">
        <v>17</v>
      </c>
      <c r="BK511" s="1" t="s">
        <v>82</v>
      </c>
      <c r="BL511" s="1" t="s">
        <v>9856</v>
      </c>
      <c r="BM511" s="1" t="str">
        <f>HYPERLINK("http://dx.doi.org/10.3897/mycokeys.86.75801","http://dx.doi.org/10.3897/mycokeys.86.75801")</f>
        <v>http://dx.doi.org/10.3897/mycokeys.86.75801</v>
      </c>
      <c r="BN511" s="1" t="s">
        <v>82</v>
      </c>
      <c r="BO511" s="1" t="s">
        <v>82</v>
      </c>
      <c r="BP511" s="1">
        <v>17</v>
      </c>
      <c r="BQ511" s="1" t="s">
        <v>225</v>
      </c>
      <c r="BR511" s="1" t="s">
        <v>104</v>
      </c>
      <c r="BS511" s="1" t="s">
        <v>225</v>
      </c>
      <c r="BT511" s="1" t="s">
        <v>9857</v>
      </c>
      <c r="BU511" s="1">
        <v>35095303</v>
      </c>
      <c r="BV511" s="1" t="s">
        <v>592</v>
      </c>
      <c r="BW511" s="1" t="s">
        <v>82</v>
      </c>
      <c r="BX511" s="1" t="s">
        <v>82</v>
      </c>
      <c r="BY511" s="1" t="s">
        <v>108</v>
      </c>
      <c r="BZ511" s="1" t="s">
        <v>9858</v>
      </c>
      <c r="CA511" s="1" t="str">
        <f>HYPERLINK("https%3A%2F%2Fwww.webofscience.com%2Fwos%2Fwoscc%2Ffull-record%2FWOS:000742758600001","View Full Record in Web of Science")</f>
        <v>View Full Record in Web of Science</v>
      </c>
    </row>
    <row r="512" s="1" customFormat="1" ht="14.4" spans="1:79">
      <c r="A512">
        <v>511</v>
      </c>
      <c r="B512" s="2" t="s">
        <v>79</v>
      </c>
      <c r="C512" s="1" t="s">
        <v>80</v>
      </c>
      <c r="D512" s="1" t="s">
        <v>9859</v>
      </c>
      <c r="E512" s="1" t="s">
        <v>82</v>
      </c>
      <c r="F512" s="1" t="s">
        <v>82</v>
      </c>
      <c r="G512" s="1" t="s">
        <v>82</v>
      </c>
      <c r="H512" s="1" t="s">
        <v>9860</v>
      </c>
      <c r="I512" s="1" t="s">
        <v>82</v>
      </c>
      <c r="J512" s="1" t="s">
        <v>82</v>
      </c>
      <c r="K512" s="1" t="s">
        <v>9861</v>
      </c>
      <c r="L512" s="1" t="s">
        <v>9818</v>
      </c>
      <c r="M512" s="1">
        <v>3.111</v>
      </c>
      <c r="O512" s="1" t="s">
        <v>82</v>
      </c>
      <c r="P512" s="1" t="s">
        <v>82</v>
      </c>
      <c r="Q512" s="1" t="s">
        <v>87</v>
      </c>
      <c r="R512" s="1" t="s">
        <v>115</v>
      </c>
      <c r="S512" s="1" t="s">
        <v>82</v>
      </c>
      <c r="T512" s="1" t="s">
        <v>82</v>
      </c>
      <c r="U512" s="1" t="s">
        <v>82</v>
      </c>
      <c r="V512" s="1" t="s">
        <v>82</v>
      </c>
      <c r="W512" s="1" t="s">
        <v>82</v>
      </c>
      <c r="X512" s="1" t="s">
        <v>9862</v>
      </c>
      <c r="Y512" s="1" t="s">
        <v>82</v>
      </c>
      <c r="Z512" s="1" t="s">
        <v>9863</v>
      </c>
      <c r="AB512" s="1" t="s">
        <v>9864</v>
      </c>
      <c r="AC512" s="1" t="s">
        <v>9865</v>
      </c>
      <c r="AD512" s="1" t="s">
        <v>120</v>
      </c>
      <c r="AE512" s="1" t="s">
        <v>9866</v>
      </c>
      <c r="AF512" s="1" t="s">
        <v>9867</v>
      </c>
      <c r="AG512" s="1" t="s">
        <v>9868</v>
      </c>
      <c r="AH512" s="1" t="s">
        <v>82</v>
      </c>
      <c r="AI512" s="1" t="s">
        <v>9869</v>
      </c>
      <c r="AJ512" s="1" t="s">
        <v>9870</v>
      </c>
      <c r="AK512" s="1" t="s">
        <v>8673</v>
      </c>
      <c r="AL512" s="1" t="s">
        <v>9871</v>
      </c>
      <c r="AM512" s="1" t="s">
        <v>82</v>
      </c>
      <c r="AN512" s="1">
        <v>28</v>
      </c>
      <c r="AO512" s="1">
        <v>0</v>
      </c>
      <c r="AP512" s="1">
        <v>0</v>
      </c>
      <c r="AQ512" s="1">
        <v>3</v>
      </c>
      <c r="AR512" s="1">
        <v>4</v>
      </c>
      <c r="AS512" s="1" t="s">
        <v>9830</v>
      </c>
      <c r="AT512" s="1" t="s">
        <v>9831</v>
      </c>
      <c r="AU512" s="1" t="s">
        <v>9832</v>
      </c>
      <c r="AV512" s="1" t="s">
        <v>9833</v>
      </c>
      <c r="AW512" s="1" t="s">
        <v>9834</v>
      </c>
      <c r="AX512" s="1" t="s">
        <v>82</v>
      </c>
      <c r="AY512" s="1" t="s">
        <v>9818</v>
      </c>
      <c r="AZ512" s="1" t="s">
        <v>9835</v>
      </c>
      <c r="BA512" s="1" t="s">
        <v>9872</v>
      </c>
      <c r="BB512" s="1">
        <v>2022</v>
      </c>
      <c r="BC512" s="1" t="s">
        <v>82</v>
      </c>
      <c r="BD512" s="1">
        <v>89</v>
      </c>
      <c r="BE512" s="1" t="s">
        <v>82</v>
      </c>
      <c r="BF512" s="1" t="s">
        <v>82</v>
      </c>
      <c r="BG512" s="1" t="s">
        <v>82</v>
      </c>
      <c r="BH512" s="1" t="s">
        <v>82</v>
      </c>
      <c r="BI512" s="1">
        <v>155</v>
      </c>
      <c r="BJ512" s="1">
        <v>169</v>
      </c>
      <c r="BK512" s="1" t="s">
        <v>82</v>
      </c>
      <c r="BL512" s="1" t="s">
        <v>9873</v>
      </c>
      <c r="BM512" s="1" t="str">
        <f>HYPERLINK("http://dx.doi.org/10.3897/mycokeys.89.83197","http://dx.doi.org/10.3897/mycokeys.89.83197")</f>
        <v>http://dx.doi.org/10.3897/mycokeys.89.83197</v>
      </c>
      <c r="BN512" s="1" t="s">
        <v>82</v>
      </c>
      <c r="BO512" s="1" t="s">
        <v>82</v>
      </c>
      <c r="BP512" s="1">
        <v>15</v>
      </c>
      <c r="BQ512" s="1" t="s">
        <v>225</v>
      </c>
      <c r="BR512" s="1" t="s">
        <v>104</v>
      </c>
      <c r="BS512" s="1" t="s">
        <v>225</v>
      </c>
      <c r="BT512" s="1" t="s">
        <v>9874</v>
      </c>
      <c r="BU512" s="1" t="s">
        <v>82</v>
      </c>
      <c r="BV512" s="1" t="s">
        <v>635</v>
      </c>
      <c r="BW512" s="1" t="s">
        <v>82</v>
      </c>
      <c r="BX512" s="1" t="s">
        <v>82</v>
      </c>
      <c r="BY512" s="1" t="s">
        <v>108</v>
      </c>
      <c r="BZ512" s="1" t="s">
        <v>9875</v>
      </c>
      <c r="CA512" s="1" t="str">
        <f>HYPERLINK("https%3A%2F%2Fwww.webofscience.com%2Fwos%2Fwoscc%2Ffull-record%2FWOS:000796838900001","View Full Record in Web of Science")</f>
        <v>View Full Record in Web of Science</v>
      </c>
    </row>
    <row r="513" s="1" customFormat="1" ht="14.4" spans="1:79">
      <c r="A513">
        <v>512</v>
      </c>
      <c r="B513" s="2" t="s">
        <v>79</v>
      </c>
      <c r="C513" s="1" t="s">
        <v>80</v>
      </c>
      <c r="D513" s="1" t="s">
        <v>9876</v>
      </c>
      <c r="E513" s="1" t="s">
        <v>82</v>
      </c>
      <c r="F513" s="1" t="s">
        <v>82</v>
      </c>
      <c r="G513" s="1" t="s">
        <v>82</v>
      </c>
      <c r="H513" s="1" t="s">
        <v>9877</v>
      </c>
      <c r="I513" s="1" t="s">
        <v>82</v>
      </c>
      <c r="J513" s="1" t="s">
        <v>82</v>
      </c>
      <c r="K513" s="1" t="s">
        <v>9878</v>
      </c>
      <c r="L513" s="1" t="s">
        <v>9818</v>
      </c>
      <c r="M513" s="1">
        <v>3.111</v>
      </c>
      <c r="O513" s="1" t="s">
        <v>82</v>
      </c>
      <c r="P513" s="1" t="s">
        <v>82</v>
      </c>
      <c r="Q513" s="1" t="s">
        <v>87</v>
      </c>
      <c r="R513" s="1" t="s">
        <v>115</v>
      </c>
      <c r="S513" s="1" t="s">
        <v>82</v>
      </c>
      <c r="T513" s="1" t="s">
        <v>82</v>
      </c>
      <c r="U513" s="1" t="s">
        <v>82</v>
      </c>
      <c r="V513" s="1" t="s">
        <v>82</v>
      </c>
      <c r="W513" s="1" t="s">
        <v>82</v>
      </c>
      <c r="X513" s="1" t="s">
        <v>9879</v>
      </c>
      <c r="Y513" s="1" t="s">
        <v>9880</v>
      </c>
      <c r="Z513" s="1" t="s">
        <v>9881</v>
      </c>
      <c r="AB513" s="1" t="s">
        <v>9882</v>
      </c>
      <c r="AC513" s="1" t="s">
        <v>9883</v>
      </c>
      <c r="AD513" s="1" t="s">
        <v>206</v>
      </c>
      <c r="AE513" s="1" t="s">
        <v>9884</v>
      </c>
      <c r="AF513" s="1" t="s">
        <v>9885</v>
      </c>
      <c r="AG513" s="1" t="s">
        <v>9886</v>
      </c>
      <c r="AH513" s="1" t="s">
        <v>82</v>
      </c>
      <c r="AI513" s="1" t="s">
        <v>9887</v>
      </c>
      <c r="AJ513" s="1" t="s">
        <v>9888</v>
      </c>
      <c r="AK513" s="1" t="s">
        <v>9889</v>
      </c>
      <c r="AL513" s="1" t="s">
        <v>9890</v>
      </c>
      <c r="AM513" s="1" t="s">
        <v>82</v>
      </c>
      <c r="AN513" s="1">
        <v>27</v>
      </c>
      <c r="AO513" s="1">
        <v>0</v>
      </c>
      <c r="AP513" s="1">
        <v>0</v>
      </c>
      <c r="AQ513" s="1">
        <v>6</v>
      </c>
      <c r="AR513" s="1">
        <v>7</v>
      </c>
      <c r="AS513" s="1" t="s">
        <v>9830</v>
      </c>
      <c r="AT513" s="1" t="s">
        <v>9831</v>
      </c>
      <c r="AU513" s="1" t="s">
        <v>9832</v>
      </c>
      <c r="AV513" s="1" t="s">
        <v>9833</v>
      </c>
      <c r="AW513" s="1" t="s">
        <v>9834</v>
      </c>
      <c r="AX513" s="1" t="s">
        <v>82</v>
      </c>
      <c r="AY513" s="1" t="s">
        <v>9818</v>
      </c>
      <c r="AZ513" s="1" t="s">
        <v>9835</v>
      </c>
      <c r="BA513" s="1" t="s">
        <v>1593</v>
      </c>
      <c r="BB513" s="1">
        <v>2022</v>
      </c>
      <c r="BC513" s="1" t="s">
        <v>82</v>
      </c>
      <c r="BD513" s="1">
        <v>87</v>
      </c>
      <c r="BE513" s="1" t="s">
        <v>82</v>
      </c>
      <c r="BF513" s="1" t="s">
        <v>82</v>
      </c>
      <c r="BG513" s="1" t="s">
        <v>82</v>
      </c>
      <c r="BH513" s="1" t="s">
        <v>82</v>
      </c>
      <c r="BI513" s="1">
        <v>99</v>
      </c>
      <c r="BJ513" s="1">
        <v>132</v>
      </c>
      <c r="BK513" s="1" t="s">
        <v>82</v>
      </c>
      <c r="BL513" s="1" t="s">
        <v>9891</v>
      </c>
      <c r="BM513" s="1" t="str">
        <f>HYPERLINK("http://dx.doi.org/10.3897/mycokeys.87.72614","http://dx.doi.org/10.3897/mycokeys.87.72614")</f>
        <v>http://dx.doi.org/10.3897/mycokeys.87.72614</v>
      </c>
      <c r="BN513" s="1" t="s">
        <v>82</v>
      </c>
      <c r="BO513" s="1" t="s">
        <v>82</v>
      </c>
      <c r="BP513" s="1">
        <v>34</v>
      </c>
      <c r="BQ513" s="1" t="s">
        <v>225</v>
      </c>
      <c r="BR513" s="1" t="s">
        <v>104</v>
      </c>
      <c r="BS513" s="1" t="s">
        <v>225</v>
      </c>
      <c r="BT513" s="1" t="s">
        <v>9892</v>
      </c>
      <c r="BU513" s="1">
        <v>35210924</v>
      </c>
      <c r="BV513" s="1" t="s">
        <v>9893</v>
      </c>
      <c r="BW513" s="1" t="s">
        <v>82</v>
      </c>
      <c r="BX513" s="1" t="s">
        <v>82</v>
      </c>
      <c r="BY513" s="1" t="s">
        <v>108</v>
      </c>
      <c r="BZ513" s="1" t="s">
        <v>9894</v>
      </c>
      <c r="CA513" s="1" t="str">
        <f>HYPERLINK("https%3A%2F%2Fwww.webofscience.com%2Fwos%2Fwoscc%2Ffull-record%2FWOS:000755784900001","View Full Record in Web of Science")</f>
        <v>View Full Record in Web of Science</v>
      </c>
    </row>
    <row r="514" s="1" customFormat="1" ht="14.4" spans="1:79">
      <c r="A514">
        <v>513</v>
      </c>
      <c r="B514" s="2" t="s">
        <v>79</v>
      </c>
      <c r="C514" s="1" t="s">
        <v>80</v>
      </c>
      <c r="D514" s="1" t="s">
        <v>9895</v>
      </c>
      <c r="E514" s="1" t="s">
        <v>82</v>
      </c>
      <c r="F514" s="1" t="s">
        <v>82</v>
      </c>
      <c r="G514" s="1" t="s">
        <v>82</v>
      </c>
      <c r="H514" s="1" t="s">
        <v>9896</v>
      </c>
      <c r="I514" s="1" t="s">
        <v>82</v>
      </c>
      <c r="J514" s="1" t="s">
        <v>82</v>
      </c>
      <c r="K514" s="1" t="s">
        <v>9897</v>
      </c>
      <c r="L514" s="1" t="s">
        <v>9818</v>
      </c>
      <c r="M514" s="1">
        <v>3.111</v>
      </c>
      <c r="O514" s="1" t="s">
        <v>82</v>
      </c>
      <c r="P514" s="1" t="s">
        <v>82</v>
      </c>
      <c r="Q514" s="1" t="s">
        <v>87</v>
      </c>
      <c r="R514" s="1" t="s">
        <v>115</v>
      </c>
      <c r="S514" s="1" t="s">
        <v>82</v>
      </c>
      <c r="T514" s="1" t="s">
        <v>82</v>
      </c>
      <c r="U514" s="1" t="s">
        <v>82</v>
      </c>
      <c r="V514" s="1" t="s">
        <v>82</v>
      </c>
      <c r="W514" s="1" t="s">
        <v>82</v>
      </c>
      <c r="X514" s="1" t="s">
        <v>9898</v>
      </c>
      <c r="Y514" s="1" t="s">
        <v>9899</v>
      </c>
      <c r="Z514" s="1" t="s">
        <v>9900</v>
      </c>
      <c r="AB514" s="1" t="s">
        <v>9901</v>
      </c>
      <c r="AC514" s="1" t="s">
        <v>9902</v>
      </c>
      <c r="AD514" s="1" t="s">
        <v>206</v>
      </c>
      <c r="AE514" s="1" t="s">
        <v>9903</v>
      </c>
      <c r="AF514" s="1" t="s">
        <v>9904</v>
      </c>
      <c r="AG514" s="1" t="s">
        <v>9905</v>
      </c>
      <c r="AH514" s="1" t="s">
        <v>9906</v>
      </c>
      <c r="AI514" s="1" t="s">
        <v>9907</v>
      </c>
      <c r="AJ514" s="1" t="s">
        <v>9908</v>
      </c>
      <c r="AK514" s="1" t="s">
        <v>9909</v>
      </c>
      <c r="AL514" s="1" t="s">
        <v>9910</v>
      </c>
      <c r="AM514" s="1" t="s">
        <v>82</v>
      </c>
      <c r="AN514" s="1">
        <v>56</v>
      </c>
      <c r="AO514" s="1">
        <v>3</v>
      </c>
      <c r="AP514" s="1">
        <v>3</v>
      </c>
      <c r="AQ514" s="1">
        <v>1</v>
      </c>
      <c r="AR514" s="1">
        <v>3</v>
      </c>
      <c r="AS514" s="1" t="s">
        <v>9830</v>
      </c>
      <c r="AT514" s="1" t="s">
        <v>9831</v>
      </c>
      <c r="AU514" s="1" t="s">
        <v>9832</v>
      </c>
      <c r="AV514" s="1" t="s">
        <v>9833</v>
      </c>
      <c r="AW514" s="1" t="s">
        <v>9834</v>
      </c>
      <c r="AX514" s="1" t="s">
        <v>82</v>
      </c>
      <c r="AY514" s="1" t="s">
        <v>9818</v>
      </c>
      <c r="AZ514" s="1" t="s">
        <v>9835</v>
      </c>
      <c r="BA514" s="1" t="s">
        <v>9911</v>
      </c>
      <c r="BB514" s="1">
        <v>2022</v>
      </c>
      <c r="BC514" s="1" t="s">
        <v>82</v>
      </c>
      <c r="BD514" s="1">
        <v>86</v>
      </c>
      <c r="BE514" s="1" t="s">
        <v>82</v>
      </c>
      <c r="BF514" s="1" t="s">
        <v>82</v>
      </c>
      <c r="BG514" s="1" t="s">
        <v>82</v>
      </c>
      <c r="BH514" s="1" t="s">
        <v>82</v>
      </c>
      <c r="BI514" s="1">
        <v>65</v>
      </c>
      <c r="BJ514" s="1">
        <v>85</v>
      </c>
      <c r="BK514" s="1" t="s">
        <v>82</v>
      </c>
      <c r="BL514" s="1" t="s">
        <v>9912</v>
      </c>
      <c r="BM514" s="1" t="str">
        <f>HYPERLINK("http://dx.doi.org/10.3897/mycokeys.86.70668","http://dx.doi.org/10.3897/mycokeys.86.70668")</f>
        <v>http://dx.doi.org/10.3897/mycokeys.86.70668</v>
      </c>
      <c r="BN514" s="1" t="s">
        <v>82</v>
      </c>
      <c r="BO514" s="1" t="s">
        <v>82</v>
      </c>
      <c r="BP514" s="1">
        <v>21</v>
      </c>
      <c r="BQ514" s="1" t="s">
        <v>225</v>
      </c>
      <c r="BR514" s="1" t="s">
        <v>104</v>
      </c>
      <c r="BS514" s="1" t="s">
        <v>225</v>
      </c>
      <c r="BT514" s="1" t="s">
        <v>9913</v>
      </c>
      <c r="BU514" s="1">
        <v>35095305</v>
      </c>
      <c r="BV514" s="1" t="s">
        <v>635</v>
      </c>
      <c r="BW514" s="1" t="s">
        <v>82</v>
      </c>
      <c r="BX514" s="1" t="s">
        <v>82</v>
      </c>
      <c r="BY514" s="1" t="s">
        <v>108</v>
      </c>
      <c r="BZ514" s="1" t="s">
        <v>9914</v>
      </c>
      <c r="CA514" s="1" t="str">
        <f>HYPERLINK("https%3A%2F%2Fwww.webofscience.com%2Fwos%2Fwoscc%2Ffull-record%2FWOS:000750234900002","View Full Record in Web of Science")</f>
        <v>View Full Record in Web of Science</v>
      </c>
    </row>
    <row r="515" s="1" customFormat="1" ht="14.4" spans="1:79">
      <c r="A515">
        <v>514</v>
      </c>
      <c r="B515" s="2" t="s">
        <v>79</v>
      </c>
      <c r="C515" s="1" t="s">
        <v>80</v>
      </c>
      <c r="D515" s="1" t="s">
        <v>9915</v>
      </c>
      <c r="E515" s="1" t="s">
        <v>82</v>
      </c>
      <c r="F515" s="1" t="s">
        <v>82</v>
      </c>
      <c r="G515" s="1" t="s">
        <v>82</v>
      </c>
      <c r="H515" s="1" t="s">
        <v>9916</v>
      </c>
      <c r="I515" s="1" t="s">
        <v>82</v>
      </c>
      <c r="J515" s="1" t="s">
        <v>82</v>
      </c>
      <c r="K515" s="1" t="s">
        <v>9917</v>
      </c>
      <c r="L515" s="1" t="s">
        <v>9918</v>
      </c>
      <c r="M515" s="1">
        <v>3.109</v>
      </c>
      <c r="O515" s="1" t="s">
        <v>82</v>
      </c>
      <c r="P515" s="1" t="s">
        <v>82</v>
      </c>
      <c r="Q515" s="1" t="s">
        <v>87</v>
      </c>
      <c r="R515" s="1" t="s">
        <v>115</v>
      </c>
      <c r="S515" s="1" t="s">
        <v>82</v>
      </c>
      <c r="T515" s="1" t="s">
        <v>82</v>
      </c>
      <c r="U515" s="1" t="s">
        <v>82</v>
      </c>
      <c r="V515" s="1" t="s">
        <v>82</v>
      </c>
      <c r="W515" s="1" t="s">
        <v>82</v>
      </c>
      <c r="X515" s="1" t="s">
        <v>9919</v>
      </c>
      <c r="Y515" s="1" t="s">
        <v>9920</v>
      </c>
      <c r="Z515" s="1" t="s">
        <v>9921</v>
      </c>
      <c r="AA515" s="1">
        <v>1</v>
      </c>
      <c r="AB515" s="1" t="s">
        <v>9922</v>
      </c>
      <c r="AC515" s="1" t="s">
        <v>9923</v>
      </c>
      <c r="AD515" s="1" t="s">
        <v>93</v>
      </c>
      <c r="AE515" s="1" t="s">
        <v>1673</v>
      </c>
      <c r="AF515" s="1" t="s">
        <v>9924</v>
      </c>
      <c r="AG515" s="1" t="s">
        <v>8671</v>
      </c>
      <c r="AH515" s="1" t="s">
        <v>82</v>
      </c>
      <c r="AI515" s="1" t="s">
        <v>82</v>
      </c>
      <c r="AJ515" s="1" t="s">
        <v>9925</v>
      </c>
      <c r="AK515" s="1" t="s">
        <v>9926</v>
      </c>
      <c r="AL515" s="1" t="s">
        <v>9927</v>
      </c>
      <c r="AM515" s="1" t="s">
        <v>82</v>
      </c>
      <c r="AN515" s="1">
        <v>101</v>
      </c>
      <c r="AO515" s="1">
        <v>3</v>
      </c>
      <c r="AP515" s="1">
        <v>3</v>
      </c>
      <c r="AQ515" s="1">
        <v>4</v>
      </c>
      <c r="AR515" s="1">
        <v>10</v>
      </c>
      <c r="AS515" s="1" t="s">
        <v>215</v>
      </c>
      <c r="AT515" s="1" t="s">
        <v>6669</v>
      </c>
      <c r="AU515" s="1" t="s">
        <v>6670</v>
      </c>
      <c r="AV515" s="1" t="s">
        <v>9928</v>
      </c>
      <c r="AW515" s="1" t="s">
        <v>9929</v>
      </c>
      <c r="AX515" s="1" t="s">
        <v>82</v>
      </c>
      <c r="AY515" s="1" t="s">
        <v>9918</v>
      </c>
      <c r="AZ515" s="1" t="s">
        <v>9930</v>
      </c>
      <c r="BA515" s="1" t="s">
        <v>2145</v>
      </c>
      <c r="BB515" s="1">
        <v>2022</v>
      </c>
      <c r="BC515" s="1">
        <v>86</v>
      </c>
      <c r="BD515" s="1">
        <v>2</v>
      </c>
      <c r="BE515" s="1" t="s">
        <v>82</v>
      </c>
      <c r="BF515" s="1" t="s">
        <v>82</v>
      </c>
      <c r="BG515" s="1" t="s">
        <v>82</v>
      </c>
      <c r="BH515" s="1" t="s">
        <v>82</v>
      </c>
      <c r="BI515" s="1">
        <v>187</v>
      </c>
      <c r="BJ515" s="1">
        <v>204</v>
      </c>
      <c r="BK515" s="1" t="s">
        <v>82</v>
      </c>
      <c r="BL515" s="1" t="s">
        <v>9931</v>
      </c>
      <c r="BM515" s="1" t="str">
        <f>HYPERLINK("http://dx.doi.org/10.1007/s13199-022-00832-5","http://dx.doi.org/10.1007/s13199-022-00832-5")</f>
        <v>http://dx.doi.org/10.1007/s13199-022-00832-5</v>
      </c>
      <c r="BN515" s="1" t="s">
        <v>82</v>
      </c>
      <c r="BO515" s="1" t="s">
        <v>282</v>
      </c>
      <c r="BP515" s="1">
        <v>18</v>
      </c>
      <c r="BQ515" s="1" t="s">
        <v>1662</v>
      </c>
      <c r="BR515" s="1" t="s">
        <v>104</v>
      </c>
      <c r="BS515" s="1" t="s">
        <v>1662</v>
      </c>
      <c r="BT515" s="1" t="s">
        <v>9932</v>
      </c>
      <c r="BU515" s="1" t="s">
        <v>82</v>
      </c>
      <c r="BV515" s="1" t="s">
        <v>82</v>
      </c>
      <c r="BW515" s="1" t="s">
        <v>82</v>
      </c>
      <c r="BX515" s="1" t="s">
        <v>82</v>
      </c>
      <c r="BY515" s="1" t="s">
        <v>108</v>
      </c>
      <c r="BZ515" s="1" t="s">
        <v>9933</v>
      </c>
      <c r="CA515" s="1" t="str">
        <f>HYPERLINK("https%3A%2F%2Fwww.webofscience.com%2Fwos%2Fwoscc%2Ffull-record%2FWOS:000767693900001","View Full Record in Web of Science")</f>
        <v>View Full Record in Web of Science</v>
      </c>
    </row>
    <row r="516" s="1" customFormat="1" ht="14.4" spans="1:79">
      <c r="A516">
        <v>515</v>
      </c>
      <c r="B516" s="2" t="s">
        <v>79</v>
      </c>
      <c r="C516" s="1" t="s">
        <v>80</v>
      </c>
      <c r="D516" s="1" t="s">
        <v>9934</v>
      </c>
      <c r="E516" s="1" t="s">
        <v>82</v>
      </c>
      <c r="F516" s="1" t="s">
        <v>82</v>
      </c>
      <c r="G516" s="1" t="s">
        <v>82</v>
      </c>
      <c r="H516" s="1" t="s">
        <v>9935</v>
      </c>
      <c r="I516" s="1" t="s">
        <v>82</v>
      </c>
      <c r="J516" s="1" t="s">
        <v>82</v>
      </c>
      <c r="K516" s="1" t="s">
        <v>9936</v>
      </c>
      <c r="L516" s="1" t="s">
        <v>9937</v>
      </c>
      <c r="M516" s="1">
        <v>3.092</v>
      </c>
      <c r="O516" s="1" t="s">
        <v>82</v>
      </c>
      <c r="P516" s="1" t="s">
        <v>82</v>
      </c>
      <c r="Q516" s="1" t="s">
        <v>87</v>
      </c>
      <c r="R516" s="1" t="s">
        <v>1624</v>
      </c>
      <c r="S516" s="1" t="s">
        <v>82</v>
      </c>
      <c r="T516" s="1" t="s">
        <v>82</v>
      </c>
      <c r="U516" s="1" t="s">
        <v>82</v>
      </c>
      <c r="V516" s="1" t="s">
        <v>82</v>
      </c>
      <c r="W516" s="1" t="s">
        <v>82</v>
      </c>
      <c r="X516" s="1" t="s">
        <v>9938</v>
      </c>
      <c r="Y516" s="1" t="s">
        <v>9939</v>
      </c>
      <c r="Z516" s="1" t="s">
        <v>9940</v>
      </c>
      <c r="AB516" s="1" t="s">
        <v>9941</v>
      </c>
      <c r="AC516" s="1" t="s">
        <v>9942</v>
      </c>
      <c r="AD516" s="1" t="s">
        <v>206</v>
      </c>
      <c r="AE516" s="1" t="s">
        <v>4752</v>
      </c>
      <c r="AF516" s="1" t="s">
        <v>9943</v>
      </c>
      <c r="AG516" s="1" t="s">
        <v>9944</v>
      </c>
      <c r="AH516" s="1" t="s">
        <v>82</v>
      </c>
      <c r="AI516" s="1" t="s">
        <v>82</v>
      </c>
      <c r="AJ516" s="1" t="s">
        <v>9945</v>
      </c>
      <c r="AK516" s="1" t="s">
        <v>9946</v>
      </c>
      <c r="AL516" s="1" t="s">
        <v>9947</v>
      </c>
      <c r="AM516" s="1" t="s">
        <v>82</v>
      </c>
      <c r="AN516" s="1">
        <v>75</v>
      </c>
      <c r="AO516" s="1">
        <v>0</v>
      </c>
      <c r="AP516" s="1">
        <v>0</v>
      </c>
      <c r="AQ516" s="1">
        <v>2</v>
      </c>
      <c r="AR516" s="1">
        <v>2</v>
      </c>
      <c r="AS516" s="1" t="s">
        <v>215</v>
      </c>
      <c r="AT516" s="1" t="s">
        <v>6669</v>
      </c>
      <c r="AU516" s="1" t="s">
        <v>6670</v>
      </c>
      <c r="AV516" s="1" t="s">
        <v>9948</v>
      </c>
      <c r="AW516" s="1" t="s">
        <v>9949</v>
      </c>
      <c r="AX516" s="1" t="s">
        <v>82</v>
      </c>
      <c r="AY516" s="1" t="s">
        <v>9950</v>
      </c>
      <c r="AZ516" s="1" t="s">
        <v>9951</v>
      </c>
      <c r="BA516" s="1" t="s">
        <v>82</v>
      </c>
      <c r="BB516" s="1" t="s">
        <v>82</v>
      </c>
      <c r="BC516" s="1" t="s">
        <v>82</v>
      </c>
      <c r="BD516" s="1" t="s">
        <v>82</v>
      </c>
      <c r="BE516" s="1" t="s">
        <v>82</v>
      </c>
      <c r="BF516" s="1" t="s">
        <v>82</v>
      </c>
      <c r="BG516" s="1" t="s">
        <v>82</v>
      </c>
      <c r="BH516" s="1" t="s">
        <v>82</v>
      </c>
      <c r="BI516" s="1" t="s">
        <v>82</v>
      </c>
      <c r="BJ516" s="1" t="s">
        <v>82</v>
      </c>
      <c r="BK516" s="1" t="s">
        <v>82</v>
      </c>
      <c r="BL516" s="1" t="s">
        <v>9952</v>
      </c>
      <c r="BM516" s="1" t="str">
        <f>HYPERLINK("http://dx.doi.org/10.1007/s10592-022-01500-3","http://dx.doi.org/10.1007/s10592-022-01500-3")</f>
        <v>http://dx.doi.org/10.1007/s10592-022-01500-3</v>
      </c>
      <c r="BN516" s="1" t="s">
        <v>82</v>
      </c>
      <c r="BO516" s="1" t="s">
        <v>1618</v>
      </c>
      <c r="BP516" s="1">
        <v>13</v>
      </c>
      <c r="BQ516" s="1" t="s">
        <v>9953</v>
      </c>
      <c r="BR516" s="1" t="s">
        <v>104</v>
      </c>
      <c r="BS516" s="1" t="s">
        <v>9954</v>
      </c>
      <c r="BT516" s="1" t="s">
        <v>9955</v>
      </c>
      <c r="BU516" s="1" t="s">
        <v>82</v>
      </c>
      <c r="BV516" s="1" t="s">
        <v>82</v>
      </c>
      <c r="BW516" s="1" t="s">
        <v>82</v>
      </c>
      <c r="BX516" s="1" t="s">
        <v>82</v>
      </c>
      <c r="BY516" s="1" t="s">
        <v>108</v>
      </c>
      <c r="BZ516" s="1" t="s">
        <v>9956</v>
      </c>
      <c r="CA516" s="1" t="str">
        <f>HYPERLINK("https%3A%2F%2Fwww.webofscience.com%2Fwos%2Fwoscc%2Ffull-record%2FWOS:000906114200001","View Full Record in Web of Science")</f>
        <v>View Full Record in Web of Science</v>
      </c>
    </row>
    <row r="517" s="1" customFormat="1" ht="14.4" spans="1:79">
      <c r="A517">
        <v>516</v>
      </c>
      <c r="B517" s="2" t="s">
        <v>79</v>
      </c>
      <c r="C517" s="1" t="s">
        <v>80</v>
      </c>
      <c r="D517" s="1" t="s">
        <v>9957</v>
      </c>
      <c r="E517" s="1" t="s">
        <v>82</v>
      </c>
      <c r="F517" s="1" t="s">
        <v>82</v>
      </c>
      <c r="G517" s="1" t="s">
        <v>82</v>
      </c>
      <c r="H517" s="1" t="s">
        <v>9958</v>
      </c>
      <c r="I517" s="1" t="s">
        <v>82</v>
      </c>
      <c r="J517" s="1" t="s">
        <v>82</v>
      </c>
      <c r="K517" s="1" t="s">
        <v>9959</v>
      </c>
      <c r="L517" s="1" t="s">
        <v>9960</v>
      </c>
      <c r="M517" s="1">
        <v>3.029</v>
      </c>
      <c r="O517" s="1" t="s">
        <v>82</v>
      </c>
      <c r="P517" s="1" t="s">
        <v>82</v>
      </c>
      <c r="Q517" s="1" t="s">
        <v>87</v>
      </c>
      <c r="R517" s="1" t="s">
        <v>115</v>
      </c>
      <c r="S517" s="1" t="s">
        <v>82</v>
      </c>
      <c r="T517" s="1" t="s">
        <v>82</v>
      </c>
      <c r="U517" s="1" t="s">
        <v>82</v>
      </c>
      <c r="V517" s="1" t="s">
        <v>82</v>
      </c>
      <c r="W517" s="1" t="s">
        <v>82</v>
      </c>
      <c r="X517" s="1" t="s">
        <v>9961</v>
      </c>
      <c r="Y517" s="1" t="s">
        <v>9962</v>
      </c>
      <c r="Z517" s="1" t="s">
        <v>9963</v>
      </c>
      <c r="AB517" s="1" t="s">
        <v>7132</v>
      </c>
      <c r="AC517" s="1" t="s">
        <v>9964</v>
      </c>
      <c r="AD517" s="1" t="s">
        <v>120</v>
      </c>
      <c r="AE517" s="1" t="s">
        <v>9965</v>
      </c>
      <c r="AF517" s="1" t="s">
        <v>9966</v>
      </c>
      <c r="AG517" s="1" t="s">
        <v>9967</v>
      </c>
      <c r="AH517" s="1" t="s">
        <v>82</v>
      </c>
      <c r="AI517" s="1" t="s">
        <v>82</v>
      </c>
      <c r="AJ517" s="1" t="s">
        <v>9968</v>
      </c>
      <c r="AK517" s="1" t="s">
        <v>9968</v>
      </c>
      <c r="AL517" s="1" t="s">
        <v>9969</v>
      </c>
      <c r="AM517" s="1" t="s">
        <v>82</v>
      </c>
      <c r="AN517" s="1">
        <v>54</v>
      </c>
      <c r="AO517" s="1">
        <v>0</v>
      </c>
      <c r="AP517" s="1">
        <v>0</v>
      </c>
      <c r="AQ517" s="1">
        <v>0</v>
      </c>
      <c r="AR517" s="1">
        <v>0</v>
      </c>
      <c r="AS517" s="1" t="s">
        <v>2117</v>
      </c>
      <c r="AT517" s="1" t="s">
        <v>2118</v>
      </c>
      <c r="AU517" s="1" t="s">
        <v>2119</v>
      </c>
      <c r="AV517" s="1" t="s">
        <v>82</v>
      </c>
      <c r="AW517" s="1" t="s">
        <v>9970</v>
      </c>
      <c r="AX517" s="1" t="s">
        <v>82</v>
      </c>
      <c r="AY517" s="1" t="s">
        <v>9960</v>
      </c>
      <c r="AZ517" s="1" t="s">
        <v>9971</v>
      </c>
      <c r="BA517" s="1" t="s">
        <v>2123</v>
      </c>
      <c r="BB517" s="1">
        <v>2022</v>
      </c>
      <c r="BC517" s="1">
        <v>14</v>
      </c>
      <c r="BD517" s="1">
        <v>12</v>
      </c>
      <c r="BE517" s="1" t="s">
        <v>82</v>
      </c>
      <c r="BF517" s="1" t="s">
        <v>82</v>
      </c>
      <c r="BG517" s="1" t="s">
        <v>82</v>
      </c>
      <c r="BH517" s="1" t="s">
        <v>82</v>
      </c>
      <c r="BI517" s="1" t="s">
        <v>82</v>
      </c>
      <c r="BJ517" s="1" t="s">
        <v>82</v>
      </c>
      <c r="BK517" s="1">
        <v>1065</v>
      </c>
      <c r="BL517" s="1" t="s">
        <v>9972</v>
      </c>
      <c r="BM517" s="1" t="str">
        <f>HYPERLINK("http://dx.doi.org/10.3390/d14121065","http://dx.doi.org/10.3390/d14121065")</f>
        <v>http://dx.doi.org/10.3390/d14121065</v>
      </c>
      <c r="BN517" s="1" t="s">
        <v>82</v>
      </c>
      <c r="BO517" s="1" t="s">
        <v>82</v>
      </c>
      <c r="BP517" s="1">
        <v>15</v>
      </c>
      <c r="BQ517" s="1" t="s">
        <v>2773</v>
      </c>
      <c r="BR517" s="1" t="s">
        <v>104</v>
      </c>
      <c r="BS517" s="1" t="s">
        <v>1011</v>
      </c>
      <c r="BT517" s="1" t="s">
        <v>9973</v>
      </c>
      <c r="BU517" s="1" t="s">
        <v>82</v>
      </c>
      <c r="BV517" s="1" t="s">
        <v>808</v>
      </c>
      <c r="BW517" s="1" t="s">
        <v>82</v>
      </c>
      <c r="BX517" s="1" t="s">
        <v>82</v>
      </c>
      <c r="BY517" s="1" t="s">
        <v>108</v>
      </c>
      <c r="BZ517" s="1" t="s">
        <v>9974</v>
      </c>
      <c r="CA517" s="1" t="str">
        <f>HYPERLINK("https%3A%2F%2Fwww.webofscience.com%2Fwos%2Fwoscc%2Ffull-record%2FWOS:000902577200001","View Full Record in Web of Science")</f>
        <v>View Full Record in Web of Science</v>
      </c>
    </row>
    <row r="518" s="1" customFormat="1" ht="14.4" spans="1:79">
      <c r="A518">
        <v>517</v>
      </c>
      <c r="B518" s="2" t="s">
        <v>79</v>
      </c>
      <c r="C518" s="1" t="s">
        <v>80</v>
      </c>
      <c r="D518" s="1" t="s">
        <v>9975</v>
      </c>
      <c r="E518" s="1" t="s">
        <v>82</v>
      </c>
      <c r="F518" s="1" t="s">
        <v>82</v>
      </c>
      <c r="G518" s="1" t="s">
        <v>82</v>
      </c>
      <c r="H518" s="1" t="s">
        <v>9976</v>
      </c>
      <c r="I518" s="1" t="s">
        <v>82</v>
      </c>
      <c r="J518" s="1" t="s">
        <v>82</v>
      </c>
      <c r="K518" s="1" t="s">
        <v>9977</v>
      </c>
      <c r="L518" s="1" t="s">
        <v>9960</v>
      </c>
      <c r="M518" s="1">
        <v>3.029</v>
      </c>
      <c r="O518" s="1" t="s">
        <v>82</v>
      </c>
      <c r="P518" s="1" t="s">
        <v>82</v>
      </c>
      <c r="Q518" s="1" t="s">
        <v>87</v>
      </c>
      <c r="R518" s="1" t="s">
        <v>115</v>
      </c>
      <c r="S518" s="1" t="s">
        <v>82</v>
      </c>
      <c r="T518" s="1" t="s">
        <v>82</v>
      </c>
      <c r="U518" s="1" t="s">
        <v>82</v>
      </c>
      <c r="V518" s="1" t="s">
        <v>82</v>
      </c>
      <c r="W518" s="1" t="s">
        <v>82</v>
      </c>
      <c r="X518" s="1" t="s">
        <v>9978</v>
      </c>
      <c r="Y518" s="1" t="s">
        <v>9979</v>
      </c>
      <c r="Z518" s="1" t="s">
        <v>9980</v>
      </c>
      <c r="AB518" s="1" t="s">
        <v>7459</v>
      </c>
      <c r="AC518" s="1" t="s">
        <v>9981</v>
      </c>
      <c r="AD518" s="1" t="s">
        <v>120</v>
      </c>
      <c r="AE518" s="1" t="s">
        <v>9982</v>
      </c>
      <c r="AF518" s="1" t="s">
        <v>9983</v>
      </c>
      <c r="AG518" s="1" t="s">
        <v>9984</v>
      </c>
      <c r="AH518" s="1" t="s">
        <v>9985</v>
      </c>
      <c r="AI518" s="1" t="s">
        <v>9986</v>
      </c>
      <c r="AJ518" s="1" t="s">
        <v>9987</v>
      </c>
      <c r="AK518" s="1" t="s">
        <v>9988</v>
      </c>
      <c r="AL518" s="1" t="s">
        <v>9989</v>
      </c>
      <c r="AM518" s="1" t="s">
        <v>82</v>
      </c>
      <c r="AN518" s="1">
        <v>68</v>
      </c>
      <c r="AO518" s="1">
        <v>0</v>
      </c>
      <c r="AP518" s="1">
        <v>0</v>
      </c>
      <c r="AQ518" s="1">
        <v>1</v>
      </c>
      <c r="AR518" s="1">
        <v>1</v>
      </c>
      <c r="AS518" s="1" t="s">
        <v>2117</v>
      </c>
      <c r="AT518" s="1" t="s">
        <v>2118</v>
      </c>
      <c r="AU518" s="1" t="s">
        <v>2119</v>
      </c>
      <c r="AV518" s="1" t="s">
        <v>82</v>
      </c>
      <c r="AW518" s="1" t="s">
        <v>9970</v>
      </c>
      <c r="AX518" s="1" t="s">
        <v>82</v>
      </c>
      <c r="AY518" s="1" t="s">
        <v>9960</v>
      </c>
      <c r="AZ518" s="1" t="s">
        <v>9971</v>
      </c>
      <c r="BA518" s="1" t="s">
        <v>486</v>
      </c>
      <c r="BB518" s="1">
        <v>2022</v>
      </c>
      <c r="BC518" s="1">
        <v>14</v>
      </c>
      <c r="BD518" s="1">
        <v>11</v>
      </c>
      <c r="BE518" s="1" t="s">
        <v>82</v>
      </c>
      <c r="BF518" s="1" t="s">
        <v>82</v>
      </c>
      <c r="BG518" s="1" t="s">
        <v>82</v>
      </c>
      <c r="BH518" s="1" t="s">
        <v>82</v>
      </c>
      <c r="BI518" s="1" t="s">
        <v>82</v>
      </c>
      <c r="BJ518" s="1" t="s">
        <v>82</v>
      </c>
      <c r="BK518" s="1">
        <v>918</v>
      </c>
      <c r="BL518" s="1" t="s">
        <v>9990</v>
      </c>
      <c r="BM518" s="1" t="str">
        <f>HYPERLINK("http://dx.doi.org/10.3390/d14110918","http://dx.doi.org/10.3390/d14110918")</f>
        <v>http://dx.doi.org/10.3390/d14110918</v>
      </c>
      <c r="BN518" s="1" t="s">
        <v>82</v>
      </c>
      <c r="BO518" s="1" t="s">
        <v>82</v>
      </c>
      <c r="BP518" s="1">
        <v>22</v>
      </c>
      <c r="BQ518" s="1" t="s">
        <v>2773</v>
      </c>
      <c r="BR518" s="1" t="s">
        <v>104</v>
      </c>
      <c r="BS518" s="1" t="s">
        <v>1011</v>
      </c>
      <c r="BT518" s="1" t="s">
        <v>9991</v>
      </c>
      <c r="BU518" s="1" t="s">
        <v>82</v>
      </c>
      <c r="BV518" s="1" t="s">
        <v>808</v>
      </c>
      <c r="BW518" s="1" t="s">
        <v>82</v>
      </c>
      <c r="BX518" s="1" t="s">
        <v>82</v>
      </c>
      <c r="BY518" s="1" t="s">
        <v>108</v>
      </c>
      <c r="BZ518" s="1" t="s">
        <v>9992</v>
      </c>
      <c r="CA518" s="1" t="str">
        <f>HYPERLINK("https%3A%2F%2Fwww.webofscience.com%2Fwos%2Fwoscc%2Ffull-record%2FWOS:000880906500001","View Full Record in Web of Science")</f>
        <v>View Full Record in Web of Science</v>
      </c>
    </row>
    <row r="519" s="1" customFormat="1" ht="14.4" spans="1:79">
      <c r="A519">
        <v>518</v>
      </c>
      <c r="B519" s="2" t="s">
        <v>79</v>
      </c>
      <c r="C519" s="1" t="s">
        <v>80</v>
      </c>
      <c r="D519" s="1" t="s">
        <v>9993</v>
      </c>
      <c r="E519" s="1" t="s">
        <v>82</v>
      </c>
      <c r="F519" s="1" t="s">
        <v>82</v>
      </c>
      <c r="G519" s="1" t="s">
        <v>82</v>
      </c>
      <c r="H519" s="1" t="s">
        <v>9994</v>
      </c>
      <c r="I519" s="1" t="s">
        <v>82</v>
      </c>
      <c r="J519" s="1" t="s">
        <v>82</v>
      </c>
      <c r="K519" s="1" t="s">
        <v>9995</v>
      </c>
      <c r="L519" s="1" t="s">
        <v>9960</v>
      </c>
      <c r="M519" s="1">
        <v>3.029</v>
      </c>
      <c r="O519" s="1" t="s">
        <v>82</v>
      </c>
      <c r="P519" s="1" t="s">
        <v>82</v>
      </c>
      <c r="Q519" s="1" t="s">
        <v>87</v>
      </c>
      <c r="R519" s="1" t="s">
        <v>115</v>
      </c>
      <c r="S519" s="1" t="s">
        <v>82</v>
      </c>
      <c r="T519" s="1" t="s">
        <v>82</v>
      </c>
      <c r="U519" s="1" t="s">
        <v>82</v>
      </c>
      <c r="V519" s="1" t="s">
        <v>82</v>
      </c>
      <c r="W519" s="1" t="s">
        <v>82</v>
      </c>
      <c r="X519" s="1" t="s">
        <v>9996</v>
      </c>
      <c r="Y519" s="1" t="s">
        <v>9997</v>
      </c>
      <c r="Z519" s="1" t="s">
        <v>9998</v>
      </c>
      <c r="AA519" s="1">
        <v>1</v>
      </c>
      <c r="AB519" s="1" t="s">
        <v>4402</v>
      </c>
      <c r="AC519" s="1" t="s">
        <v>9999</v>
      </c>
      <c r="AD519" s="1" t="s">
        <v>93</v>
      </c>
      <c r="AE519" s="1" t="s">
        <v>10000</v>
      </c>
      <c r="AF519" s="1" t="s">
        <v>10001</v>
      </c>
      <c r="AG519" s="1" t="s">
        <v>10002</v>
      </c>
      <c r="AH519" s="1" t="s">
        <v>82</v>
      </c>
      <c r="AI519" s="1" t="s">
        <v>82</v>
      </c>
      <c r="AJ519" s="1" t="s">
        <v>10003</v>
      </c>
      <c r="AK519" s="1" t="s">
        <v>10004</v>
      </c>
      <c r="AL519" s="1" t="s">
        <v>10005</v>
      </c>
      <c r="AM519" s="1" t="s">
        <v>82</v>
      </c>
      <c r="AN519" s="1">
        <v>36</v>
      </c>
      <c r="AO519" s="1">
        <v>0</v>
      </c>
      <c r="AP519" s="1">
        <v>0</v>
      </c>
      <c r="AQ519" s="1">
        <v>1</v>
      </c>
      <c r="AR519" s="1">
        <v>1</v>
      </c>
      <c r="AS519" s="1" t="s">
        <v>2117</v>
      </c>
      <c r="AT519" s="1" t="s">
        <v>2118</v>
      </c>
      <c r="AU519" s="1" t="s">
        <v>2119</v>
      </c>
      <c r="AV519" s="1" t="s">
        <v>82</v>
      </c>
      <c r="AW519" s="1" t="s">
        <v>9970</v>
      </c>
      <c r="AX519" s="1" t="s">
        <v>82</v>
      </c>
      <c r="AY519" s="1" t="s">
        <v>9960</v>
      </c>
      <c r="AZ519" s="1" t="s">
        <v>9971</v>
      </c>
      <c r="BA519" s="1" t="s">
        <v>1340</v>
      </c>
      <c r="BB519" s="1">
        <v>2022</v>
      </c>
      <c r="BC519" s="1">
        <v>14</v>
      </c>
      <c r="BD519" s="1">
        <v>10</v>
      </c>
      <c r="BE519" s="1" t="s">
        <v>82</v>
      </c>
      <c r="BF519" s="1" t="s">
        <v>82</v>
      </c>
      <c r="BG519" s="1" t="s">
        <v>82</v>
      </c>
      <c r="BH519" s="1" t="s">
        <v>82</v>
      </c>
      <c r="BI519" s="1" t="s">
        <v>82</v>
      </c>
      <c r="BJ519" s="1" t="s">
        <v>82</v>
      </c>
      <c r="BK519" s="1">
        <v>837</v>
      </c>
      <c r="BL519" s="1" t="s">
        <v>10006</v>
      </c>
      <c r="BM519" s="1" t="str">
        <f>HYPERLINK("http://dx.doi.org/10.3390/d14100837","http://dx.doi.org/10.3390/d14100837")</f>
        <v>http://dx.doi.org/10.3390/d14100837</v>
      </c>
      <c r="BN519" s="1" t="s">
        <v>82</v>
      </c>
      <c r="BO519" s="1" t="s">
        <v>82</v>
      </c>
      <c r="BP519" s="1">
        <v>11</v>
      </c>
      <c r="BQ519" s="1" t="s">
        <v>2773</v>
      </c>
      <c r="BR519" s="1" t="s">
        <v>104</v>
      </c>
      <c r="BS519" s="1" t="s">
        <v>1011</v>
      </c>
      <c r="BT519" s="1" t="s">
        <v>10007</v>
      </c>
      <c r="BU519" s="1" t="s">
        <v>82</v>
      </c>
      <c r="BV519" s="1" t="s">
        <v>808</v>
      </c>
      <c r="BW519" s="1" t="s">
        <v>82</v>
      </c>
      <c r="BX519" s="1" t="s">
        <v>82</v>
      </c>
      <c r="BY519" s="1" t="s">
        <v>108</v>
      </c>
      <c r="BZ519" s="1" t="s">
        <v>10008</v>
      </c>
      <c r="CA519" s="1" t="str">
        <f>HYPERLINK("https%3A%2F%2Fwww.webofscience.com%2Fwos%2Fwoscc%2Ffull-record%2FWOS:000872529400001","View Full Record in Web of Science")</f>
        <v>View Full Record in Web of Science</v>
      </c>
    </row>
    <row r="520" s="1" customFormat="1" ht="14.4" spans="1:79">
      <c r="A520">
        <v>519</v>
      </c>
      <c r="B520" s="2" t="s">
        <v>79</v>
      </c>
      <c r="C520" s="1" t="s">
        <v>80</v>
      </c>
      <c r="D520" s="1" t="s">
        <v>10009</v>
      </c>
      <c r="E520" s="1" t="s">
        <v>82</v>
      </c>
      <c r="F520" s="1" t="s">
        <v>82</v>
      </c>
      <c r="G520" s="1" t="s">
        <v>82</v>
      </c>
      <c r="H520" s="1" t="s">
        <v>10010</v>
      </c>
      <c r="I520" s="1" t="s">
        <v>82</v>
      </c>
      <c r="J520" s="1" t="s">
        <v>82</v>
      </c>
      <c r="K520" s="1" t="s">
        <v>10011</v>
      </c>
      <c r="L520" s="1" t="s">
        <v>9960</v>
      </c>
      <c r="M520" s="1">
        <v>3.029</v>
      </c>
      <c r="O520" s="1" t="s">
        <v>82</v>
      </c>
      <c r="P520" s="1" t="s">
        <v>82</v>
      </c>
      <c r="Q520" s="1" t="s">
        <v>87</v>
      </c>
      <c r="R520" s="1" t="s">
        <v>115</v>
      </c>
      <c r="S520" s="1" t="s">
        <v>82</v>
      </c>
      <c r="T520" s="1" t="s">
        <v>82</v>
      </c>
      <c r="U520" s="1" t="s">
        <v>82</v>
      </c>
      <c r="V520" s="1" t="s">
        <v>82</v>
      </c>
      <c r="W520" s="1" t="s">
        <v>82</v>
      </c>
      <c r="X520" s="1" t="s">
        <v>10012</v>
      </c>
      <c r="Y520" s="1" t="s">
        <v>10013</v>
      </c>
      <c r="Z520" s="1" t="s">
        <v>10014</v>
      </c>
      <c r="AB520" s="1" t="s">
        <v>10015</v>
      </c>
      <c r="AC520" s="1" t="s">
        <v>10016</v>
      </c>
      <c r="AD520" s="1" t="s">
        <v>206</v>
      </c>
      <c r="AE520" s="1" t="s">
        <v>10017</v>
      </c>
      <c r="AF520" s="1" t="s">
        <v>10018</v>
      </c>
      <c r="AG520" s="1" t="s">
        <v>10019</v>
      </c>
      <c r="AH520" s="1" t="s">
        <v>10020</v>
      </c>
      <c r="AI520" s="1" t="s">
        <v>10021</v>
      </c>
      <c r="AJ520" s="1" t="s">
        <v>10022</v>
      </c>
      <c r="AK520" s="1" t="s">
        <v>10023</v>
      </c>
      <c r="AL520" s="1" t="s">
        <v>10024</v>
      </c>
      <c r="AM520" s="1" t="s">
        <v>82</v>
      </c>
      <c r="AN520" s="1">
        <v>49</v>
      </c>
      <c r="AO520" s="1">
        <v>0</v>
      </c>
      <c r="AP520" s="1">
        <v>0</v>
      </c>
      <c r="AQ520" s="1">
        <v>2</v>
      </c>
      <c r="AR520" s="1">
        <v>2</v>
      </c>
      <c r="AS520" s="1" t="s">
        <v>2117</v>
      </c>
      <c r="AT520" s="1" t="s">
        <v>2118</v>
      </c>
      <c r="AU520" s="1" t="s">
        <v>2119</v>
      </c>
      <c r="AV520" s="1" t="s">
        <v>82</v>
      </c>
      <c r="AW520" s="1" t="s">
        <v>9970</v>
      </c>
      <c r="AX520" s="1" t="s">
        <v>82</v>
      </c>
      <c r="AY520" s="1" t="s">
        <v>9960</v>
      </c>
      <c r="AZ520" s="1" t="s">
        <v>9971</v>
      </c>
      <c r="BA520" s="1" t="s">
        <v>2521</v>
      </c>
      <c r="BB520" s="1">
        <v>2022</v>
      </c>
      <c r="BC520" s="1">
        <v>14</v>
      </c>
      <c r="BD520" s="1">
        <v>8</v>
      </c>
      <c r="BE520" s="1" t="s">
        <v>82</v>
      </c>
      <c r="BF520" s="1" t="s">
        <v>82</v>
      </c>
      <c r="BG520" s="1" t="s">
        <v>82</v>
      </c>
      <c r="BH520" s="1" t="s">
        <v>82</v>
      </c>
      <c r="BI520" s="1" t="s">
        <v>82</v>
      </c>
      <c r="BJ520" s="1" t="s">
        <v>82</v>
      </c>
      <c r="BK520" s="1">
        <v>645</v>
      </c>
      <c r="BL520" s="1" t="s">
        <v>10025</v>
      </c>
      <c r="BM520" s="1" t="str">
        <f>HYPERLINK("http://dx.doi.org/10.3390/d14080645","http://dx.doi.org/10.3390/d14080645")</f>
        <v>http://dx.doi.org/10.3390/d14080645</v>
      </c>
      <c r="BN520" s="1" t="s">
        <v>82</v>
      </c>
      <c r="BO520" s="1" t="s">
        <v>82</v>
      </c>
      <c r="BP520" s="1">
        <v>21</v>
      </c>
      <c r="BQ520" s="1" t="s">
        <v>2773</v>
      </c>
      <c r="BR520" s="1" t="s">
        <v>104</v>
      </c>
      <c r="BS520" s="1" t="s">
        <v>1011</v>
      </c>
      <c r="BT520" s="1" t="s">
        <v>10026</v>
      </c>
      <c r="BU520" s="1" t="s">
        <v>82</v>
      </c>
      <c r="BV520" s="1" t="s">
        <v>808</v>
      </c>
      <c r="BW520" s="1" t="s">
        <v>82</v>
      </c>
      <c r="BX520" s="1" t="s">
        <v>82</v>
      </c>
      <c r="BY520" s="1" t="s">
        <v>108</v>
      </c>
      <c r="BZ520" s="1" t="s">
        <v>10027</v>
      </c>
      <c r="CA520" s="1" t="str">
        <f>HYPERLINK("https%3A%2F%2Fwww.webofscience.com%2Fwos%2Fwoscc%2Ffull-record%2FWOS:000845985900001","View Full Record in Web of Science")</f>
        <v>View Full Record in Web of Science</v>
      </c>
    </row>
    <row r="521" s="1" customFormat="1" ht="14.4" spans="1:79">
      <c r="A521">
        <v>520</v>
      </c>
      <c r="B521" s="2" t="s">
        <v>79</v>
      </c>
      <c r="C521" s="1" t="s">
        <v>80</v>
      </c>
      <c r="D521" s="1" t="s">
        <v>10028</v>
      </c>
      <c r="E521" s="1" t="s">
        <v>82</v>
      </c>
      <c r="F521" s="1" t="s">
        <v>82</v>
      </c>
      <c r="G521" s="1" t="s">
        <v>82</v>
      </c>
      <c r="H521" s="1" t="s">
        <v>10029</v>
      </c>
      <c r="I521" s="1" t="s">
        <v>82</v>
      </c>
      <c r="J521" s="1" t="s">
        <v>82</v>
      </c>
      <c r="K521" s="1" t="s">
        <v>10030</v>
      </c>
      <c r="L521" s="1" t="s">
        <v>9960</v>
      </c>
      <c r="M521" s="1">
        <v>3.029</v>
      </c>
      <c r="O521" s="1" t="s">
        <v>82</v>
      </c>
      <c r="P521" s="1" t="s">
        <v>82</v>
      </c>
      <c r="Q521" s="1" t="s">
        <v>87</v>
      </c>
      <c r="R521" s="1" t="s">
        <v>115</v>
      </c>
      <c r="S521" s="1" t="s">
        <v>82</v>
      </c>
      <c r="T521" s="1" t="s">
        <v>82</v>
      </c>
      <c r="U521" s="1" t="s">
        <v>82</v>
      </c>
      <c r="V521" s="1" t="s">
        <v>82</v>
      </c>
      <c r="W521" s="1" t="s">
        <v>82</v>
      </c>
      <c r="X521" s="1" t="s">
        <v>10031</v>
      </c>
      <c r="Y521" s="1" t="s">
        <v>10032</v>
      </c>
      <c r="Z521" s="1" t="s">
        <v>10033</v>
      </c>
      <c r="AB521" s="1" t="s">
        <v>10034</v>
      </c>
      <c r="AC521" s="1" t="s">
        <v>10035</v>
      </c>
      <c r="AD521" s="1" t="s">
        <v>206</v>
      </c>
      <c r="AE521" s="1" t="s">
        <v>10036</v>
      </c>
      <c r="AF521" s="1" t="s">
        <v>10037</v>
      </c>
      <c r="AG521" s="1" t="s">
        <v>10038</v>
      </c>
      <c r="AH521" s="1" t="s">
        <v>10039</v>
      </c>
      <c r="AI521" s="1" t="s">
        <v>10040</v>
      </c>
      <c r="AJ521" s="1" t="s">
        <v>10041</v>
      </c>
      <c r="AK521" s="1" t="s">
        <v>10042</v>
      </c>
      <c r="AL521" s="1" t="s">
        <v>10043</v>
      </c>
      <c r="AM521" s="1" t="s">
        <v>82</v>
      </c>
      <c r="AN521" s="1">
        <v>77</v>
      </c>
      <c r="AO521" s="1">
        <v>0</v>
      </c>
      <c r="AP521" s="1">
        <v>0</v>
      </c>
      <c r="AQ521" s="1">
        <v>5</v>
      </c>
      <c r="AR521" s="1">
        <v>5</v>
      </c>
      <c r="AS521" s="1" t="s">
        <v>2117</v>
      </c>
      <c r="AT521" s="1" t="s">
        <v>2118</v>
      </c>
      <c r="AU521" s="1" t="s">
        <v>2119</v>
      </c>
      <c r="AV521" s="1" t="s">
        <v>82</v>
      </c>
      <c r="AW521" s="1" t="s">
        <v>9970</v>
      </c>
      <c r="AX521" s="1" t="s">
        <v>82</v>
      </c>
      <c r="AY521" s="1" t="s">
        <v>9960</v>
      </c>
      <c r="AZ521" s="1" t="s">
        <v>9971</v>
      </c>
      <c r="BA521" s="1" t="s">
        <v>2521</v>
      </c>
      <c r="BB521" s="1">
        <v>2022</v>
      </c>
      <c r="BC521" s="1">
        <v>14</v>
      </c>
      <c r="BD521" s="1">
        <v>8</v>
      </c>
      <c r="BE521" s="1" t="s">
        <v>82</v>
      </c>
      <c r="BF521" s="1" t="s">
        <v>82</v>
      </c>
      <c r="BG521" s="1" t="s">
        <v>82</v>
      </c>
      <c r="BH521" s="1" t="s">
        <v>82</v>
      </c>
      <c r="BI521" s="1" t="s">
        <v>82</v>
      </c>
      <c r="BJ521" s="1" t="s">
        <v>82</v>
      </c>
      <c r="BK521" s="1">
        <v>666</v>
      </c>
      <c r="BL521" s="1" t="s">
        <v>10044</v>
      </c>
      <c r="BM521" s="1" t="str">
        <f>HYPERLINK("http://dx.doi.org/10.3390/d14080666","http://dx.doi.org/10.3390/d14080666")</f>
        <v>http://dx.doi.org/10.3390/d14080666</v>
      </c>
      <c r="BN521" s="1" t="s">
        <v>82</v>
      </c>
      <c r="BO521" s="1" t="s">
        <v>82</v>
      </c>
      <c r="BP521" s="1">
        <v>16</v>
      </c>
      <c r="BQ521" s="1" t="s">
        <v>2773</v>
      </c>
      <c r="BR521" s="1" t="s">
        <v>104</v>
      </c>
      <c r="BS521" s="1" t="s">
        <v>1011</v>
      </c>
      <c r="BT521" s="1" t="s">
        <v>10045</v>
      </c>
      <c r="BU521" s="1" t="s">
        <v>82</v>
      </c>
      <c r="BV521" s="1" t="s">
        <v>808</v>
      </c>
      <c r="BW521" s="1" t="s">
        <v>82</v>
      </c>
      <c r="BX521" s="1" t="s">
        <v>82</v>
      </c>
      <c r="BY521" s="1" t="s">
        <v>108</v>
      </c>
      <c r="BZ521" s="1" t="s">
        <v>10046</v>
      </c>
      <c r="CA521" s="1" t="str">
        <f>HYPERLINK("https%3A%2F%2Fwww.webofscience.com%2Fwos%2Fwoscc%2Ffull-record%2FWOS:000847122400001","View Full Record in Web of Science")</f>
        <v>View Full Record in Web of Science</v>
      </c>
    </row>
    <row r="522" s="1" customFormat="1" ht="14.4" spans="1:79">
      <c r="A522">
        <v>521</v>
      </c>
      <c r="B522" s="2" t="s">
        <v>79</v>
      </c>
      <c r="C522" s="1" t="s">
        <v>80</v>
      </c>
      <c r="D522" s="1" t="s">
        <v>10047</v>
      </c>
      <c r="E522" s="1" t="s">
        <v>82</v>
      </c>
      <c r="F522" s="1" t="s">
        <v>82</v>
      </c>
      <c r="G522" s="1" t="s">
        <v>82</v>
      </c>
      <c r="H522" s="1" t="s">
        <v>10048</v>
      </c>
      <c r="I522" s="1" t="s">
        <v>82</v>
      </c>
      <c r="J522" s="1" t="s">
        <v>82</v>
      </c>
      <c r="K522" s="1" t="s">
        <v>10049</v>
      </c>
      <c r="L522" s="1" t="s">
        <v>9960</v>
      </c>
      <c r="M522" s="1">
        <v>3.029</v>
      </c>
      <c r="O522" s="1" t="s">
        <v>82</v>
      </c>
      <c r="P522" s="1" t="s">
        <v>82</v>
      </c>
      <c r="Q522" s="1" t="s">
        <v>87</v>
      </c>
      <c r="R522" s="1" t="s">
        <v>88</v>
      </c>
      <c r="S522" s="1" t="s">
        <v>82</v>
      </c>
      <c r="T522" s="1" t="s">
        <v>82</v>
      </c>
      <c r="U522" s="1" t="s">
        <v>82</v>
      </c>
      <c r="V522" s="1" t="s">
        <v>82</v>
      </c>
      <c r="W522" s="1" t="s">
        <v>82</v>
      </c>
      <c r="X522" s="1" t="s">
        <v>82</v>
      </c>
      <c r="Y522" s="1" t="s">
        <v>10050</v>
      </c>
      <c r="Z522" s="1" t="s">
        <v>82</v>
      </c>
      <c r="AB522" s="1" t="s">
        <v>10051</v>
      </c>
      <c r="AC522" s="1" t="s">
        <v>10052</v>
      </c>
      <c r="AD522" s="1" t="s">
        <v>120</v>
      </c>
      <c r="AE522" s="1" t="s">
        <v>10053</v>
      </c>
      <c r="AF522" s="1" t="s">
        <v>10054</v>
      </c>
      <c r="AG522" s="1" t="s">
        <v>10055</v>
      </c>
      <c r="AH522" s="1" t="s">
        <v>8688</v>
      </c>
      <c r="AI522" s="1" t="s">
        <v>10056</v>
      </c>
      <c r="AJ522" s="1" t="s">
        <v>10057</v>
      </c>
      <c r="AK522" s="1" t="s">
        <v>442</v>
      </c>
      <c r="AL522" s="1" t="s">
        <v>10058</v>
      </c>
      <c r="AM522" s="1" t="s">
        <v>82</v>
      </c>
      <c r="AN522" s="1">
        <v>25</v>
      </c>
      <c r="AO522" s="1">
        <v>1</v>
      </c>
      <c r="AP522" s="1">
        <v>1</v>
      </c>
      <c r="AQ522" s="1">
        <v>6</v>
      </c>
      <c r="AR522" s="1">
        <v>7</v>
      </c>
      <c r="AS522" s="1" t="s">
        <v>2117</v>
      </c>
      <c r="AT522" s="1" t="s">
        <v>2118</v>
      </c>
      <c r="AU522" s="1" t="s">
        <v>2119</v>
      </c>
      <c r="AV522" s="1" t="s">
        <v>82</v>
      </c>
      <c r="AW522" s="1" t="s">
        <v>9970</v>
      </c>
      <c r="AX522" s="1" t="s">
        <v>82</v>
      </c>
      <c r="AY522" s="1" t="s">
        <v>9960</v>
      </c>
      <c r="AZ522" s="1" t="s">
        <v>9971</v>
      </c>
      <c r="BA522" s="1" t="s">
        <v>1146</v>
      </c>
      <c r="BB522" s="1">
        <v>2022</v>
      </c>
      <c r="BC522" s="1">
        <v>14</v>
      </c>
      <c r="BD522" s="1">
        <v>6</v>
      </c>
      <c r="BE522" s="1" t="s">
        <v>82</v>
      </c>
      <c r="BF522" s="1" t="s">
        <v>82</v>
      </c>
      <c r="BG522" s="1" t="s">
        <v>82</v>
      </c>
      <c r="BH522" s="1" t="s">
        <v>82</v>
      </c>
      <c r="BI522" s="1" t="s">
        <v>82</v>
      </c>
      <c r="BJ522" s="1" t="s">
        <v>82</v>
      </c>
      <c r="BK522" s="1">
        <v>434</v>
      </c>
      <c r="BL522" s="1" t="s">
        <v>10059</v>
      </c>
      <c r="BM522" s="1" t="str">
        <f>HYPERLINK("http://dx.doi.org/10.3390/d14060434","http://dx.doi.org/10.3390/d14060434")</f>
        <v>http://dx.doi.org/10.3390/d14060434</v>
      </c>
      <c r="BN522" s="1" t="s">
        <v>82</v>
      </c>
      <c r="BO522" s="1" t="s">
        <v>82</v>
      </c>
      <c r="BP522" s="1">
        <v>3</v>
      </c>
      <c r="BQ522" s="1" t="s">
        <v>2773</v>
      </c>
      <c r="BR522" s="1" t="s">
        <v>104</v>
      </c>
      <c r="BS522" s="1" t="s">
        <v>1011</v>
      </c>
      <c r="BT522" s="1" t="s">
        <v>10060</v>
      </c>
      <c r="BU522" s="1" t="s">
        <v>82</v>
      </c>
      <c r="BV522" s="1" t="s">
        <v>3962</v>
      </c>
      <c r="BW522" s="1" t="s">
        <v>82</v>
      </c>
      <c r="BX522" s="1" t="s">
        <v>82</v>
      </c>
      <c r="BY522" s="1" t="s">
        <v>108</v>
      </c>
      <c r="BZ522" s="1" t="s">
        <v>10061</v>
      </c>
      <c r="CA522" s="1" t="str">
        <f>HYPERLINK("https%3A%2F%2Fwww.webofscience.com%2Fwos%2Fwoscc%2Ffull-record%2FWOS:000817565400001","View Full Record in Web of Science")</f>
        <v>View Full Record in Web of Science</v>
      </c>
    </row>
    <row r="523" s="1" customFormat="1" ht="14.4" spans="1:79">
      <c r="A523">
        <v>522</v>
      </c>
      <c r="B523" s="2" t="s">
        <v>79</v>
      </c>
      <c r="C523" s="1" t="s">
        <v>80</v>
      </c>
      <c r="D523" s="1" t="s">
        <v>10062</v>
      </c>
      <c r="E523" s="1" t="s">
        <v>82</v>
      </c>
      <c r="F523" s="1" t="s">
        <v>82</v>
      </c>
      <c r="G523" s="1" t="s">
        <v>82</v>
      </c>
      <c r="H523" s="1" t="s">
        <v>10063</v>
      </c>
      <c r="I523" s="1" t="s">
        <v>82</v>
      </c>
      <c r="J523" s="1" t="s">
        <v>82</v>
      </c>
      <c r="K523" s="1" t="s">
        <v>10064</v>
      </c>
      <c r="L523" s="1" t="s">
        <v>9960</v>
      </c>
      <c r="M523" s="1">
        <v>3.029</v>
      </c>
      <c r="O523" s="1" t="s">
        <v>82</v>
      </c>
      <c r="P523" s="1" t="s">
        <v>82</v>
      </c>
      <c r="Q523" s="1" t="s">
        <v>87</v>
      </c>
      <c r="R523" s="1" t="s">
        <v>115</v>
      </c>
      <c r="S523" s="1" t="s">
        <v>82</v>
      </c>
      <c r="T523" s="1" t="s">
        <v>82</v>
      </c>
      <c r="U523" s="1" t="s">
        <v>82</v>
      </c>
      <c r="V523" s="1" t="s">
        <v>82</v>
      </c>
      <c r="W523" s="1" t="s">
        <v>82</v>
      </c>
      <c r="X523" s="1" t="s">
        <v>10065</v>
      </c>
      <c r="Y523" s="1" t="s">
        <v>10066</v>
      </c>
      <c r="Z523" s="1" t="s">
        <v>10067</v>
      </c>
      <c r="AB523" s="1" t="s">
        <v>10068</v>
      </c>
      <c r="AC523" s="1" t="s">
        <v>10069</v>
      </c>
      <c r="AD523" s="1" t="s">
        <v>120</v>
      </c>
      <c r="AE523" s="1" t="s">
        <v>10070</v>
      </c>
      <c r="AF523" s="1" t="s">
        <v>10071</v>
      </c>
      <c r="AG523" s="1" t="s">
        <v>10072</v>
      </c>
      <c r="AH523" s="1" t="s">
        <v>82</v>
      </c>
      <c r="AI523" s="1" t="s">
        <v>10073</v>
      </c>
      <c r="AJ523" s="1" t="s">
        <v>10074</v>
      </c>
      <c r="AK523" s="1" t="s">
        <v>10075</v>
      </c>
      <c r="AL523" s="1" t="s">
        <v>10076</v>
      </c>
      <c r="AM523" s="1" t="s">
        <v>82</v>
      </c>
      <c r="AN523" s="1">
        <v>89</v>
      </c>
      <c r="AO523" s="1">
        <v>0</v>
      </c>
      <c r="AP523" s="1">
        <v>0</v>
      </c>
      <c r="AQ523" s="1">
        <v>2</v>
      </c>
      <c r="AR523" s="1">
        <v>4</v>
      </c>
      <c r="AS523" s="1" t="s">
        <v>2117</v>
      </c>
      <c r="AT523" s="1" t="s">
        <v>2118</v>
      </c>
      <c r="AU523" s="1" t="s">
        <v>2119</v>
      </c>
      <c r="AV523" s="1" t="s">
        <v>82</v>
      </c>
      <c r="AW523" s="1" t="s">
        <v>9970</v>
      </c>
      <c r="AX523" s="1" t="s">
        <v>82</v>
      </c>
      <c r="AY523" s="1" t="s">
        <v>9960</v>
      </c>
      <c r="AZ523" s="1" t="s">
        <v>9971</v>
      </c>
      <c r="BA523" s="1" t="s">
        <v>245</v>
      </c>
      <c r="BB523" s="1">
        <v>2022</v>
      </c>
      <c r="BC523" s="1">
        <v>14</v>
      </c>
      <c r="BD523" s="1">
        <v>5</v>
      </c>
      <c r="BE523" s="1" t="s">
        <v>82</v>
      </c>
      <c r="BF523" s="1" t="s">
        <v>82</v>
      </c>
      <c r="BG523" s="1" t="s">
        <v>82</v>
      </c>
      <c r="BH523" s="1" t="s">
        <v>82</v>
      </c>
      <c r="BI523" s="1" t="s">
        <v>82</v>
      </c>
      <c r="BJ523" s="1" t="s">
        <v>82</v>
      </c>
      <c r="BK523" s="1">
        <v>324</v>
      </c>
      <c r="BL523" s="1" t="s">
        <v>10077</v>
      </c>
      <c r="BM523" s="1" t="str">
        <f>HYPERLINK("http://dx.doi.org/10.3390/d14050324","http://dx.doi.org/10.3390/d14050324")</f>
        <v>http://dx.doi.org/10.3390/d14050324</v>
      </c>
      <c r="BN523" s="1" t="s">
        <v>82</v>
      </c>
      <c r="BO523" s="1" t="s">
        <v>82</v>
      </c>
      <c r="BP523" s="1">
        <v>19</v>
      </c>
      <c r="BQ523" s="1" t="s">
        <v>2773</v>
      </c>
      <c r="BR523" s="1" t="s">
        <v>104</v>
      </c>
      <c r="BS523" s="1" t="s">
        <v>1011</v>
      </c>
      <c r="BT523" s="1" t="s">
        <v>10078</v>
      </c>
      <c r="BU523" s="1" t="s">
        <v>82</v>
      </c>
      <c r="BV523" s="1" t="s">
        <v>808</v>
      </c>
      <c r="BW523" s="1" t="s">
        <v>82</v>
      </c>
      <c r="BX523" s="1" t="s">
        <v>82</v>
      </c>
      <c r="BY523" s="1" t="s">
        <v>108</v>
      </c>
      <c r="BZ523" s="1" t="s">
        <v>10079</v>
      </c>
      <c r="CA523" s="1" t="str">
        <f>HYPERLINK("https%3A%2F%2Fwww.webofscience.com%2Fwos%2Fwoscc%2Ffull-record%2FWOS:000804289200001","View Full Record in Web of Science")</f>
        <v>View Full Record in Web of Science</v>
      </c>
    </row>
    <row r="524" s="1" customFormat="1" ht="14.4" spans="1:79">
      <c r="A524">
        <v>523</v>
      </c>
      <c r="B524" s="2" t="s">
        <v>79</v>
      </c>
      <c r="C524" s="1" t="s">
        <v>80</v>
      </c>
      <c r="D524" s="1" t="s">
        <v>10080</v>
      </c>
      <c r="E524" s="1" t="s">
        <v>82</v>
      </c>
      <c r="F524" s="1" t="s">
        <v>82</v>
      </c>
      <c r="G524" s="1" t="s">
        <v>82</v>
      </c>
      <c r="H524" s="1" t="s">
        <v>10081</v>
      </c>
      <c r="I524" s="1" t="s">
        <v>82</v>
      </c>
      <c r="J524" s="1" t="s">
        <v>82</v>
      </c>
      <c r="K524" s="1" t="s">
        <v>10082</v>
      </c>
      <c r="L524" s="1" t="s">
        <v>9960</v>
      </c>
      <c r="M524" s="1">
        <v>3.029</v>
      </c>
      <c r="O524" s="1" t="s">
        <v>82</v>
      </c>
      <c r="P524" s="1" t="s">
        <v>82</v>
      </c>
      <c r="Q524" s="1" t="s">
        <v>87</v>
      </c>
      <c r="R524" s="1" t="s">
        <v>115</v>
      </c>
      <c r="S524" s="1" t="s">
        <v>82</v>
      </c>
      <c r="T524" s="1" t="s">
        <v>82</v>
      </c>
      <c r="U524" s="1" t="s">
        <v>82</v>
      </c>
      <c r="V524" s="1" t="s">
        <v>82</v>
      </c>
      <c r="W524" s="1" t="s">
        <v>82</v>
      </c>
      <c r="X524" s="1" t="s">
        <v>10083</v>
      </c>
      <c r="Y524" s="1" t="s">
        <v>10084</v>
      </c>
      <c r="Z524" s="1" t="s">
        <v>10085</v>
      </c>
      <c r="AA524" s="1">
        <v>1</v>
      </c>
      <c r="AB524" s="1" t="s">
        <v>10086</v>
      </c>
      <c r="AC524" s="1" t="s">
        <v>10087</v>
      </c>
      <c r="AD524" s="1" t="s">
        <v>93</v>
      </c>
      <c r="AE524" s="1" t="s">
        <v>10088</v>
      </c>
      <c r="AF524" s="1" t="s">
        <v>10089</v>
      </c>
      <c r="AG524" s="1" t="s">
        <v>10090</v>
      </c>
      <c r="AH524" s="1" t="s">
        <v>82</v>
      </c>
      <c r="AI524" s="1" t="s">
        <v>82</v>
      </c>
      <c r="AJ524" s="1" t="s">
        <v>10091</v>
      </c>
      <c r="AK524" s="1" t="s">
        <v>10092</v>
      </c>
      <c r="AL524" s="1" t="s">
        <v>10093</v>
      </c>
      <c r="AM524" s="1" t="s">
        <v>82</v>
      </c>
      <c r="AN524" s="1">
        <v>40</v>
      </c>
      <c r="AO524" s="1">
        <v>1</v>
      </c>
      <c r="AP524" s="1">
        <v>1</v>
      </c>
      <c r="AQ524" s="1">
        <v>6</v>
      </c>
      <c r="AR524" s="1">
        <v>7</v>
      </c>
      <c r="AS524" s="1" t="s">
        <v>2117</v>
      </c>
      <c r="AT524" s="1" t="s">
        <v>2118</v>
      </c>
      <c r="AU524" s="1" t="s">
        <v>2119</v>
      </c>
      <c r="AV524" s="1" t="s">
        <v>82</v>
      </c>
      <c r="AW524" s="1" t="s">
        <v>9970</v>
      </c>
      <c r="AX524" s="1" t="s">
        <v>82</v>
      </c>
      <c r="AY524" s="1" t="s">
        <v>9960</v>
      </c>
      <c r="AZ524" s="1" t="s">
        <v>9971</v>
      </c>
      <c r="BA524" s="1" t="s">
        <v>245</v>
      </c>
      <c r="BB524" s="1">
        <v>2022</v>
      </c>
      <c r="BC524" s="1">
        <v>14</v>
      </c>
      <c r="BD524" s="1">
        <v>5</v>
      </c>
      <c r="BE524" s="1" t="s">
        <v>82</v>
      </c>
      <c r="BF524" s="1" t="s">
        <v>82</v>
      </c>
      <c r="BG524" s="1" t="s">
        <v>82</v>
      </c>
      <c r="BH524" s="1" t="s">
        <v>82</v>
      </c>
      <c r="BI524" s="1" t="s">
        <v>82</v>
      </c>
      <c r="BJ524" s="1" t="s">
        <v>82</v>
      </c>
      <c r="BK524" s="1">
        <v>314</v>
      </c>
      <c r="BL524" s="1" t="s">
        <v>10094</v>
      </c>
      <c r="BM524" s="1" t="str">
        <f>HYPERLINK("http://dx.doi.org/10.3390/d14050314","http://dx.doi.org/10.3390/d14050314")</f>
        <v>http://dx.doi.org/10.3390/d14050314</v>
      </c>
      <c r="BN524" s="1" t="s">
        <v>82</v>
      </c>
      <c r="BO524" s="1" t="s">
        <v>82</v>
      </c>
      <c r="BP524" s="1">
        <v>17</v>
      </c>
      <c r="BQ524" s="1" t="s">
        <v>2773</v>
      </c>
      <c r="BR524" s="1" t="s">
        <v>104</v>
      </c>
      <c r="BS524" s="1" t="s">
        <v>1011</v>
      </c>
      <c r="BT524" s="1" t="s">
        <v>10095</v>
      </c>
      <c r="BU524" s="1" t="s">
        <v>82</v>
      </c>
      <c r="BV524" s="1" t="s">
        <v>808</v>
      </c>
      <c r="BW524" s="1" t="s">
        <v>82</v>
      </c>
      <c r="BX524" s="1" t="s">
        <v>82</v>
      </c>
      <c r="BY524" s="1" t="s">
        <v>108</v>
      </c>
      <c r="BZ524" s="1" t="s">
        <v>10096</v>
      </c>
      <c r="CA524" s="1" t="str">
        <f>HYPERLINK("https%3A%2F%2Fwww.webofscience.com%2Fwos%2Fwoscc%2Ffull-record%2FWOS:000802494600001","View Full Record in Web of Science")</f>
        <v>View Full Record in Web of Science</v>
      </c>
    </row>
    <row r="525" s="1" customFormat="1" ht="14.4" spans="1:79">
      <c r="A525">
        <v>524</v>
      </c>
      <c r="B525" s="2" t="s">
        <v>79</v>
      </c>
      <c r="C525" s="1" t="s">
        <v>80</v>
      </c>
      <c r="D525" s="1" t="s">
        <v>10097</v>
      </c>
      <c r="E525" s="1" t="s">
        <v>82</v>
      </c>
      <c r="F525" s="1" t="s">
        <v>82</v>
      </c>
      <c r="G525" s="1" t="s">
        <v>82</v>
      </c>
      <c r="H525" s="1" t="s">
        <v>10098</v>
      </c>
      <c r="I525" s="1" t="s">
        <v>82</v>
      </c>
      <c r="J525" s="1" t="s">
        <v>82</v>
      </c>
      <c r="K525" s="1" t="s">
        <v>10099</v>
      </c>
      <c r="L525" s="1" t="s">
        <v>9960</v>
      </c>
      <c r="M525" s="1">
        <v>3.029</v>
      </c>
      <c r="O525" s="1" t="s">
        <v>82</v>
      </c>
      <c r="P525" s="1" t="s">
        <v>82</v>
      </c>
      <c r="Q525" s="1" t="s">
        <v>87</v>
      </c>
      <c r="R525" s="1" t="s">
        <v>115</v>
      </c>
      <c r="S525" s="1" t="s">
        <v>82</v>
      </c>
      <c r="T525" s="1" t="s">
        <v>82</v>
      </c>
      <c r="U525" s="1" t="s">
        <v>82</v>
      </c>
      <c r="V525" s="1" t="s">
        <v>82</v>
      </c>
      <c r="W525" s="1" t="s">
        <v>82</v>
      </c>
      <c r="X525" s="1" t="s">
        <v>10100</v>
      </c>
      <c r="Y525" s="1" t="s">
        <v>10101</v>
      </c>
      <c r="Z525" s="1" t="s">
        <v>10102</v>
      </c>
      <c r="AB525" s="1" t="s">
        <v>8066</v>
      </c>
      <c r="AC525" s="1" t="s">
        <v>10103</v>
      </c>
      <c r="AD525" s="1" t="s">
        <v>206</v>
      </c>
      <c r="AE525" s="1" t="s">
        <v>10104</v>
      </c>
      <c r="AF525" s="1" t="s">
        <v>10105</v>
      </c>
      <c r="AG525" s="1" t="s">
        <v>10106</v>
      </c>
      <c r="AH525" s="1" t="s">
        <v>10107</v>
      </c>
      <c r="AI525" s="1" t="s">
        <v>10108</v>
      </c>
      <c r="AJ525" s="1" t="s">
        <v>10109</v>
      </c>
      <c r="AK525" s="1" t="s">
        <v>10110</v>
      </c>
      <c r="AL525" s="1" t="s">
        <v>10111</v>
      </c>
      <c r="AM525" s="1" t="s">
        <v>82</v>
      </c>
      <c r="AN525" s="1">
        <v>23</v>
      </c>
      <c r="AO525" s="1">
        <v>0</v>
      </c>
      <c r="AP525" s="1">
        <v>0</v>
      </c>
      <c r="AQ525" s="1">
        <v>3</v>
      </c>
      <c r="AR525" s="1">
        <v>8</v>
      </c>
      <c r="AS525" s="1" t="s">
        <v>2117</v>
      </c>
      <c r="AT525" s="1" t="s">
        <v>2118</v>
      </c>
      <c r="AU525" s="1" t="s">
        <v>2119</v>
      </c>
      <c r="AV525" s="1" t="s">
        <v>82</v>
      </c>
      <c r="AW525" s="1" t="s">
        <v>9970</v>
      </c>
      <c r="AX525" s="1" t="s">
        <v>82</v>
      </c>
      <c r="AY525" s="1" t="s">
        <v>9960</v>
      </c>
      <c r="AZ525" s="1" t="s">
        <v>9971</v>
      </c>
      <c r="BA525" s="1" t="s">
        <v>657</v>
      </c>
      <c r="BB525" s="1">
        <v>2022</v>
      </c>
      <c r="BC525" s="1">
        <v>14</v>
      </c>
      <c r="BD525" s="1">
        <v>4</v>
      </c>
      <c r="BE525" s="1" t="s">
        <v>82</v>
      </c>
      <c r="BF525" s="1" t="s">
        <v>82</v>
      </c>
      <c r="BG525" s="1" t="s">
        <v>82</v>
      </c>
      <c r="BH525" s="1" t="s">
        <v>82</v>
      </c>
      <c r="BI525" s="1" t="s">
        <v>82</v>
      </c>
      <c r="BJ525" s="1" t="s">
        <v>82</v>
      </c>
      <c r="BK525" s="1">
        <v>239</v>
      </c>
      <c r="BL525" s="1" t="s">
        <v>10112</v>
      </c>
      <c r="BM525" s="1" t="str">
        <f>HYPERLINK("http://dx.doi.org/10.3390/d14040239","http://dx.doi.org/10.3390/d14040239")</f>
        <v>http://dx.doi.org/10.3390/d14040239</v>
      </c>
      <c r="BN525" s="1" t="s">
        <v>82</v>
      </c>
      <c r="BO525" s="1" t="s">
        <v>82</v>
      </c>
      <c r="BP525" s="1">
        <v>8</v>
      </c>
      <c r="BQ525" s="1" t="s">
        <v>2773</v>
      </c>
      <c r="BR525" s="1" t="s">
        <v>104</v>
      </c>
      <c r="BS525" s="1" t="s">
        <v>1011</v>
      </c>
      <c r="BT525" s="1" t="s">
        <v>10113</v>
      </c>
      <c r="BU525" s="1" t="s">
        <v>82</v>
      </c>
      <c r="BV525" s="1" t="s">
        <v>808</v>
      </c>
      <c r="BW525" s="1" t="s">
        <v>82</v>
      </c>
      <c r="BX525" s="1" t="s">
        <v>82</v>
      </c>
      <c r="BY525" s="1" t="s">
        <v>108</v>
      </c>
      <c r="BZ525" s="1" t="s">
        <v>10114</v>
      </c>
      <c r="CA525" s="1" t="str">
        <f>HYPERLINK("https%3A%2F%2Fwww.webofscience.com%2Fwos%2Fwoscc%2Ffull-record%2FWOS:000786884800001","View Full Record in Web of Science")</f>
        <v>View Full Record in Web of Science</v>
      </c>
    </row>
    <row r="526" s="1" customFormat="1" ht="14.4" spans="1:79">
      <c r="A526">
        <v>525</v>
      </c>
      <c r="B526" s="2" t="s">
        <v>79</v>
      </c>
      <c r="C526" s="1" t="s">
        <v>80</v>
      </c>
      <c r="D526" s="1" t="s">
        <v>10115</v>
      </c>
      <c r="E526" s="1" t="s">
        <v>82</v>
      </c>
      <c r="F526" s="1" t="s">
        <v>82</v>
      </c>
      <c r="G526" s="1" t="s">
        <v>82</v>
      </c>
      <c r="H526" s="1" t="s">
        <v>10116</v>
      </c>
      <c r="I526" s="1" t="s">
        <v>82</v>
      </c>
      <c r="J526" s="1" t="s">
        <v>82</v>
      </c>
      <c r="K526" s="1" t="s">
        <v>10117</v>
      </c>
      <c r="L526" s="1" t="s">
        <v>9960</v>
      </c>
      <c r="M526" s="1">
        <v>3.029</v>
      </c>
      <c r="O526" s="1" t="s">
        <v>82</v>
      </c>
      <c r="P526" s="1" t="s">
        <v>82</v>
      </c>
      <c r="Q526" s="1" t="s">
        <v>87</v>
      </c>
      <c r="R526" s="1" t="s">
        <v>115</v>
      </c>
      <c r="S526" s="1" t="s">
        <v>82</v>
      </c>
      <c r="T526" s="1" t="s">
        <v>82</v>
      </c>
      <c r="U526" s="1" t="s">
        <v>82</v>
      </c>
      <c r="V526" s="1" t="s">
        <v>82</v>
      </c>
      <c r="W526" s="1" t="s">
        <v>82</v>
      </c>
      <c r="X526" s="1" t="s">
        <v>10118</v>
      </c>
      <c r="Y526" s="1" t="s">
        <v>10119</v>
      </c>
      <c r="Z526" s="1" t="s">
        <v>10120</v>
      </c>
      <c r="AA526" s="1">
        <v>1</v>
      </c>
      <c r="AB526" s="1" t="s">
        <v>10121</v>
      </c>
      <c r="AC526" s="1" t="s">
        <v>10122</v>
      </c>
      <c r="AD526" s="1" t="s">
        <v>93</v>
      </c>
      <c r="AE526" s="1" t="s">
        <v>10123</v>
      </c>
      <c r="AF526" s="1" t="s">
        <v>10124</v>
      </c>
      <c r="AG526" s="1" t="s">
        <v>10125</v>
      </c>
      <c r="AH526" s="1" t="s">
        <v>10126</v>
      </c>
      <c r="AI526" s="1" t="s">
        <v>10127</v>
      </c>
      <c r="AJ526" s="1" t="s">
        <v>10128</v>
      </c>
      <c r="AK526" s="1" t="s">
        <v>10129</v>
      </c>
      <c r="AL526" s="1" t="s">
        <v>10130</v>
      </c>
      <c r="AM526" s="1" t="s">
        <v>82</v>
      </c>
      <c r="AN526" s="1">
        <v>63</v>
      </c>
      <c r="AO526" s="1">
        <v>2</v>
      </c>
      <c r="AP526" s="1">
        <v>2</v>
      </c>
      <c r="AQ526" s="1">
        <v>5</v>
      </c>
      <c r="AR526" s="1">
        <v>14</v>
      </c>
      <c r="AS526" s="1" t="s">
        <v>2117</v>
      </c>
      <c r="AT526" s="1" t="s">
        <v>2118</v>
      </c>
      <c r="AU526" s="1" t="s">
        <v>2119</v>
      </c>
      <c r="AV526" s="1" t="s">
        <v>82</v>
      </c>
      <c r="AW526" s="1" t="s">
        <v>9970</v>
      </c>
      <c r="AX526" s="1" t="s">
        <v>82</v>
      </c>
      <c r="AY526" s="1" t="s">
        <v>9960</v>
      </c>
      <c r="AZ526" s="1" t="s">
        <v>9971</v>
      </c>
      <c r="BA526" s="1" t="s">
        <v>657</v>
      </c>
      <c r="BB526" s="1">
        <v>2022</v>
      </c>
      <c r="BC526" s="1">
        <v>14</v>
      </c>
      <c r="BD526" s="1">
        <v>4</v>
      </c>
      <c r="BE526" s="1" t="s">
        <v>82</v>
      </c>
      <c r="BF526" s="1" t="s">
        <v>82</v>
      </c>
      <c r="BG526" s="1" t="s">
        <v>82</v>
      </c>
      <c r="BH526" s="1" t="s">
        <v>82</v>
      </c>
      <c r="BI526" s="1" t="s">
        <v>82</v>
      </c>
      <c r="BJ526" s="1" t="s">
        <v>82</v>
      </c>
      <c r="BK526" s="1">
        <v>287</v>
      </c>
      <c r="BL526" s="1" t="s">
        <v>10131</v>
      </c>
      <c r="BM526" s="1" t="str">
        <f>HYPERLINK("http://dx.doi.org/10.3390/d14040287","http://dx.doi.org/10.3390/d14040287")</f>
        <v>http://dx.doi.org/10.3390/d14040287</v>
      </c>
      <c r="BN526" s="1" t="s">
        <v>82</v>
      </c>
      <c r="BO526" s="1" t="s">
        <v>82</v>
      </c>
      <c r="BP526" s="1">
        <v>9</v>
      </c>
      <c r="BQ526" s="1" t="s">
        <v>2773</v>
      </c>
      <c r="BR526" s="1" t="s">
        <v>104</v>
      </c>
      <c r="BS526" s="1" t="s">
        <v>1011</v>
      </c>
      <c r="BT526" s="1" t="s">
        <v>10132</v>
      </c>
      <c r="BU526" s="1" t="s">
        <v>82</v>
      </c>
      <c r="BV526" s="1" t="s">
        <v>808</v>
      </c>
      <c r="BW526" s="1" t="s">
        <v>82</v>
      </c>
      <c r="BX526" s="1" t="s">
        <v>82</v>
      </c>
      <c r="BY526" s="1" t="s">
        <v>108</v>
      </c>
      <c r="BZ526" s="1" t="s">
        <v>10133</v>
      </c>
      <c r="CA526" s="1" t="str">
        <f>HYPERLINK("https%3A%2F%2Fwww.webofscience.com%2Fwos%2Fwoscc%2Ffull-record%2FWOS:000786052400001","View Full Record in Web of Science")</f>
        <v>View Full Record in Web of Science</v>
      </c>
    </row>
    <row r="527" s="1" customFormat="1" ht="14.4" spans="1:79">
      <c r="A527">
        <v>526</v>
      </c>
      <c r="B527" s="2" t="s">
        <v>79</v>
      </c>
      <c r="C527" s="1" t="s">
        <v>80</v>
      </c>
      <c r="D527" s="1" t="s">
        <v>10134</v>
      </c>
      <c r="E527" s="1" t="s">
        <v>82</v>
      </c>
      <c r="F527" s="1" t="s">
        <v>82</v>
      </c>
      <c r="G527" s="1" t="s">
        <v>82</v>
      </c>
      <c r="H527" s="1" t="s">
        <v>10135</v>
      </c>
      <c r="I527" s="1" t="s">
        <v>82</v>
      </c>
      <c r="J527" s="1" t="s">
        <v>82</v>
      </c>
      <c r="K527" s="1" t="s">
        <v>10136</v>
      </c>
      <c r="L527" s="1" t="s">
        <v>9960</v>
      </c>
      <c r="M527" s="1">
        <v>3.029</v>
      </c>
      <c r="O527" s="1" t="s">
        <v>82</v>
      </c>
      <c r="P527" s="1" t="s">
        <v>82</v>
      </c>
      <c r="Q527" s="1" t="s">
        <v>87</v>
      </c>
      <c r="R527" s="1" t="s">
        <v>115</v>
      </c>
      <c r="S527" s="1" t="s">
        <v>82</v>
      </c>
      <c r="T527" s="1" t="s">
        <v>82</v>
      </c>
      <c r="U527" s="1" t="s">
        <v>82</v>
      </c>
      <c r="V527" s="1" t="s">
        <v>82</v>
      </c>
      <c r="W527" s="1" t="s">
        <v>82</v>
      </c>
      <c r="X527" s="1" t="s">
        <v>10137</v>
      </c>
      <c r="Y527" s="1" t="s">
        <v>10138</v>
      </c>
      <c r="Z527" s="1" t="s">
        <v>10139</v>
      </c>
      <c r="AB527" s="1" t="s">
        <v>10140</v>
      </c>
      <c r="AC527" s="1" t="s">
        <v>10141</v>
      </c>
      <c r="AD527" s="1" t="s">
        <v>206</v>
      </c>
      <c r="AE527" s="1" t="s">
        <v>10142</v>
      </c>
      <c r="AF527" s="1" t="s">
        <v>10143</v>
      </c>
      <c r="AG527" s="1" t="s">
        <v>10144</v>
      </c>
      <c r="AH527" s="1" t="s">
        <v>82</v>
      </c>
      <c r="AI527" s="1" t="s">
        <v>10145</v>
      </c>
      <c r="AJ527" s="1" t="s">
        <v>10146</v>
      </c>
      <c r="AK527" s="1" t="s">
        <v>10147</v>
      </c>
      <c r="AL527" s="1" t="s">
        <v>10148</v>
      </c>
      <c r="AM527" s="1" t="s">
        <v>82</v>
      </c>
      <c r="AN527" s="1">
        <v>81</v>
      </c>
      <c r="AO527" s="1">
        <v>0</v>
      </c>
      <c r="AP527" s="1">
        <v>0</v>
      </c>
      <c r="AQ527" s="1">
        <v>9</v>
      </c>
      <c r="AR527" s="1">
        <v>11</v>
      </c>
      <c r="AS527" s="1" t="s">
        <v>2117</v>
      </c>
      <c r="AT527" s="1" t="s">
        <v>2118</v>
      </c>
      <c r="AU527" s="1" t="s">
        <v>2119</v>
      </c>
      <c r="AV527" s="1" t="s">
        <v>82</v>
      </c>
      <c r="AW527" s="1" t="s">
        <v>9970</v>
      </c>
      <c r="AX527" s="1" t="s">
        <v>82</v>
      </c>
      <c r="AY527" s="1" t="s">
        <v>9960</v>
      </c>
      <c r="AZ527" s="1" t="s">
        <v>9971</v>
      </c>
      <c r="BA527" s="1" t="s">
        <v>2145</v>
      </c>
      <c r="BB527" s="1">
        <v>2022</v>
      </c>
      <c r="BC527" s="1">
        <v>14</v>
      </c>
      <c r="BD527" s="1">
        <v>3</v>
      </c>
      <c r="BE527" s="1" t="s">
        <v>82</v>
      </c>
      <c r="BF527" s="1" t="s">
        <v>82</v>
      </c>
      <c r="BG527" s="1" t="s">
        <v>82</v>
      </c>
      <c r="BH527" s="1" t="s">
        <v>82</v>
      </c>
      <c r="BI527" s="1" t="s">
        <v>82</v>
      </c>
      <c r="BJ527" s="1" t="s">
        <v>82</v>
      </c>
      <c r="BK527" s="1">
        <v>207</v>
      </c>
      <c r="BL527" s="1" t="s">
        <v>10149</v>
      </c>
      <c r="BM527" s="1" t="str">
        <f>HYPERLINK("http://dx.doi.org/10.3390/d14030207","http://dx.doi.org/10.3390/d14030207")</f>
        <v>http://dx.doi.org/10.3390/d14030207</v>
      </c>
      <c r="BN527" s="1" t="s">
        <v>82</v>
      </c>
      <c r="BO527" s="1" t="s">
        <v>82</v>
      </c>
      <c r="BP527" s="1">
        <v>17</v>
      </c>
      <c r="BQ527" s="1" t="s">
        <v>2773</v>
      </c>
      <c r="BR527" s="1" t="s">
        <v>104</v>
      </c>
      <c r="BS527" s="1" t="s">
        <v>1011</v>
      </c>
      <c r="BT527" s="1" t="s">
        <v>10150</v>
      </c>
      <c r="BU527" s="1" t="s">
        <v>82</v>
      </c>
      <c r="BV527" s="1" t="s">
        <v>808</v>
      </c>
      <c r="BW527" s="1" t="s">
        <v>82</v>
      </c>
      <c r="BX527" s="1" t="s">
        <v>82</v>
      </c>
      <c r="BY527" s="1" t="s">
        <v>108</v>
      </c>
      <c r="BZ527" s="1" t="s">
        <v>10151</v>
      </c>
      <c r="CA527" s="1" t="str">
        <f>HYPERLINK("https%3A%2F%2Fwww.webofscience.com%2Fwos%2Fwoscc%2Ffull-record%2FWOS:000775415700001","View Full Record in Web of Science")</f>
        <v>View Full Record in Web of Science</v>
      </c>
    </row>
    <row r="528" s="1" customFormat="1" ht="14.4" spans="1:79">
      <c r="A528">
        <v>527</v>
      </c>
      <c r="B528" s="2" t="s">
        <v>79</v>
      </c>
      <c r="C528" s="1" t="s">
        <v>80</v>
      </c>
      <c r="D528" s="1" t="s">
        <v>10152</v>
      </c>
      <c r="E528" s="1" t="s">
        <v>82</v>
      </c>
      <c r="F528" s="1" t="s">
        <v>82</v>
      </c>
      <c r="G528" s="1" t="s">
        <v>82</v>
      </c>
      <c r="H528" s="1" t="s">
        <v>10153</v>
      </c>
      <c r="I528" s="1" t="s">
        <v>82</v>
      </c>
      <c r="J528" s="1" t="s">
        <v>82</v>
      </c>
      <c r="K528" s="1" t="s">
        <v>10154</v>
      </c>
      <c r="L528" s="1" t="s">
        <v>9960</v>
      </c>
      <c r="M528" s="1">
        <v>3.029</v>
      </c>
      <c r="O528" s="1" t="s">
        <v>82</v>
      </c>
      <c r="P528" s="1" t="s">
        <v>82</v>
      </c>
      <c r="Q528" s="1" t="s">
        <v>87</v>
      </c>
      <c r="R528" s="1" t="s">
        <v>115</v>
      </c>
      <c r="S528" s="1" t="s">
        <v>82</v>
      </c>
      <c r="T528" s="1" t="s">
        <v>82</v>
      </c>
      <c r="U528" s="1" t="s">
        <v>82</v>
      </c>
      <c r="V528" s="1" t="s">
        <v>82</v>
      </c>
      <c r="W528" s="1" t="s">
        <v>82</v>
      </c>
      <c r="X528" s="1" t="s">
        <v>10155</v>
      </c>
      <c r="Y528" s="1" t="s">
        <v>10156</v>
      </c>
      <c r="Z528" s="1" t="s">
        <v>10157</v>
      </c>
      <c r="AA528" s="1">
        <v>1</v>
      </c>
      <c r="AB528" s="1" t="s">
        <v>10158</v>
      </c>
      <c r="AC528" s="1" t="s">
        <v>10159</v>
      </c>
      <c r="AD528" s="1" t="s">
        <v>93</v>
      </c>
      <c r="AE528" s="1" t="s">
        <v>10160</v>
      </c>
      <c r="AF528" s="1" t="s">
        <v>10161</v>
      </c>
      <c r="AG528" s="1" t="s">
        <v>10162</v>
      </c>
      <c r="AH528" s="1" t="s">
        <v>8688</v>
      </c>
      <c r="AI528" s="1" t="s">
        <v>10163</v>
      </c>
      <c r="AJ528" s="1" t="s">
        <v>10164</v>
      </c>
      <c r="AK528" s="1" t="s">
        <v>10165</v>
      </c>
      <c r="AL528" s="1" t="s">
        <v>10166</v>
      </c>
      <c r="AM528" s="1" t="s">
        <v>82</v>
      </c>
      <c r="AN528" s="1">
        <v>43</v>
      </c>
      <c r="AO528" s="1">
        <v>0</v>
      </c>
      <c r="AP528" s="1">
        <v>0</v>
      </c>
      <c r="AQ528" s="1">
        <v>5</v>
      </c>
      <c r="AR528" s="1">
        <v>6</v>
      </c>
      <c r="AS528" s="1" t="s">
        <v>2117</v>
      </c>
      <c r="AT528" s="1" t="s">
        <v>2118</v>
      </c>
      <c r="AU528" s="1" t="s">
        <v>2119</v>
      </c>
      <c r="AV528" s="1" t="s">
        <v>82</v>
      </c>
      <c r="AW528" s="1" t="s">
        <v>9970</v>
      </c>
      <c r="AX528" s="1" t="s">
        <v>82</v>
      </c>
      <c r="AY528" s="1" t="s">
        <v>9960</v>
      </c>
      <c r="AZ528" s="1" t="s">
        <v>9971</v>
      </c>
      <c r="BA528" s="1" t="s">
        <v>2145</v>
      </c>
      <c r="BB528" s="1">
        <v>2022</v>
      </c>
      <c r="BC528" s="1">
        <v>14</v>
      </c>
      <c r="BD528" s="1">
        <v>3</v>
      </c>
      <c r="BE528" s="1" t="s">
        <v>82</v>
      </c>
      <c r="BF528" s="1" t="s">
        <v>82</v>
      </c>
      <c r="BG528" s="1" t="s">
        <v>82</v>
      </c>
      <c r="BH528" s="1" t="s">
        <v>82</v>
      </c>
      <c r="BI528" s="1" t="s">
        <v>82</v>
      </c>
      <c r="BJ528" s="1" t="s">
        <v>82</v>
      </c>
      <c r="BK528" s="1">
        <v>173</v>
      </c>
      <c r="BL528" s="1" t="s">
        <v>10167</v>
      </c>
      <c r="BM528" s="1" t="str">
        <f>HYPERLINK("http://dx.doi.org/10.3390/d14030173","http://dx.doi.org/10.3390/d14030173")</f>
        <v>http://dx.doi.org/10.3390/d14030173</v>
      </c>
      <c r="BN528" s="1" t="s">
        <v>82</v>
      </c>
      <c r="BO528" s="1" t="s">
        <v>82</v>
      </c>
      <c r="BP528" s="1">
        <v>15</v>
      </c>
      <c r="BQ528" s="1" t="s">
        <v>2773</v>
      </c>
      <c r="BR528" s="1" t="s">
        <v>104</v>
      </c>
      <c r="BS528" s="1" t="s">
        <v>1011</v>
      </c>
      <c r="BT528" s="1" t="s">
        <v>10168</v>
      </c>
      <c r="BU528" s="1" t="s">
        <v>82</v>
      </c>
      <c r="BV528" s="1" t="s">
        <v>10169</v>
      </c>
      <c r="BW528" s="1" t="s">
        <v>82</v>
      </c>
      <c r="BX528" s="1" t="s">
        <v>82</v>
      </c>
      <c r="BY528" s="1" t="s">
        <v>108</v>
      </c>
      <c r="BZ528" s="1" t="s">
        <v>10170</v>
      </c>
      <c r="CA528" s="1" t="str">
        <f>HYPERLINK("https%3A%2F%2Fwww.webofscience.com%2Fwos%2Fwoscc%2Ffull-record%2FWOS:000775407300001","View Full Record in Web of Science")</f>
        <v>View Full Record in Web of Science</v>
      </c>
    </row>
    <row r="529" s="1" customFormat="1" ht="14.4" spans="1:79">
      <c r="A529">
        <v>528</v>
      </c>
      <c r="B529" s="2" t="s">
        <v>79</v>
      </c>
      <c r="C529" s="1" t="s">
        <v>80</v>
      </c>
      <c r="D529" s="1" t="s">
        <v>10171</v>
      </c>
      <c r="E529" s="1" t="s">
        <v>82</v>
      </c>
      <c r="F529" s="1" t="s">
        <v>82</v>
      </c>
      <c r="G529" s="1" t="s">
        <v>82</v>
      </c>
      <c r="H529" s="1" t="s">
        <v>10172</v>
      </c>
      <c r="I529" s="1" t="s">
        <v>82</v>
      </c>
      <c r="J529" s="1" t="s">
        <v>82</v>
      </c>
      <c r="K529" s="1" t="s">
        <v>10173</v>
      </c>
      <c r="L529" s="1" t="s">
        <v>9960</v>
      </c>
      <c r="M529" s="1">
        <v>3.029</v>
      </c>
      <c r="O529" s="1" t="s">
        <v>82</v>
      </c>
      <c r="P529" s="1" t="s">
        <v>82</v>
      </c>
      <c r="Q529" s="1" t="s">
        <v>87</v>
      </c>
      <c r="R529" s="1" t="s">
        <v>115</v>
      </c>
      <c r="S529" s="1" t="s">
        <v>82</v>
      </c>
      <c r="T529" s="1" t="s">
        <v>82</v>
      </c>
      <c r="U529" s="1" t="s">
        <v>82</v>
      </c>
      <c r="V529" s="1" t="s">
        <v>82</v>
      </c>
      <c r="W529" s="1" t="s">
        <v>82</v>
      </c>
      <c r="X529" s="1" t="s">
        <v>10174</v>
      </c>
      <c r="Y529" s="1" t="s">
        <v>10175</v>
      </c>
      <c r="Z529" s="1" t="s">
        <v>10176</v>
      </c>
      <c r="AB529" s="1" t="s">
        <v>10177</v>
      </c>
      <c r="AC529" s="1" t="s">
        <v>10178</v>
      </c>
      <c r="AD529" s="1" t="s">
        <v>206</v>
      </c>
      <c r="AE529" s="1" t="s">
        <v>10179</v>
      </c>
      <c r="AF529" s="1" t="s">
        <v>10180</v>
      </c>
      <c r="AG529" s="1" t="s">
        <v>10181</v>
      </c>
      <c r="AH529" s="1" t="s">
        <v>10182</v>
      </c>
      <c r="AI529" s="1" t="s">
        <v>10183</v>
      </c>
      <c r="AJ529" s="1" t="s">
        <v>5130</v>
      </c>
      <c r="AK529" s="1" t="s">
        <v>5131</v>
      </c>
      <c r="AL529" s="1" t="s">
        <v>10184</v>
      </c>
      <c r="AM529" s="1" t="s">
        <v>82</v>
      </c>
      <c r="AN529" s="1">
        <v>111</v>
      </c>
      <c r="AO529" s="1">
        <v>1</v>
      </c>
      <c r="AP529" s="1">
        <v>1</v>
      </c>
      <c r="AQ529" s="1">
        <v>3</v>
      </c>
      <c r="AR529" s="1">
        <v>5</v>
      </c>
      <c r="AS529" s="1" t="s">
        <v>2117</v>
      </c>
      <c r="AT529" s="1" t="s">
        <v>2118</v>
      </c>
      <c r="AU529" s="1" t="s">
        <v>2119</v>
      </c>
      <c r="AV529" s="1" t="s">
        <v>82</v>
      </c>
      <c r="AW529" s="1" t="s">
        <v>9970</v>
      </c>
      <c r="AX529" s="1" t="s">
        <v>82</v>
      </c>
      <c r="AY529" s="1" t="s">
        <v>9960</v>
      </c>
      <c r="AZ529" s="1" t="s">
        <v>9971</v>
      </c>
      <c r="BA529" s="1" t="s">
        <v>397</v>
      </c>
      <c r="BB529" s="1">
        <v>2022</v>
      </c>
      <c r="BC529" s="1">
        <v>14</v>
      </c>
      <c r="BD529" s="1">
        <v>2</v>
      </c>
      <c r="BE529" s="1" t="s">
        <v>82</v>
      </c>
      <c r="BF529" s="1" t="s">
        <v>82</v>
      </c>
      <c r="BG529" s="1" t="s">
        <v>82</v>
      </c>
      <c r="BH529" s="1" t="s">
        <v>82</v>
      </c>
      <c r="BI529" s="1" t="s">
        <v>82</v>
      </c>
      <c r="BJ529" s="1" t="s">
        <v>82</v>
      </c>
      <c r="BK529" s="1">
        <v>131</v>
      </c>
      <c r="BL529" s="1" t="s">
        <v>10185</v>
      </c>
      <c r="BM529" s="1" t="str">
        <f>HYPERLINK("http://dx.doi.org/10.3390/d14020131","http://dx.doi.org/10.3390/d14020131")</f>
        <v>http://dx.doi.org/10.3390/d14020131</v>
      </c>
      <c r="BN529" s="1" t="s">
        <v>82</v>
      </c>
      <c r="BO529" s="1" t="s">
        <v>82</v>
      </c>
      <c r="BP529" s="1">
        <v>29</v>
      </c>
      <c r="BQ529" s="1" t="s">
        <v>2773</v>
      </c>
      <c r="BR529" s="1" t="s">
        <v>104</v>
      </c>
      <c r="BS529" s="1" t="s">
        <v>1011</v>
      </c>
      <c r="BT529" s="1" t="s">
        <v>10186</v>
      </c>
      <c r="BU529" s="1" t="s">
        <v>82</v>
      </c>
      <c r="BV529" s="1" t="s">
        <v>808</v>
      </c>
      <c r="BW529" s="1" t="s">
        <v>82</v>
      </c>
      <c r="BX529" s="1" t="s">
        <v>82</v>
      </c>
      <c r="BY529" s="1" t="s">
        <v>108</v>
      </c>
      <c r="BZ529" s="1" t="s">
        <v>10187</v>
      </c>
      <c r="CA529" s="1" t="str">
        <f>HYPERLINK("https%3A%2F%2Fwww.webofscience.com%2Fwos%2Fwoscc%2Ffull-record%2FWOS:000763023300001","View Full Record in Web of Science")</f>
        <v>View Full Record in Web of Science</v>
      </c>
    </row>
    <row r="530" s="1" customFormat="1" ht="14.4" spans="1:79">
      <c r="A530">
        <v>529</v>
      </c>
      <c r="B530" s="2" t="s">
        <v>79</v>
      </c>
      <c r="C530" s="1" t="s">
        <v>80</v>
      </c>
      <c r="D530" s="1" t="s">
        <v>10188</v>
      </c>
      <c r="E530" s="1" t="s">
        <v>82</v>
      </c>
      <c r="F530" s="1" t="s">
        <v>82</v>
      </c>
      <c r="G530" s="1" t="s">
        <v>82</v>
      </c>
      <c r="H530" s="1" t="s">
        <v>10189</v>
      </c>
      <c r="I530" s="1" t="s">
        <v>82</v>
      </c>
      <c r="J530" s="1" t="s">
        <v>82</v>
      </c>
      <c r="K530" s="1" t="s">
        <v>10190</v>
      </c>
      <c r="L530" s="1" t="s">
        <v>9960</v>
      </c>
      <c r="M530" s="1">
        <v>3.029</v>
      </c>
      <c r="O530" s="1" t="s">
        <v>82</v>
      </c>
      <c r="P530" s="1" t="s">
        <v>82</v>
      </c>
      <c r="Q530" s="1" t="s">
        <v>87</v>
      </c>
      <c r="R530" s="1" t="s">
        <v>115</v>
      </c>
      <c r="S530" s="1" t="s">
        <v>82</v>
      </c>
      <c r="T530" s="1" t="s">
        <v>82</v>
      </c>
      <c r="U530" s="1" t="s">
        <v>82</v>
      </c>
      <c r="V530" s="1" t="s">
        <v>82</v>
      </c>
      <c r="W530" s="1" t="s">
        <v>82</v>
      </c>
      <c r="X530" s="1" t="s">
        <v>10191</v>
      </c>
      <c r="Y530" s="1" t="s">
        <v>10192</v>
      </c>
      <c r="Z530" s="1" t="s">
        <v>10193</v>
      </c>
      <c r="AB530" s="1" t="s">
        <v>10194</v>
      </c>
      <c r="AC530" s="1" t="s">
        <v>10195</v>
      </c>
      <c r="AD530" s="1" t="s">
        <v>120</v>
      </c>
      <c r="AE530" s="1" t="s">
        <v>10196</v>
      </c>
      <c r="AF530" s="1" t="s">
        <v>10197</v>
      </c>
      <c r="AG530" s="1" t="s">
        <v>10198</v>
      </c>
      <c r="AH530" s="1" t="s">
        <v>10199</v>
      </c>
      <c r="AI530" s="1" t="s">
        <v>10200</v>
      </c>
      <c r="AJ530" s="1" t="s">
        <v>82</v>
      </c>
      <c r="AK530" s="1" t="s">
        <v>82</v>
      </c>
      <c r="AL530" s="1" t="s">
        <v>82</v>
      </c>
      <c r="AM530" s="1" t="s">
        <v>82</v>
      </c>
      <c r="AN530" s="1">
        <v>53</v>
      </c>
      <c r="AO530" s="1">
        <v>3</v>
      </c>
      <c r="AP530" s="1">
        <v>3</v>
      </c>
      <c r="AQ530" s="1">
        <v>4</v>
      </c>
      <c r="AR530" s="1">
        <v>5</v>
      </c>
      <c r="AS530" s="1" t="s">
        <v>2117</v>
      </c>
      <c r="AT530" s="1" t="s">
        <v>2118</v>
      </c>
      <c r="AU530" s="1" t="s">
        <v>2119</v>
      </c>
      <c r="AV530" s="1" t="s">
        <v>82</v>
      </c>
      <c r="AW530" s="1" t="s">
        <v>9970</v>
      </c>
      <c r="AX530" s="1" t="s">
        <v>82</v>
      </c>
      <c r="AY530" s="1" t="s">
        <v>9960</v>
      </c>
      <c r="AZ530" s="1" t="s">
        <v>9971</v>
      </c>
      <c r="BA530" s="1" t="s">
        <v>1826</v>
      </c>
      <c r="BB530" s="1">
        <v>2022</v>
      </c>
      <c r="BC530" s="1">
        <v>14</v>
      </c>
      <c r="BD530" s="1">
        <v>1</v>
      </c>
      <c r="BE530" s="1" t="s">
        <v>82</v>
      </c>
      <c r="BF530" s="1" t="s">
        <v>82</v>
      </c>
      <c r="BG530" s="1" t="s">
        <v>82</v>
      </c>
      <c r="BH530" s="1" t="s">
        <v>82</v>
      </c>
      <c r="BI530" s="1" t="s">
        <v>82</v>
      </c>
      <c r="BJ530" s="1" t="s">
        <v>82</v>
      </c>
      <c r="BK530" s="1">
        <v>15</v>
      </c>
      <c r="BL530" s="1" t="s">
        <v>10201</v>
      </c>
      <c r="BM530" s="1" t="str">
        <f>HYPERLINK("http://dx.doi.org/10.3390/d14010015","http://dx.doi.org/10.3390/d14010015")</f>
        <v>http://dx.doi.org/10.3390/d14010015</v>
      </c>
      <c r="BN530" s="1" t="s">
        <v>82</v>
      </c>
      <c r="BO530" s="1" t="s">
        <v>82</v>
      </c>
      <c r="BP530" s="1">
        <v>11</v>
      </c>
      <c r="BQ530" s="1" t="s">
        <v>2773</v>
      </c>
      <c r="BR530" s="1" t="s">
        <v>104</v>
      </c>
      <c r="BS530" s="1" t="s">
        <v>1011</v>
      </c>
      <c r="BT530" s="1" t="s">
        <v>10202</v>
      </c>
      <c r="BU530" s="1" t="s">
        <v>82</v>
      </c>
      <c r="BV530" s="1" t="s">
        <v>808</v>
      </c>
      <c r="BW530" s="1" t="s">
        <v>82</v>
      </c>
      <c r="BX530" s="1" t="s">
        <v>82</v>
      </c>
      <c r="BY530" s="1" t="s">
        <v>108</v>
      </c>
      <c r="BZ530" s="1" t="s">
        <v>10203</v>
      </c>
      <c r="CA530" s="1" t="str">
        <f>HYPERLINK("https%3A%2F%2Fwww.webofscience.com%2Fwos%2Fwoscc%2Ffull-record%2FWOS:000757412200001","View Full Record in Web of Science")</f>
        <v>View Full Record in Web of Science</v>
      </c>
    </row>
    <row r="531" s="1" customFormat="1" ht="14.4" spans="1:79">
      <c r="A531">
        <v>530</v>
      </c>
      <c r="B531" s="2" t="s">
        <v>79</v>
      </c>
      <c r="C531" s="1" t="s">
        <v>80</v>
      </c>
      <c r="D531" s="1" t="s">
        <v>10204</v>
      </c>
      <c r="E531" s="1" t="s">
        <v>82</v>
      </c>
      <c r="F531" s="1" t="s">
        <v>82</v>
      </c>
      <c r="G531" s="1" t="s">
        <v>82</v>
      </c>
      <c r="H531" s="1" t="s">
        <v>10205</v>
      </c>
      <c r="I531" s="1" t="s">
        <v>82</v>
      </c>
      <c r="J531" s="1" t="s">
        <v>82</v>
      </c>
      <c r="K531" s="1" t="s">
        <v>10206</v>
      </c>
      <c r="L531" s="1" t="s">
        <v>9960</v>
      </c>
      <c r="M531" s="1">
        <v>3.029</v>
      </c>
      <c r="O531" s="1" t="s">
        <v>82</v>
      </c>
      <c r="P531" s="1" t="s">
        <v>82</v>
      </c>
      <c r="Q531" s="1" t="s">
        <v>87</v>
      </c>
      <c r="R531" s="1" t="s">
        <v>115</v>
      </c>
      <c r="S531" s="1" t="s">
        <v>82</v>
      </c>
      <c r="T531" s="1" t="s">
        <v>82</v>
      </c>
      <c r="U531" s="1" t="s">
        <v>82</v>
      </c>
      <c r="V531" s="1" t="s">
        <v>82</v>
      </c>
      <c r="W531" s="1" t="s">
        <v>82</v>
      </c>
      <c r="X531" s="1" t="s">
        <v>10207</v>
      </c>
      <c r="Y531" s="1" t="s">
        <v>10208</v>
      </c>
      <c r="Z531" s="1" t="s">
        <v>10209</v>
      </c>
      <c r="AB531" s="1" t="s">
        <v>10210</v>
      </c>
      <c r="AC531" s="1" t="s">
        <v>10211</v>
      </c>
      <c r="AD531" s="1" t="s">
        <v>206</v>
      </c>
      <c r="AE531" s="1" t="s">
        <v>4982</v>
      </c>
      <c r="AF531" s="1" t="s">
        <v>10212</v>
      </c>
      <c r="AG531" s="1" t="s">
        <v>10213</v>
      </c>
      <c r="AH531" s="1" t="s">
        <v>82</v>
      </c>
      <c r="AI531" s="1" t="s">
        <v>10214</v>
      </c>
      <c r="AJ531" s="1" t="s">
        <v>10215</v>
      </c>
      <c r="AK531" s="1" t="s">
        <v>10216</v>
      </c>
      <c r="AL531" s="1" t="s">
        <v>10217</v>
      </c>
      <c r="AM531" s="1" t="s">
        <v>82</v>
      </c>
      <c r="AN531" s="1">
        <v>38</v>
      </c>
      <c r="AO531" s="1">
        <v>1</v>
      </c>
      <c r="AP531" s="1">
        <v>1</v>
      </c>
      <c r="AQ531" s="1">
        <v>4</v>
      </c>
      <c r="AR531" s="1">
        <v>5</v>
      </c>
      <c r="AS531" s="1" t="s">
        <v>2117</v>
      </c>
      <c r="AT531" s="1" t="s">
        <v>2118</v>
      </c>
      <c r="AU531" s="1" t="s">
        <v>2119</v>
      </c>
      <c r="AV531" s="1" t="s">
        <v>82</v>
      </c>
      <c r="AW531" s="1" t="s">
        <v>9970</v>
      </c>
      <c r="AX531" s="1" t="s">
        <v>82</v>
      </c>
      <c r="AY531" s="1" t="s">
        <v>9960</v>
      </c>
      <c r="AZ531" s="1" t="s">
        <v>9971</v>
      </c>
      <c r="BA531" s="1" t="s">
        <v>1826</v>
      </c>
      <c r="BB531" s="1">
        <v>2022</v>
      </c>
      <c r="BC531" s="1">
        <v>14</v>
      </c>
      <c r="BD531" s="1">
        <v>1</v>
      </c>
      <c r="BE531" s="1" t="s">
        <v>82</v>
      </c>
      <c r="BF531" s="1" t="s">
        <v>82</v>
      </c>
      <c r="BG531" s="1" t="s">
        <v>82</v>
      </c>
      <c r="BH531" s="1" t="s">
        <v>82</v>
      </c>
      <c r="BI531" s="1" t="s">
        <v>82</v>
      </c>
      <c r="BJ531" s="1" t="s">
        <v>82</v>
      </c>
      <c r="BK531" s="1">
        <v>40</v>
      </c>
      <c r="BL531" s="1" t="s">
        <v>10218</v>
      </c>
      <c r="BM531" s="1" t="str">
        <f>HYPERLINK("http://dx.doi.org/10.3390/d14010040","http://dx.doi.org/10.3390/d14010040")</f>
        <v>http://dx.doi.org/10.3390/d14010040</v>
      </c>
      <c r="BN531" s="1" t="s">
        <v>82</v>
      </c>
      <c r="BO531" s="1" t="s">
        <v>82</v>
      </c>
      <c r="BP531" s="1">
        <v>10</v>
      </c>
      <c r="BQ531" s="1" t="s">
        <v>2773</v>
      </c>
      <c r="BR531" s="1" t="s">
        <v>104</v>
      </c>
      <c r="BS531" s="1" t="s">
        <v>1011</v>
      </c>
      <c r="BT531" s="1" t="s">
        <v>10219</v>
      </c>
      <c r="BU531" s="1" t="s">
        <v>82</v>
      </c>
      <c r="BV531" s="1" t="s">
        <v>808</v>
      </c>
      <c r="BW531" s="1" t="s">
        <v>82</v>
      </c>
      <c r="BX531" s="1" t="s">
        <v>82</v>
      </c>
      <c r="BY531" s="1" t="s">
        <v>108</v>
      </c>
      <c r="BZ531" s="1" t="s">
        <v>10220</v>
      </c>
      <c r="CA531" s="1" t="str">
        <f>HYPERLINK("https%3A%2F%2Fwww.webofscience.com%2Fwos%2Fwoscc%2Ffull-record%2FWOS:000747712900001","View Full Record in Web of Science")</f>
        <v>View Full Record in Web of Science</v>
      </c>
    </row>
    <row r="532" s="1" customFormat="1" ht="14.4" spans="1:79">
      <c r="A532">
        <v>531</v>
      </c>
      <c r="B532" s="2" t="s">
        <v>79</v>
      </c>
      <c r="C532" s="1" t="s">
        <v>80</v>
      </c>
      <c r="D532" s="1" t="s">
        <v>10221</v>
      </c>
      <c r="E532" s="1" t="s">
        <v>82</v>
      </c>
      <c r="F532" s="1" t="s">
        <v>82</v>
      </c>
      <c r="G532" s="1" t="s">
        <v>82</v>
      </c>
      <c r="H532" s="1" t="s">
        <v>10222</v>
      </c>
      <c r="I532" s="1" t="s">
        <v>82</v>
      </c>
      <c r="J532" s="1" t="s">
        <v>82</v>
      </c>
      <c r="K532" s="1" t="s">
        <v>10223</v>
      </c>
      <c r="L532" s="1" t="s">
        <v>10224</v>
      </c>
      <c r="M532" s="1">
        <v>2.976</v>
      </c>
      <c r="O532" s="1" t="s">
        <v>82</v>
      </c>
      <c r="P532" s="1" t="s">
        <v>82</v>
      </c>
      <c r="Q532" s="1" t="s">
        <v>87</v>
      </c>
      <c r="R532" s="1" t="s">
        <v>115</v>
      </c>
      <c r="S532" s="1" t="s">
        <v>82</v>
      </c>
      <c r="T532" s="1" t="s">
        <v>82</v>
      </c>
      <c r="U532" s="1" t="s">
        <v>82</v>
      </c>
      <c r="V532" s="1" t="s">
        <v>82</v>
      </c>
      <c r="W532" s="1" t="s">
        <v>82</v>
      </c>
      <c r="X532" s="1" t="s">
        <v>10225</v>
      </c>
      <c r="Y532" s="1" t="s">
        <v>10226</v>
      </c>
      <c r="Z532" s="1" t="s">
        <v>10227</v>
      </c>
      <c r="AA532" s="1">
        <v>1</v>
      </c>
      <c r="AB532" s="1" t="s">
        <v>579</v>
      </c>
      <c r="AC532" s="1" t="s">
        <v>10228</v>
      </c>
      <c r="AD532" s="1" t="s">
        <v>93</v>
      </c>
      <c r="AE532" s="1" t="s">
        <v>8327</v>
      </c>
      <c r="AF532" s="1" t="s">
        <v>10229</v>
      </c>
      <c r="AG532" s="1" t="s">
        <v>10230</v>
      </c>
      <c r="AH532" s="1" t="s">
        <v>7620</v>
      </c>
      <c r="AI532" s="1" t="s">
        <v>10231</v>
      </c>
      <c r="AJ532" s="1" t="s">
        <v>10232</v>
      </c>
      <c r="AK532" s="1" t="s">
        <v>10233</v>
      </c>
      <c r="AL532" s="1" t="s">
        <v>10234</v>
      </c>
      <c r="AM532" s="1" t="s">
        <v>82</v>
      </c>
      <c r="AN532" s="1">
        <v>52</v>
      </c>
      <c r="AO532" s="1">
        <v>0</v>
      </c>
      <c r="AP532" s="1">
        <v>0</v>
      </c>
      <c r="AQ532" s="1">
        <v>5</v>
      </c>
      <c r="AR532" s="1">
        <v>5</v>
      </c>
      <c r="AS532" s="1" t="s">
        <v>2117</v>
      </c>
      <c r="AT532" s="1" t="s">
        <v>2118</v>
      </c>
      <c r="AU532" s="1" t="s">
        <v>2119</v>
      </c>
      <c r="AV532" s="1" t="s">
        <v>10235</v>
      </c>
      <c r="AW532" s="1" t="s">
        <v>10236</v>
      </c>
      <c r="AX532" s="1" t="s">
        <v>82</v>
      </c>
      <c r="AY532" s="1" t="s">
        <v>10237</v>
      </c>
      <c r="AZ532" s="1" t="s">
        <v>10238</v>
      </c>
      <c r="BA532" s="1" t="s">
        <v>486</v>
      </c>
      <c r="BB532" s="1">
        <v>2022</v>
      </c>
      <c r="BC532" s="1">
        <v>44</v>
      </c>
      <c r="BD532" s="1">
        <v>11</v>
      </c>
      <c r="BE532" s="1" t="s">
        <v>82</v>
      </c>
      <c r="BF532" s="1" t="s">
        <v>82</v>
      </c>
      <c r="BG532" s="1" t="s">
        <v>82</v>
      </c>
      <c r="BH532" s="1" t="s">
        <v>82</v>
      </c>
      <c r="BI532" s="1">
        <v>5579</v>
      </c>
      <c r="BJ532" s="1">
        <v>5592</v>
      </c>
      <c r="BK532" s="1" t="s">
        <v>82</v>
      </c>
      <c r="BL532" s="1" t="s">
        <v>10239</v>
      </c>
      <c r="BM532" s="1" t="str">
        <f>HYPERLINK("http://dx.doi.org/10.3390/cimb44110378","http://dx.doi.org/10.3390/cimb44110378")</f>
        <v>http://dx.doi.org/10.3390/cimb44110378</v>
      </c>
      <c r="BN532" s="1" t="s">
        <v>82</v>
      </c>
      <c r="BO532" s="1" t="s">
        <v>82</v>
      </c>
      <c r="BP532" s="1">
        <v>14</v>
      </c>
      <c r="BQ532" s="1" t="s">
        <v>10240</v>
      </c>
      <c r="BR532" s="1" t="s">
        <v>104</v>
      </c>
      <c r="BS532" s="1" t="s">
        <v>10240</v>
      </c>
      <c r="BT532" s="1" t="s">
        <v>10241</v>
      </c>
      <c r="BU532" s="1">
        <v>36354690</v>
      </c>
      <c r="BV532" s="1" t="s">
        <v>592</v>
      </c>
      <c r="BW532" s="1" t="s">
        <v>82</v>
      </c>
      <c r="BX532" s="1" t="s">
        <v>82</v>
      </c>
      <c r="BY532" s="1" t="s">
        <v>108</v>
      </c>
      <c r="BZ532" s="1" t="s">
        <v>10242</v>
      </c>
      <c r="CA532" s="1" t="str">
        <f>HYPERLINK("https%3A%2F%2Fwww.webofscience.com%2Fwos%2Fwoscc%2Ffull-record%2FWOS:000883432600001","View Full Record in Web of Science")</f>
        <v>View Full Record in Web of Science</v>
      </c>
    </row>
    <row r="533" s="1" customFormat="1" ht="14.4" spans="1:79">
      <c r="A533">
        <v>532</v>
      </c>
      <c r="B533" s="2" t="s">
        <v>79</v>
      </c>
      <c r="C533" s="1" t="s">
        <v>80</v>
      </c>
      <c r="D533" s="1" t="s">
        <v>10243</v>
      </c>
      <c r="E533" s="1" t="s">
        <v>82</v>
      </c>
      <c r="F533" s="1" t="s">
        <v>82</v>
      </c>
      <c r="G533" s="1" t="s">
        <v>82</v>
      </c>
      <c r="H533" s="1" t="s">
        <v>10244</v>
      </c>
      <c r="I533" s="1" t="s">
        <v>82</v>
      </c>
      <c r="J533" s="1" t="s">
        <v>82</v>
      </c>
      <c r="K533" s="1" t="s">
        <v>10245</v>
      </c>
      <c r="L533" s="1" t="s">
        <v>10246</v>
      </c>
      <c r="M533" s="1">
        <v>2.958</v>
      </c>
      <c r="O533" s="1" t="s">
        <v>82</v>
      </c>
      <c r="P533" s="1" t="s">
        <v>82</v>
      </c>
      <c r="Q533" s="1" t="s">
        <v>87</v>
      </c>
      <c r="R533" s="1" t="s">
        <v>115</v>
      </c>
      <c r="S533" s="1" t="s">
        <v>82</v>
      </c>
      <c r="T533" s="1" t="s">
        <v>82</v>
      </c>
      <c r="U533" s="1" t="s">
        <v>82</v>
      </c>
      <c r="V533" s="1" t="s">
        <v>82</v>
      </c>
      <c r="W533" s="1" t="s">
        <v>82</v>
      </c>
      <c r="X533" s="1" t="s">
        <v>10247</v>
      </c>
      <c r="Y533" s="1" t="s">
        <v>10248</v>
      </c>
      <c r="Z533" s="1" t="s">
        <v>10249</v>
      </c>
      <c r="AB533" s="1" t="s">
        <v>10250</v>
      </c>
      <c r="AC533" s="1" t="s">
        <v>10251</v>
      </c>
      <c r="AD533" s="1" t="s">
        <v>120</v>
      </c>
      <c r="AE533" s="1" t="s">
        <v>10252</v>
      </c>
      <c r="AF533" s="1" t="s">
        <v>10253</v>
      </c>
      <c r="AG533" s="1" t="s">
        <v>10254</v>
      </c>
      <c r="AH533" s="1" t="s">
        <v>10255</v>
      </c>
      <c r="AI533" s="1" t="s">
        <v>10256</v>
      </c>
      <c r="AJ533" s="1" t="s">
        <v>10257</v>
      </c>
      <c r="AK533" s="1" t="s">
        <v>10258</v>
      </c>
      <c r="AL533" s="1" t="s">
        <v>10259</v>
      </c>
      <c r="AM533" s="1" t="s">
        <v>82</v>
      </c>
      <c r="AN533" s="1">
        <v>121</v>
      </c>
      <c r="AO533" s="1">
        <v>1</v>
      </c>
      <c r="AP533" s="1">
        <v>1</v>
      </c>
      <c r="AQ533" s="1">
        <v>17</v>
      </c>
      <c r="AR533" s="1">
        <v>17</v>
      </c>
      <c r="AS533" s="1" t="s">
        <v>6097</v>
      </c>
      <c r="AT533" s="1" t="s">
        <v>6098</v>
      </c>
      <c r="AU533" s="1" t="s">
        <v>6099</v>
      </c>
      <c r="AV533" s="1" t="s">
        <v>10260</v>
      </c>
      <c r="AW533" s="1" t="s">
        <v>10261</v>
      </c>
      <c r="AX533" s="1" t="s">
        <v>82</v>
      </c>
      <c r="AY533" s="1" t="s">
        <v>10246</v>
      </c>
      <c r="AZ533" s="1" t="s">
        <v>10262</v>
      </c>
      <c r="BA533" s="1" t="s">
        <v>927</v>
      </c>
      <c r="BB533" s="1">
        <v>2022</v>
      </c>
      <c r="BC533" s="1">
        <v>114</v>
      </c>
      <c r="BD533" s="1">
        <v>6</v>
      </c>
      <c r="BE533" s="1" t="s">
        <v>82</v>
      </c>
      <c r="BF533" s="1" t="s">
        <v>82</v>
      </c>
      <c r="BG533" s="1" t="s">
        <v>82</v>
      </c>
      <c r="BH533" s="1" t="s">
        <v>82</v>
      </c>
      <c r="BI533" s="1">
        <v>919</v>
      </c>
      <c r="BJ533" s="1">
        <v>933</v>
      </c>
      <c r="BK533" s="1" t="s">
        <v>82</v>
      </c>
      <c r="BL533" s="1" t="s">
        <v>10263</v>
      </c>
      <c r="BM533" s="1" t="str">
        <f>HYPERLINK("http://dx.doi.org/10.1080/00275514.2022.2115284","http://dx.doi.org/10.1080/00275514.2022.2115284")</f>
        <v>http://dx.doi.org/10.1080/00275514.2022.2115284</v>
      </c>
      <c r="BN533" s="1" t="s">
        <v>82</v>
      </c>
      <c r="BO533" s="1" t="s">
        <v>2084</v>
      </c>
      <c r="BP533" s="1">
        <v>15</v>
      </c>
      <c r="BQ533" s="1" t="s">
        <v>225</v>
      </c>
      <c r="BR533" s="1" t="s">
        <v>104</v>
      </c>
      <c r="BS533" s="1" t="s">
        <v>225</v>
      </c>
      <c r="BT533" s="1" t="s">
        <v>10264</v>
      </c>
      <c r="BU533" s="1">
        <v>36194092</v>
      </c>
      <c r="BV533" s="1" t="s">
        <v>82</v>
      </c>
      <c r="BW533" s="1" t="s">
        <v>82</v>
      </c>
      <c r="BX533" s="1" t="s">
        <v>82</v>
      </c>
      <c r="BY533" s="1" t="s">
        <v>108</v>
      </c>
      <c r="BZ533" s="1" t="s">
        <v>10265</v>
      </c>
      <c r="CA533" s="1" t="str">
        <f>HYPERLINK("https%3A%2F%2Fwww.webofscience.com%2Fwos%2Fwoscc%2Ffull-record%2FWOS:000863858800001","View Full Record in Web of Science")</f>
        <v>View Full Record in Web of Science</v>
      </c>
    </row>
    <row r="534" s="1" customFormat="1" ht="14.4" spans="1:79">
      <c r="A534">
        <v>533</v>
      </c>
      <c r="B534" s="2" t="s">
        <v>79</v>
      </c>
      <c r="C534" s="1" t="s">
        <v>80</v>
      </c>
      <c r="D534" s="1" t="s">
        <v>10266</v>
      </c>
      <c r="E534" s="1" t="s">
        <v>82</v>
      </c>
      <c r="F534" s="1" t="s">
        <v>82</v>
      </c>
      <c r="G534" s="1" t="s">
        <v>82</v>
      </c>
      <c r="H534" s="1" t="s">
        <v>10267</v>
      </c>
      <c r="I534" s="1" t="s">
        <v>82</v>
      </c>
      <c r="J534" s="1" t="s">
        <v>82</v>
      </c>
      <c r="K534" s="1" t="s">
        <v>10268</v>
      </c>
      <c r="L534" s="1" t="s">
        <v>10246</v>
      </c>
      <c r="M534" s="1">
        <v>2.958</v>
      </c>
      <c r="O534" s="1" t="s">
        <v>82</v>
      </c>
      <c r="P534" s="1" t="s">
        <v>82</v>
      </c>
      <c r="Q534" s="1" t="s">
        <v>87</v>
      </c>
      <c r="R534" s="1" t="s">
        <v>115</v>
      </c>
      <c r="S534" s="1" t="s">
        <v>82</v>
      </c>
      <c r="T534" s="1" t="s">
        <v>82</v>
      </c>
      <c r="U534" s="1" t="s">
        <v>82</v>
      </c>
      <c r="V534" s="1" t="s">
        <v>82</v>
      </c>
      <c r="W534" s="1" t="s">
        <v>82</v>
      </c>
      <c r="X534" s="1" t="s">
        <v>10269</v>
      </c>
      <c r="Y534" s="1" t="s">
        <v>10270</v>
      </c>
      <c r="Z534" s="1" t="s">
        <v>10271</v>
      </c>
      <c r="AB534" s="1" t="s">
        <v>10272</v>
      </c>
      <c r="AC534" s="1" t="s">
        <v>10273</v>
      </c>
      <c r="AD534" s="1" t="s">
        <v>120</v>
      </c>
      <c r="AE534" s="1" t="s">
        <v>10274</v>
      </c>
      <c r="AF534" s="1" t="s">
        <v>10275</v>
      </c>
      <c r="AG534" s="1" t="s">
        <v>10276</v>
      </c>
      <c r="AH534" s="1" t="s">
        <v>82</v>
      </c>
      <c r="AI534" s="1" t="s">
        <v>10277</v>
      </c>
      <c r="AJ534" s="1" t="s">
        <v>10278</v>
      </c>
      <c r="AK534" s="1" t="s">
        <v>10279</v>
      </c>
      <c r="AL534" s="1" t="s">
        <v>10280</v>
      </c>
      <c r="AM534" s="1" t="s">
        <v>82</v>
      </c>
      <c r="AN534" s="1">
        <v>37</v>
      </c>
      <c r="AO534" s="1">
        <v>1</v>
      </c>
      <c r="AP534" s="1">
        <v>1</v>
      </c>
      <c r="AQ534" s="1">
        <v>3</v>
      </c>
      <c r="AR534" s="1">
        <v>3</v>
      </c>
      <c r="AS534" s="1" t="s">
        <v>6097</v>
      </c>
      <c r="AT534" s="1" t="s">
        <v>6098</v>
      </c>
      <c r="AU534" s="1" t="s">
        <v>6099</v>
      </c>
      <c r="AV534" s="1" t="s">
        <v>10260</v>
      </c>
      <c r="AW534" s="1" t="s">
        <v>10261</v>
      </c>
      <c r="AX534" s="1" t="s">
        <v>82</v>
      </c>
      <c r="AY534" s="1" t="s">
        <v>10246</v>
      </c>
      <c r="AZ534" s="1" t="s">
        <v>10262</v>
      </c>
      <c r="BA534" s="1" t="s">
        <v>568</v>
      </c>
      <c r="BB534" s="1">
        <v>2022</v>
      </c>
      <c r="BC534" s="1">
        <v>114</v>
      </c>
      <c r="BD534" s="1">
        <v>4</v>
      </c>
      <c r="BE534" s="1" t="s">
        <v>82</v>
      </c>
      <c r="BF534" s="1" t="s">
        <v>82</v>
      </c>
      <c r="BG534" s="1" t="s">
        <v>82</v>
      </c>
      <c r="BH534" s="1" t="s">
        <v>82</v>
      </c>
      <c r="BI534" s="1">
        <v>748</v>
      </c>
      <c r="BJ534" s="1">
        <v>756</v>
      </c>
      <c r="BK534" s="1" t="s">
        <v>82</v>
      </c>
      <c r="BL534" s="1" t="s">
        <v>10281</v>
      </c>
      <c r="BM534" s="1" t="str">
        <f>HYPERLINK("http://dx.doi.org/10.1080/00275514.2022.2065781","http://dx.doi.org/10.1080/00275514.2022.2065781")</f>
        <v>http://dx.doi.org/10.1080/00275514.2022.2065781</v>
      </c>
      <c r="BN534" s="1" t="s">
        <v>82</v>
      </c>
      <c r="BO534" s="1" t="s">
        <v>1298</v>
      </c>
      <c r="BP534" s="1">
        <v>9</v>
      </c>
      <c r="BQ534" s="1" t="s">
        <v>225</v>
      </c>
      <c r="BR534" s="1" t="s">
        <v>104</v>
      </c>
      <c r="BS534" s="1" t="s">
        <v>225</v>
      </c>
      <c r="BT534" s="1" t="s">
        <v>10282</v>
      </c>
      <c r="BU534" s="1">
        <v>35666652</v>
      </c>
      <c r="BV534" s="1" t="s">
        <v>82</v>
      </c>
      <c r="BW534" s="1" t="s">
        <v>82</v>
      </c>
      <c r="BX534" s="1" t="s">
        <v>82</v>
      </c>
      <c r="BY534" s="1" t="s">
        <v>108</v>
      </c>
      <c r="BZ534" s="1" t="s">
        <v>10283</v>
      </c>
      <c r="CA534" s="1" t="str">
        <f>HYPERLINK("https%3A%2F%2Fwww.webofscience.com%2Fwos%2Fwoscc%2Ffull-record%2FWOS:000807058900001","View Full Record in Web of Science")</f>
        <v>View Full Record in Web of Science</v>
      </c>
    </row>
    <row r="535" s="1" customFormat="1" ht="14.4" spans="1:79">
      <c r="A535">
        <v>534</v>
      </c>
      <c r="B535" s="2" t="s">
        <v>79</v>
      </c>
      <c r="C535" s="1" t="s">
        <v>80</v>
      </c>
      <c r="D535" s="1" t="s">
        <v>10284</v>
      </c>
      <c r="E535" s="1" t="s">
        <v>82</v>
      </c>
      <c r="F535" s="1" t="s">
        <v>82</v>
      </c>
      <c r="G535" s="1" t="s">
        <v>82</v>
      </c>
      <c r="H535" s="1" t="s">
        <v>10285</v>
      </c>
      <c r="I535" s="1" t="s">
        <v>82</v>
      </c>
      <c r="J535" s="1" t="s">
        <v>82</v>
      </c>
      <c r="K535" s="1" t="s">
        <v>10286</v>
      </c>
      <c r="L535" s="1" t="s">
        <v>10246</v>
      </c>
      <c r="M535" s="1">
        <v>2.958</v>
      </c>
      <c r="O535" s="1" t="s">
        <v>82</v>
      </c>
      <c r="P535" s="1" t="s">
        <v>82</v>
      </c>
      <c r="Q535" s="1" t="s">
        <v>87</v>
      </c>
      <c r="R535" s="1" t="s">
        <v>115</v>
      </c>
      <c r="S535" s="1" t="s">
        <v>82</v>
      </c>
      <c r="T535" s="1" t="s">
        <v>82</v>
      </c>
      <c r="U535" s="1" t="s">
        <v>82</v>
      </c>
      <c r="V535" s="1" t="s">
        <v>82</v>
      </c>
      <c r="W535" s="1" t="s">
        <v>82</v>
      </c>
      <c r="X535" s="1" t="s">
        <v>10287</v>
      </c>
      <c r="Y535" s="1" t="s">
        <v>10288</v>
      </c>
      <c r="Z535" s="1" t="s">
        <v>10289</v>
      </c>
      <c r="AA535" s="1">
        <v>1</v>
      </c>
      <c r="AB535" s="1" t="s">
        <v>10290</v>
      </c>
      <c r="AC535" s="1" t="s">
        <v>10291</v>
      </c>
      <c r="AD535" s="1" t="s">
        <v>93</v>
      </c>
      <c r="AE535" s="1" t="s">
        <v>94</v>
      </c>
      <c r="AF535" s="1" t="s">
        <v>10292</v>
      </c>
      <c r="AG535" s="1" t="s">
        <v>8916</v>
      </c>
      <c r="AH535" s="1" t="s">
        <v>8917</v>
      </c>
      <c r="AI535" s="1" t="s">
        <v>8918</v>
      </c>
      <c r="AJ535" s="1" t="s">
        <v>10293</v>
      </c>
      <c r="AK535" s="1" t="s">
        <v>10294</v>
      </c>
      <c r="AL535" s="1" t="s">
        <v>10295</v>
      </c>
      <c r="AM535" s="1" t="s">
        <v>82</v>
      </c>
      <c r="AN535" s="1">
        <v>48</v>
      </c>
      <c r="AO535" s="1">
        <v>0</v>
      </c>
      <c r="AP535" s="1">
        <v>0</v>
      </c>
      <c r="AQ535" s="1">
        <v>1</v>
      </c>
      <c r="AR535" s="1">
        <v>3</v>
      </c>
      <c r="AS535" s="1" t="s">
        <v>6097</v>
      </c>
      <c r="AT535" s="1" t="s">
        <v>6098</v>
      </c>
      <c r="AU535" s="1" t="s">
        <v>6099</v>
      </c>
      <c r="AV535" s="1" t="s">
        <v>10260</v>
      </c>
      <c r="AW535" s="1" t="s">
        <v>10261</v>
      </c>
      <c r="AX535" s="1" t="s">
        <v>82</v>
      </c>
      <c r="AY535" s="1" t="s">
        <v>10246</v>
      </c>
      <c r="AZ535" s="1" t="s">
        <v>10262</v>
      </c>
      <c r="BA535" s="1" t="s">
        <v>2060</v>
      </c>
      <c r="BB535" s="1">
        <v>2022</v>
      </c>
      <c r="BC535" s="1">
        <v>114</v>
      </c>
      <c r="BD535" s="1">
        <v>2</v>
      </c>
      <c r="BE535" s="1" t="s">
        <v>82</v>
      </c>
      <c r="BF535" s="1" t="s">
        <v>82</v>
      </c>
      <c r="BG535" s="1" t="s">
        <v>82</v>
      </c>
      <c r="BH535" s="1" t="s">
        <v>82</v>
      </c>
      <c r="BI535" s="1">
        <v>303</v>
      </c>
      <c r="BJ535" s="1">
        <v>318</v>
      </c>
      <c r="BK535" s="1" t="s">
        <v>82</v>
      </c>
      <c r="BL535" s="1" t="s">
        <v>10296</v>
      </c>
      <c r="BM535" s="1" t="str">
        <f>HYPERLINK("http://dx.doi.org/10.1080/00275514.2022.2025563","http://dx.doi.org/10.1080/00275514.2022.2025563")</f>
        <v>http://dx.doi.org/10.1080/00275514.2022.2025563</v>
      </c>
      <c r="BN535" s="1" t="s">
        <v>82</v>
      </c>
      <c r="BO535" s="1" t="s">
        <v>282</v>
      </c>
      <c r="BP535" s="1">
        <v>16</v>
      </c>
      <c r="BQ535" s="1" t="s">
        <v>225</v>
      </c>
      <c r="BR535" s="1" t="s">
        <v>104</v>
      </c>
      <c r="BS535" s="1" t="s">
        <v>225</v>
      </c>
      <c r="BT535" s="1" t="s">
        <v>10297</v>
      </c>
      <c r="BU535" s="1">
        <v>35358019</v>
      </c>
      <c r="BV535" s="1" t="s">
        <v>82</v>
      </c>
      <c r="BW535" s="1" t="s">
        <v>82</v>
      </c>
      <c r="BX535" s="1" t="s">
        <v>82</v>
      </c>
      <c r="BY535" s="1" t="s">
        <v>108</v>
      </c>
      <c r="BZ535" s="1" t="s">
        <v>10298</v>
      </c>
      <c r="CA535" s="1" t="str">
        <f>HYPERLINK("https%3A%2F%2Fwww.webofscience.com%2Fwos%2Fwoscc%2Ffull-record%2FWOS:000776564700001","View Full Record in Web of Science")</f>
        <v>View Full Record in Web of Science</v>
      </c>
    </row>
    <row r="536" s="1" customFormat="1" ht="14.4" spans="1:79">
      <c r="A536">
        <v>535</v>
      </c>
      <c r="B536" s="2" t="s">
        <v>79</v>
      </c>
      <c r="C536" s="1" t="s">
        <v>80</v>
      </c>
      <c r="D536" s="1" t="s">
        <v>10299</v>
      </c>
      <c r="E536" s="1" t="s">
        <v>82</v>
      </c>
      <c r="F536" s="1" t="s">
        <v>82</v>
      </c>
      <c r="G536" s="1" t="s">
        <v>82</v>
      </c>
      <c r="H536" s="1" t="s">
        <v>10300</v>
      </c>
      <c r="I536" s="1" t="s">
        <v>82</v>
      </c>
      <c r="J536" s="1" t="s">
        <v>82</v>
      </c>
      <c r="K536" s="1" t="s">
        <v>10301</v>
      </c>
      <c r="L536" s="1" t="s">
        <v>10246</v>
      </c>
      <c r="M536" s="1">
        <v>2.958</v>
      </c>
      <c r="O536" s="1" t="s">
        <v>82</v>
      </c>
      <c r="P536" s="1" t="s">
        <v>82</v>
      </c>
      <c r="Q536" s="1" t="s">
        <v>87</v>
      </c>
      <c r="R536" s="1" t="s">
        <v>115</v>
      </c>
      <c r="S536" s="1" t="s">
        <v>82</v>
      </c>
      <c r="T536" s="1" t="s">
        <v>82</v>
      </c>
      <c r="U536" s="1" t="s">
        <v>82</v>
      </c>
      <c r="V536" s="1" t="s">
        <v>82</v>
      </c>
      <c r="W536" s="1" t="s">
        <v>82</v>
      </c>
      <c r="X536" s="1" t="s">
        <v>10302</v>
      </c>
      <c r="Y536" s="1" t="s">
        <v>10303</v>
      </c>
      <c r="Z536" s="1" t="s">
        <v>10304</v>
      </c>
      <c r="AA536" s="1">
        <v>1</v>
      </c>
      <c r="AB536" s="1" t="s">
        <v>1451</v>
      </c>
      <c r="AC536" s="1" t="s">
        <v>10305</v>
      </c>
      <c r="AD536" s="1" t="s">
        <v>93</v>
      </c>
      <c r="AE536" s="1" t="s">
        <v>1630</v>
      </c>
      <c r="AF536" s="1" t="s">
        <v>10306</v>
      </c>
      <c r="AG536" s="1" t="s">
        <v>10307</v>
      </c>
      <c r="AH536" s="1" t="s">
        <v>82</v>
      </c>
      <c r="AI536" s="1" t="s">
        <v>82</v>
      </c>
      <c r="AJ536" s="1" t="s">
        <v>10308</v>
      </c>
      <c r="AK536" s="1" t="s">
        <v>10309</v>
      </c>
      <c r="AL536" s="1" t="s">
        <v>10310</v>
      </c>
      <c r="AM536" s="1" t="s">
        <v>82</v>
      </c>
      <c r="AN536" s="1">
        <v>48</v>
      </c>
      <c r="AO536" s="1">
        <v>1</v>
      </c>
      <c r="AP536" s="1">
        <v>1</v>
      </c>
      <c r="AQ536" s="1">
        <v>6</v>
      </c>
      <c r="AR536" s="1">
        <v>12</v>
      </c>
      <c r="AS536" s="1" t="s">
        <v>6097</v>
      </c>
      <c r="AT536" s="1" t="s">
        <v>6098</v>
      </c>
      <c r="AU536" s="1" t="s">
        <v>6099</v>
      </c>
      <c r="AV536" s="1" t="s">
        <v>10260</v>
      </c>
      <c r="AW536" s="1" t="s">
        <v>10261</v>
      </c>
      <c r="AX536" s="1" t="s">
        <v>82</v>
      </c>
      <c r="AY536" s="1" t="s">
        <v>10246</v>
      </c>
      <c r="AZ536" s="1" t="s">
        <v>10262</v>
      </c>
      <c r="BA536" s="1" t="s">
        <v>10311</v>
      </c>
      <c r="BB536" s="1">
        <v>2022</v>
      </c>
      <c r="BC536" s="1">
        <v>114</v>
      </c>
      <c r="BD536" s="1">
        <v>1</v>
      </c>
      <c r="BE536" s="1" t="s">
        <v>82</v>
      </c>
      <c r="BF536" s="1" t="s">
        <v>82</v>
      </c>
      <c r="BG536" s="1" t="s">
        <v>82</v>
      </c>
      <c r="BH536" s="1" t="s">
        <v>82</v>
      </c>
      <c r="BI536" s="1">
        <v>144</v>
      </c>
      <c r="BJ536" s="1">
        <v>156</v>
      </c>
      <c r="BK536" s="1" t="s">
        <v>82</v>
      </c>
      <c r="BL536" s="1" t="s">
        <v>10312</v>
      </c>
      <c r="BM536" s="1" t="str">
        <f>HYPERLINK("http://dx.doi.org/10.1080/00275514.2021.1971450","http://dx.doi.org/10.1080/00275514.2021.1971450")</f>
        <v>http://dx.doi.org/10.1080/00275514.2021.1971450</v>
      </c>
      <c r="BN536" s="1" t="s">
        <v>82</v>
      </c>
      <c r="BO536" s="1" t="s">
        <v>904</v>
      </c>
      <c r="BP536" s="1">
        <v>13</v>
      </c>
      <c r="BQ536" s="1" t="s">
        <v>225</v>
      </c>
      <c r="BR536" s="1" t="s">
        <v>104</v>
      </c>
      <c r="BS536" s="1" t="s">
        <v>225</v>
      </c>
      <c r="BT536" s="1" t="s">
        <v>10313</v>
      </c>
      <c r="BU536" s="1">
        <v>34851225</v>
      </c>
      <c r="BV536" s="1" t="s">
        <v>82</v>
      </c>
      <c r="BW536" s="1" t="s">
        <v>82</v>
      </c>
      <c r="BX536" s="1" t="s">
        <v>82</v>
      </c>
      <c r="BY536" s="1" t="s">
        <v>108</v>
      </c>
      <c r="BZ536" s="1" t="s">
        <v>10314</v>
      </c>
      <c r="CA536" s="1" t="str">
        <f>HYPERLINK("https%3A%2F%2Fwww.webofscience.com%2Fwos%2Fwoscc%2Ffull-record%2FWOS:000724737500001","View Full Record in Web of Science")</f>
        <v>View Full Record in Web of Science</v>
      </c>
    </row>
    <row r="537" s="1" customFormat="1" ht="14.4" spans="1:79">
      <c r="A537">
        <v>536</v>
      </c>
      <c r="B537" s="2" t="s">
        <v>79</v>
      </c>
      <c r="C537" s="1" t="s">
        <v>80</v>
      </c>
      <c r="D537" s="1" t="s">
        <v>10315</v>
      </c>
      <c r="E537" s="1" t="s">
        <v>82</v>
      </c>
      <c r="F537" s="1" t="s">
        <v>82</v>
      </c>
      <c r="G537" s="1" t="s">
        <v>82</v>
      </c>
      <c r="H537" s="1" t="s">
        <v>10316</v>
      </c>
      <c r="I537" s="1" t="s">
        <v>82</v>
      </c>
      <c r="J537" s="1" t="s">
        <v>82</v>
      </c>
      <c r="K537" s="1" t="s">
        <v>10317</v>
      </c>
      <c r="L537" s="1" t="s">
        <v>10318</v>
      </c>
      <c r="M537" s="1">
        <v>2.957</v>
      </c>
      <c r="O537" s="1" t="s">
        <v>82</v>
      </c>
      <c r="P537" s="1" t="s">
        <v>82</v>
      </c>
      <c r="Q537" s="1" t="s">
        <v>87</v>
      </c>
      <c r="R537" s="1" t="s">
        <v>10319</v>
      </c>
      <c r="S537" s="1" t="s">
        <v>82</v>
      </c>
      <c r="T537" s="1" t="s">
        <v>82</v>
      </c>
      <c r="U537" s="1" t="s">
        <v>82</v>
      </c>
      <c r="V537" s="1" t="s">
        <v>82</v>
      </c>
      <c r="W537" s="1" t="s">
        <v>82</v>
      </c>
      <c r="X537" s="1" t="s">
        <v>82</v>
      </c>
      <c r="Y537" s="1" t="s">
        <v>82</v>
      </c>
      <c r="Z537" s="1" t="s">
        <v>82</v>
      </c>
      <c r="AA537" s="1">
        <v>1</v>
      </c>
      <c r="AB537" s="1" t="s">
        <v>7988</v>
      </c>
      <c r="AC537" s="1" t="s">
        <v>10320</v>
      </c>
      <c r="AD537" s="1" t="s">
        <v>93</v>
      </c>
      <c r="AE537" s="1" t="s">
        <v>3467</v>
      </c>
      <c r="AF537" s="1" t="s">
        <v>10321</v>
      </c>
      <c r="AG537" s="1" t="s">
        <v>82</v>
      </c>
      <c r="AH537" s="1" t="s">
        <v>82</v>
      </c>
      <c r="AI537" s="1" t="s">
        <v>82</v>
      </c>
      <c r="AJ537" s="1" t="s">
        <v>82</v>
      </c>
      <c r="AK537" s="1" t="s">
        <v>82</v>
      </c>
      <c r="AL537" s="1" t="s">
        <v>82</v>
      </c>
      <c r="AM537" s="1" t="s">
        <v>82</v>
      </c>
      <c r="AN537" s="1">
        <v>0</v>
      </c>
      <c r="AO537" s="1">
        <v>0</v>
      </c>
      <c r="AP537" s="1">
        <v>0</v>
      </c>
      <c r="AQ537" s="1">
        <v>0</v>
      </c>
      <c r="AR537" s="1">
        <v>0</v>
      </c>
      <c r="AS537" s="1" t="s">
        <v>10322</v>
      </c>
      <c r="AT537" s="1" t="s">
        <v>216</v>
      </c>
      <c r="AU537" s="1" t="s">
        <v>10323</v>
      </c>
      <c r="AV537" s="1" t="s">
        <v>10324</v>
      </c>
      <c r="AW537" s="1" t="s">
        <v>10325</v>
      </c>
      <c r="AX537" s="1" t="s">
        <v>82</v>
      </c>
      <c r="AY537" s="1" t="s">
        <v>10318</v>
      </c>
      <c r="AZ537" s="1" t="s">
        <v>10326</v>
      </c>
      <c r="BA537" s="1" t="s">
        <v>486</v>
      </c>
      <c r="BB537" s="1">
        <v>2022</v>
      </c>
      <c r="BC537" s="1">
        <v>56</v>
      </c>
      <c r="BD537" s="1">
        <v>6</v>
      </c>
      <c r="BE537" s="1" t="s">
        <v>82</v>
      </c>
      <c r="BF537" s="1" t="s">
        <v>82</v>
      </c>
      <c r="BG537" s="1" t="s">
        <v>82</v>
      </c>
      <c r="BH537" s="1" t="s">
        <v>82</v>
      </c>
      <c r="BI537" s="1">
        <v>811</v>
      </c>
      <c r="BJ537" s="1">
        <v>812</v>
      </c>
      <c r="BK537" s="1" t="s">
        <v>82</v>
      </c>
      <c r="BL537" s="1" t="s">
        <v>82</v>
      </c>
      <c r="BM537" s="1" t="s">
        <v>82</v>
      </c>
      <c r="BN537" s="1" t="s">
        <v>82</v>
      </c>
      <c r="BO537" s="1" t="s">
        <v>82</v>
      </c>
      <c r="BP537" s="1">
        <v>2</v>
      </c>
      <c r="BQ537" s="1" t="s">
        <v>2773</v>
      </c>
      <c r="BR537" s="1" t="s">
        <v>104</v>
      </c>
      <c r="BS537" s="1" t="s">
        <v>1011</v>
      </c>
      <c r="BT537" s="1" t="s">
        <v>10327</v>
      </c>
      <c r="BU537" s="1" t="s">
        <v>82</v>
      </c>
      <c r="BV537" s="1" t="s">
        <v>82</v>
      </c>
      <c r="BW537" s="1" t="s">
        <v>82</v>
      </c>
      <c r="BX537" s="1" t="s">
        <v>82</v>
      </c>
      <c r="BY537" s="1" t="s">
        <v>108</v>
      </c>
      <c r="BZ537" s="1" t="s">
        <v>10328</v>
      </c>
      <c r="CA537" s="1" t="str">
        <f>HYPERLINK("https%3A%2F%2Fwww.webofscience.com%2Fwos%2Fwoscc%2Ffull-record%2FWOS:000884288100009","View Full Record in Web of Science")</f>
        <v>View Full Record in Web of Science</v>
      </c>
    </row>
    <row r="538" s="1" customFormat="1" ht="14.4" spans="1:79">
      <c r="A538">
        <v>537</v>
      </c>
      <c r="B538" s="2" t="s">
        <v>79</v>
      </c>
      <c r="C538" s="1" t="s">
        <v>80</v>
      </c>
      <c r="D538" s="1" t="s">
        <v>10329</v>
      </c>
      <c r="E538" s="1" t="s">
        <v>82</v>
      </c>
      <c r="F538" s="1" t="s">
        <v>82</v>
      </c>
      <c r="G538" s="1" t="s">
        <v>82</v>
      </c>
      <c r="H538" s="1" t="s">
        <v>10330</v>
      </c>
      <c r="I538" s="1" t="s">
        <v>82</v>
      </c>
      <c r="J538" s="1" t="s">
        <v>82</v>
      </c>
      <c r="K538" s="1" t="s">
        <v>10331</v>
      </c>
      <c r="L538" s="1" t="s">
        <v>10318</v>
      </c>
      <c r="M538" s="1">
        <v>2.957</v>
      </c>
      <c r="O538" s="1" t="s">
        <v>82</v>
      </c>
      <c r="P538" s="1" t="s">
        <v>82</v>
      </c>
      <c r="Q538" s="1" t="s">
        <v>87</v>
      </c>
      <c r="R538" s="1" t="s">
        <v>10319</v>
      </c>
      <c r="S538" s="1" t="s">
        <v>82</v>
      </c>
      <c r="T538" s="1" t="s">
        <v>82</v>
      </c>
      <c r="U538" s="1" t="s">
        <v>82</v>
      </c>
      <c r="V538" s="1" t="s">
        <v>82</v>
      </c>
      <c r="W538" s="1" t="s">
        <v>82</v>
      </c>
      <c r="X538" s="1" t="s">
        <v>82</v>
      </c>
      <c r="Y538" s="1" t="s">
        <v>82</v>
      </c>
      <c r="Z538" s="1" t="s">
        <v>82</v>
      </c>
      <c r="AB538" s="1" t="s">
        <v>10332</v>
      </c>
      <c r="AC538" s="1" t="s">
        <v>10333</v>
      </c>
      <c r="AD538" s="1" t="s">
        <v>206</v>
      </c>
      <c r="AE538" s="1" t="s">
        <v>10334</v>
      </c>
      <c r="AF538" s="1" t="s">
        <v>10335</v>
      </c>
      <c r="AG538" s="1" t="s">
        <v>7024</v>
      </c>
      <c r="AH538" s="1" t="s">
        <v>82</v>
      </c>
      <c r="AI538" s="1" t="s">
        <v>3571</v>
      </c>
      <c r="AJ538" s="1" t="s">
        <v>82</v>
      </c>
      <c r="AK538" s="1" t="s">
        <v>82</v>
      </c>
      <c r="AL538" s="1" t="s">
        <v>82</v>
      </c>
      <c r="AM538" s="1" t="s">
        <v>82</v>
      </c>
      <c r="AN538" s="1">
        <v>0</v>
      </c>
      <c r="AO538" s="1">
        <v>0</v>
      </c>
      <c r="AP538" s="1">
        <v>0</v>
      </c>
      <c r="AQ538" s="1">
        <v>3</v>
      </c>
      <c r="AR538" s="1">
        <v>3</v>
      </c>
      <c r="AS538" s="1" t="s">
        <v>10322</v>
      </c>
      <c r="AT538" s="1" t="s">
        <v>216</v>
      </c>
      <c r="AU538" s="1" t="s">
        <v>10323</v>
      </c>
      <c r="AV538" s="1" t="s">
        <v>10324</v>
      </c>
      <c r="AW538" s="1" t="s">
        <v>10325</v>
      </c>
      <c r="AX538" s="1" t="s">
        <v>82</v>
      </c>
      <c r="AY538" s="1" t="s">
        <v>10318</v>
      </c>
      <c r="AZ538" s="1" t="s">
        <v>10326</v>
      </c>
      <c r="BA538" s="1" t="s">
        <v>486</v>
      </c>
      <c r="BB538" s="1">
        <v>2022</v>
      </c>
      <c r="BC538" s="1">
        <v>56</v>
      </c>
      <c r="BD538" s="1">
        <v>6</v>
      </c>
      <c r="BE538" s="1" t="s">
        <v>82</v>
      </c>
      <c r="BF538" s="1" t="s">
        <v>82</v>
      </c>
      <c r="BG538" s="1" t="s">
        <v>82</v>
      </c>
      <c r="BH538" s="1" t="s">
        <v>82</v>
      </c>
      <c r="BI538" s="1">
        <v>811</v>
      </c>
      <c r="BJ538" s="1">
        <v>811</v>
      </c>
      <c r="BK538" s="1" t="s">
        <v>82</v>
      </c>
      <c r="BL538" s="1" t="s">
        <v>10336</v>
      </c>
      <c r="BM538" s="1" t="str">
        <f>HYPERLINK("http://dx.doi.org/10.1017/S0030605322001053","http://dx.doi.org/10.1017/S0030605322001053")</f>
        <v>http://dx.doi.org/10.1017/S0030605322001053</v>
      </c>
      <c r="BN538" s="1" t="s">
        <v>82</v>
      </c>
      <c r="BO538" s="1" t="s">
        <v>82</v>
      </c>
      <c r="BP538" s="1">
        <v>1</v>
      </c>
      <c r="BQ538" s="1" t="s">
        <v>2773</v>
      </c>
      <c r="BR538" s="1" t="s">
        <v>104</v>
      </c>
      <c r="BS538" s="1" t="s">
        <v>1011</v>
      </c>
      <c r="BT538" s="1" t="s">
        <v>10327</v>
      </c>
      <c r="BU538" s="1" t="s">
        <v>82</v>
      </c>
      <c r="BV538" s="1" t="s">
        <v>808</v>
      </c>
      <c r="BW538" s="1" t="s">
        <v>82</v>
      </c>
      <c r="BX538" s="1" t="s">
        <v>82</v>
      </c>
      <c r="BY538" s="1" t="s">
        <v>108</v>
      </c>
      <c r="BZ538" s="1" t="s">
        <v>10337</v>
      </c>
      <c r="CA538" s="1" t="str">
        <f>HYPERLINK("https%3A%2F%2Fwww.webofscience.com%2Fwos%2Fwoscc%2Ffull-record%2FWOS:000884288100008","View Full Record in Web of Science")</f>
        <v>View Full Record in Web of Science</v>
      </c>
    </row>
    <row r="539" s="1" customFormat="1" ht="14.4" spans="1:79">
      <c r="A539">
        <v>538</v>
      </c>
      <c r="B539" s="2" t="s">
        <v>79</v>
      </c>
      <c r="C539" s="1" t="s">
        <v>80</v>
      </c>
      <c r="D539" s="1" t="s">
        <v>10338</v>
      </c>
      <c r="E539" s="1" t="s">
        <v>82</v>
      </c>
      <c r="F539" s="1" t="s">
        <v>82</v>
      </c>
      <c r="G539" s="1" t="s">
        <v>82</v>
      </c>
      <c r="H539" s="1" t="s">
        <v>10339</v>
      </c>
      <c r="I539" s="1" t="s">
        <v>82</v>
      </c>
      <c r="J539" s="1" t="s">
        <v>82</v>
      </c>
      <c r="K539" s="1" t="s">
        <v>10340</v>
      </c>
      <c r="L539" s="1" t="s">
        <v>10318</v>
      </c>
      <c r="M539" s="1">
        <v>2.957</v>
      </c>
      <c r="O539" s="1" t="s">
        <v>82</v>
      </c>
      <c r="P539" s="1" t="s">
        <v>82</v>
      </c>
      <c r="Q539" s="1" t="s">
        <v>87</v>
      </c>
      <c r="R539" s="1" t="s">
        <v>10319</v>
      </c>
      <c r="S539" s="1" t="s">
        <v>82</v>
      </c>
      <c r="T539" s="1" t="s">
        <v>82</v>
      </c>
      <c r="U539" s="1" t="s">
        <v>82</v>
      </c>
      <c r="V539" s="1" t="s">
        <v>82</v>
      </c>
      <c r="W539" s="1" t="s">
        <v>82</v>
      </c>
      <c r="X539" s="1" t="s">
        <v>82</v>
      </c>
      <c r="Y539" s="1" t="s">
        <v>82</v>
      </c>
      <c r="Z539" s="1" t="s">
        <v>82</v>
      </c>
      <c r="AA539" s="1">
        <v>1</v>
      </c>
      <c r="AB539" s="1" t="s">
        <v>10341</v>
      </c>
      <c r="AC539" s="1" t="s">
        <v>10342</v>
      </c>
      <c r="AD539" s="1" t="s">
        <v>93</v>
      </c>
      <c r="AE539" s="1" t="s">
        <v>3467</v>
      </c>
      <c r="AF539" s="1" t="s">
        <v>10343</v>
      </c>
      <c r="AG539" s="1" t="s">
        <v>3421</v>
      </c>
      <c r="AH539" s="1" t="s">
        <v>82</v>
      </c>
      <c r="AI539" s="1" t="s">
        <v>82</v>
      </c>
      <c r="AJ539" s="1" t="s">
        <v>82</v>
      </c>
      <c r="AK539" s="1" t="s">
        <v>82</v>
      </c>
      <c r="AL539" s="1" t="s">
        <v>82</v>
      </c>
      <c r="AM539" s="1" t="s">
        <v>82</v>
      </c>
      <c r="AN539" s="1">
        <v>0</v>
      </c>
      <c r="AO539" s="1">
        <v>0</v>
      </c>
      <c r="AP539" s="1">
        <v>0</v>
      </c>
      <c r="AQ539" s="1">
        <v>0</v>
      </c>
      <c r="AR539" s="1">
        <v>0</v>
      </c>
      <c r="AS539" s="1" t="s">
        <v>10322</v>
      </c>
      <c r="AT539" s="1" t="s">
        <v>216</v>
      </c>
      <c r="AU539" s="1" t="s">
        <v>10323</v>
      </c>
      <c r="AV539" s="1" t="s">
        <v>10324</v>
      </c>
      <c r="AW539" s="1" t="s">
        <v>10325</v>
      </c>
      <c r="AX539" s="1" t="s">
        <v>82</v>
      </c>
      <c r="AY539" s="1" t="s">
        <v>10318</v>
      </c>
      <c r="AZ539" s="1" t="s">
        <v>10326</v>
      </c>
      <c r="BA539" s="1" t="s">
        <v>486</v>
      </c>
      <c r="BB539" s="1">
        <v>2022</v>
      </c>
      <c r="BC539" s="1">
        <v>56</v>
      </c>
      <c r="BD539" s="1">
        <v>6</v>
      </c>
      <c r="BE539" s="1" t="s">
        <v>82</v>
      </c>
      <c r="BF539" s="1" t="s">
        <v>82</v>
      </c>
      <c r="BG539" s="1" t="s">
        <v>82</v>
      </c>
      <c r="BH539" s="1" t="s">
        <v>82</v>
      </c>
      <c r="BI539" s="1">
        <v>812</v>
      </c>
      <c r="BJ539" s="1">
        <v>812</v>
      </c>
      <c r="BK539" s="1" t="s">
        <v>82</v>
      </c>
      <c r="BL539" s="1" t="s">
        <v>10344</v>
      </c>
      <c r="BM539" s="1" t="str">
        <f>HYPERLINK("http://dx.doi.org/10.1017/S0030605322001089","http://dx.doi.org/10.1017/S0030605322001089")</f>
        <v>http://dx.doi.org/10.1017/S0030605322001089</v>
      </c>
      <c r="BN539" s="1" t="s">
        <v>82</v>
      </c>
      <c r="BO539" s="1" t="s">
        <v>82</v>
      </c>
      <c r="BP539" s="1">
        <v>1</v>
      </c>
      <c r="BQ539" s="1" t="s">
        <v>2773</v>
      </c>
      <c r="BR539" s="1" t="s">
        <v>104</v>
      </c>
      <c r="BS539" s="1" t="s">
        <v>1011</v>
      </c>
      <c r="BT539" s="1" t="s">
        <v>10327</v>
      </c>
      <c r="BU539" s="1" t="s">
        <v>82</v>
      </c>
      <c r="BV539" s="1" t="s">
        <v>808</v>
      </c>
      <c r="BW539" s="1" t="s">
        <v>82</v>
      </c>
      <c r="BX539" s="1" t="s">
        <v>82</v>
      </c>
      <c r="BY539" s="1" t="s">
        <v>108</v>
      </c>
      <c r="BZ539" s="1" t="s">
        <v>10345</v>
      </c>
      <c r="CA539" s="1" t="str">
        <f>HYPERLINK("https%3A%2F%2Fwww.webofscience.com%2Fwos%2Fwoscc%2Ffull-record%2FWOS:000884288100010","View Full Record in Web of Science")</f>
        <v>View Full Record in Web of Science</v>
      </c>
    </row>
    <row r="540" s="1" customFormat="1" ht="14.4" spans="1:79">
      <c r="A540">
        <v>539</v>
      </c>
      <c r="B540" s="2" t="s">
        <v>110</v>
      </c>
      <c r="C540" s="1" t="s">
        <v>80</v>
      </c>
      <c r="D540" s="1" t="s">
        <v>10346</v>
      </c>
      <c r="E540" s="1" t="s">
        <v>82</v>
      </c>
      <c r="F540" s="1" t="s">
        <v>82</v>
      </c>
      <c r="G540" s="1" t="s">
        <v>82</v>
      </c>
      <c r="H540" s="1" t="s">
        <v>10347</v>
      </c>
      <c r="I540" s="1" t="s">
        <v>82</v>
      </c>
      <c r="J540" s="1" t="s">
        <v>82</v>
      </c>
      <c r="K540" s="1" t="s">
        <v>10348</v>
      </c>
      <c r="L540" s="1" t="s">
        <v>10349</v>
      </c>
      <c r="M540" s="1">
        <v>2.942</v>
      </c>
      <c r="O540" s="1" t="s">
        <v>82</v>
      </c>
      <c r="P540" s="1" t="s">
        <v>82</v>
      </c>
      <c r="Q540" s="1" t="s">
        <v>87</v>
      </c>
      <c r="R540" s="1" t="s">
        <v>115</v>
      </c>
      <c r="S540" s="1" t="s">
        <v>82</v>
      </c>
      <c r="T540" s="1" t="s">
        <v>82</v>
      </c>
      <c r="U540" s="1" t="s">
        <v>82</v>
      </c>
      <c r="V540" s="1" t="s">
        <v>82</v>
      </c>
      <c r="W540" s="1" t="s">
        <v>82</v>
      </c>
      <c r="X540" s="1" t="s">
        <v>10350</v>
      </c>
      <c r="Y540" s="1" t="s">
        <v>10351</v>
      </c>
      <c r="Z540" s="1" t="s">
        <v>10352</v>
      </c>
      <c r="AA540" s="1">
        <v>1</v>
      </c>
      <c r="AB540" s="1" t="s">
        <v>2594</v>
      </c>
      <c r="AC540" s="1" t="s">
        <v>10353</v>
      </c>
      <c r="AD540" s="1" t="s">
        <v>93</v>
      </c>
      <c r="AE540" s="1" t="s">
        <v>10354</v>
      </c>
      <c r="AF540" s="1" t="s">
        <v>10355</v>
      </c>
      <c r="AG540" s="1" t="s">
        <v>6093</v>
      </c>
      <c r="AH540" s="1" t="s">
        <v>82</v>
      </c>
      <c r="AI540" s="1" t="s">
        <v>2599</v>
      </c>
      <c r="AJ540" s="1" t="s">
        <v>10356</v>
      </c>
      <c r="AK540" s="1" t="s">
        <v>10357</v>
      </c>
      <c r="AL540" s="1" t="s">
        <v>10358</v>
      </c>
      <c r="AM540" s="1" t="s">
        <v>82</v>
      </c>
      <c r="AN540" s="1">
        <v>38</v>
      </c>
      <c r="AO540" s="1">
        <v>1</v>
      </c>
      <c r="AP540" s="1">
        <v>1</v>
      </c>
      <c r="AQ540" s="1">
        <v>5</v>
      </c>
      <c r="AR540" s="1">
        <v>5</v>
      </c>
      <c r="AS540" s="1" t="s">
        <v>10359</v>
      </c>
      <c r="AT540" s="1" t="s">
        <v>216</v>
      </c>
      <c r="AU540" s="1" t="s">
        <v>10360</v>
      </c>
      <c r="AV540" s="1" t="s">
        <v>10361</v>
      </c>
      <c r="AW540" s="1" t="s">
        <v>10362</v>
      </c>
      <c r="AX540" s="1" t="s">
        <v>82</v>
      </c>
      <c r="AY540" s="1" t="s">
        <v>10363</v>
      </c>
      <c r="AZ540" s="1" t="s">
        <v>10364</v>
      </c>
      <c r="BA540" s="1" t="s">
        <v>2123</v>
      </c>
      <c r="BB540" s="1">
        <v>2022</v>
      </c>
      <c r="BC540" s="1">
        <v>117</v>
      </c>
      <c r="BD540" s="1" t="s">
        <v>82</v>
      </c>
      <c r="BE540" s="1" t="s">
        <v>82</v>
      </c>
      <c r="BF540" s="1" t="s">
        <v>82</v>
      </c>
      <c r="BG540" s="1" t="s">
        <v>82</v>
      </c>
      <c r="BH540" s="1" t="s">
        <v>82</v>
      </c>
      <c r="BI540" s="1" t="s">
        <v>82</v>
      </c>
      <c r="BJ540" s="1" t="s">
        <v>82</v>
      </c>
      <c r="BK540" s="1">
        <v>108325</v>
      </c>
      <c r="BL540" s="1" t="s">
        <v>10365</v>
      </c>
      <c r="BM540" s="1" t="str">
        <f>HYPERLINK("http://dx.doi.org/10.1016/j.jmgm.2022.108325","http://dx.doi.org/10.1016/j.jmgm.2022.108325")</f>
        <v>http://dx.doi.org/10.1016/j.jmgm.2022.108325</v>
      </c>
      <c r="BN540" s="1" t="s">
        <v>82</v>
      </c>
      <c r="BO540" s="1" t="s">
        <v>224</v>
      </c>
      <c r="BP540" s="1">
        <v>10</v>
      </c>
      <c r="BQ540" s="1" t="s">
        <v>10366</v>
      </c>
      <c r="BR540" s="1" t="s">
        <v>104</v>
      </c>
      <c r="BS540" s="1" t="s">
        <v>10367</v>
      </c>
      <c r="BT540" s="1" t="s">
        <v>10368</v>
      </c>
      <c r="BU540" s="1">
        <v>36088765</v>
      </c>
      <c r="BV540" s="1" t="s">
        <v>82</v>
      </c>
      <c r="BW540" s="1" t="s">
        <v>82</v>
      </c>
      <c r="BX540" s="1" t="s">
        <v>82</v>
      </c>
      <c r="BY540" s="1" t="s">
        <v>108</v>
      </c>
      <c r="BZ540" s="1" t="s">
        <v>10369</v>
      </c>
      <c r="CA540" s="1" t="str">
        <f>HYPERLINK("https%3A%2F%2Fwww.webofscience.com%2Fwos%2Fwoscc%2Ffull-record%2FWOS:000874971400001","View Full Record in Web of Science")</f>
        <v>View Full Record in Web of Science</v>
      </c>
    </row>
    <row r="541" s="1" customFormat="1" ht="14.4" spans="1:79">
      <c r="A541">
        <v>540</v>
      </c>
      <c r="B541" s="2" t="s">
        <v>79</v>
      </c>
      <c r="C541" s="1" t="s">
        <v>80</v>
      </c>
      <c r="D541" s="1" t="s">
        <v>10370</v>
      </c>
      <c r="E541" s="1" t="s">
        <v>82</v>
      </c>
      <c r="F541" s="1" t="s">
        <v>82</v>
      </c>
      <c r="G541" s="1" t="s">
        <v>82</v>
      </c>
      <c r="H541" s="1" t="s">
        <v>10371</v>
      </c>
      <c r="I541" s="1" t="s">
        <v>82</v>
      </c>
      <c r="J541" s="1" t="s">
        <v>82</v>
      </c>
      <c r="K541" s="1" t="s">
        <v>10372</v>
      </c>
      <c r="L541" s="1" t="s">
        <v>10373</v>
      </c>
      <c r="M541" s="1">
        <v>2.923</v>
      </c>
      <c r="O541" s="1" t="s">
        <v>82</v>
      </c>
      <c r="P541" s="1" t="s">
        <v>82</v>
      </c>
      <c r="Q541" s="1" t="s">
        <v>87</v>
      </c>
      <c r="R541" s="1" t="s">
        <v>115</v>
      </c>
      <c r="S541" s="1" t="s">
        <v>82</v>
      </c>
      <c r="T541" s="1" t="s">
        <v>82</v>
      </c>
      <c r="U541" s="1" t="s">
        <v>82</v>
      </c>
      <c r="V541" s="1" t="s">
        <v>82</v>
      </c>
      <c r="W541" s="1" t="s">
        <v>82</v>
      </c>
      <c r="X541" s="1" t="s">
        <v>10374</v>
      </c>
      <c r="Y541" s="1" t="s">
        <v>10375</v>
      </c>
      <c r="Z541" s="1" t="s">
        <v>10376</v>
      </c>
      <c r="AA541" s="1">
        <v>1</v>
      </c>
      <c r="AB541" s="1" t="s">
        <v>10377</v>
      </c>
      <c r="AC541" s="1" t="s">
        <v>10378</v>
      </c>
      <c r="AD541" s="1" t="s">
        <v>93</v>
      </c>
      <c r="AE541" s="1" t="s">
        <v>10379</v>
      </c>
      <c r="AF541" s="1" t="s">
        <v>10380</v>
      </c>
      <c r="AG541" s="1" t="s">
        <v>10381</v>
      </c>
      <c r="AH541" s="1" t="s">
        <v>1695</v>
      </c>
      <c r="AI541" s="1" t="s">
        <v>10382</v>
      </c>
      <c r="AJ541" s="1" t="s">
        <v>10383</v>
      </c>
      <c r="AK541" s="1" t="s">
        <v>10384</v>
      </c>
      <c r="AL541" s="1" t="s">
        <v>10385</v>
      </c>
      <c r="AM541" s="1" t="s">
        <v>82</v>
      </c>
      <c r="AN541" s="1">
        <v>38</v>
      </c>
      <c r="AO541" s="1">
        <v>0</v>
      </c>
      <c r="AP541" s="1">
        <v>0</v>
      </c>
      <c r="AQ541" s="1">
        <v>11</v>
      </c>
      <c r="AR541" s="1">
        <v>15</v>
      </c>
      <c r="AS541" s="1" t="s">
        <v>2117</v>
      </c>
      <c r="AT541" s="1" t="s">
        <v>2118</v>
      </c>
      <c r="AU541" s="1" t="s">
        <v>2119</v>
      </c>
      <c r="AV541" s="1" t="s">
        <v>82</v>
      </c>
      <c r="AW541" s="1" t="s">
        <v>10386</v>
      </c>
      <c r="AX541" s="1" t="s">
        <v>82</v>
      </c>
      <c r="AY541" s="1" t="s">
        <v>10373</v>
      </c>
      <c r="AZ541" s="1" t="s">
        <v>10387</v>
      </c>
      <c r="BA541" s="1" t="s">
        <v>1146</v>
      </c>
      <c r="BB541" s="1">
        <v>2022</v>
      </c>
      <c r="BC541" s="1">
        <v>8</v>
      </c>
      <c r="BD541" s="1">
        <v>6</v>
      </c>
      <c r="BE541" s="1" t="s">
        <v>82</v>
      </c>
      <c r="BF541" s="1" t="s">
        <v>82</v>
      </c>
      <c r="BG541" s="1" t="s">
        <v>82</v>
      </c>
      <c r="BH541" s="1" t="s">
        <v>82</v>
      </c>
      <c r="BI541" s="1" t="s">
        <v>82</v>
      </c>
      <c r="BJ541" s="1" t="s">
        <v>82</v>
      </c>
      <c r="BK541" s="1">
        <v>522</v>
      </c>
      <c r="BL541" s="1" t="s">
        <v>10388</v>
      </c>
      <c r="BM541" s="1" t="str">
        <f>HYPERLINK("http://dx.doi.org/10.3390/horticulturae8060522","http://dx.doi.org/10.3390/horticulturae8060522")</f>
        <v>http://dx.doi.org/10.3390/horticulturae8060522</v>
      </c>
      <c r="BN541" s="1" t="s">
        <v>82</v>
      </c>
      <c r="BO541" s="1" t="s">
        <v>82</v>
      </c>
      <c r="BP541" s="1">
        <v>14</v>
      </c>
      <c r="BQ541" s="1" t="s">
        <v>7501</v>
      </c>
      <c r="BR541" s="1" t="s">
        <v>104</v>
      </c>
      <c r="BS541" s="1" t="s">
        <v>1881</v>
      </c>
      <c r="BT541" s="1" t="s">
        <v>10389</v>
      </c>
      <c r="BU541" s="1" t="s">
        <v>82</v>
      </c>
      <c r="BV541" s="1" t="s">
        <v>808</v>
      </c>
      <c r="BW541" s="1" t="s">
        <v>82</v>
      </c>
      <c r="BX541" s="1" t="s">
        <v>82</v>
      </c>
      <c r="BY541" s="1" t="s">
        <v>108</v>
      </c>
      <c r="BZ541" s="1" t="s">
        <v>10390</v>
      </c>
      <c r="CA541" s="1" t="str">
        <f>HYPERLINK("https%3A%2F%2Fwww.webofscience.com%2Fwos%2Fwoscc%2Ffull-record%2FWOS:000817598900001","View Full Record in Web of Science")</f>
        <v>View Full Record in Web of Science</v>
      </c>
    </row>
    <row r="542" s="1" customFormat="1" ht="14.4" spans="1:79">
      <c r="A542">
        <v>541</v>
      </c>
      <c r="B542" s="2" t="s">
        <v>79</v>
      </c>
      <c r="C542" s="1" t="s">
        <v>80</v>
      </c>
      <c r="D542" s="1" t="s">
        <v>10391</v>
      </c>
      <c r="E542" s="1" t="s">
        <v>82</v>
      </c>
      <c r="F542" s="1" t="s">
        <v>82</v>
      </c>
      <c r="G542" s="1" t="s">
        <v>82</v>
      </c>
      <c r="H542" s="1" t="s">
        <v>10392</v>
      </c>
      <c r="I542" s="1" t="s">
        <v>82</v>
      </c>
      <c r="J542" s="1" t="s">
        <v>82</v>
      </c>
      <c r="K542" s="1" t="s">
        <v>10393</v>
      </c>
      <c r="L542" s="1" t="s">
        <v>10394</v>
      </c>
      <c r="M542" s="1">
        <v>2.828</v>
      </c>
      <c r="O542" s="1" t="s">
        <v>82</v>
      </c>
      <c r="P542" s="1" t="s">
        <v>82</v>
      </c>
      <c r="Q542" s="1" t="s">
        <v>87</v>
      </c>
      <c r="R542" s="1" t="s">
        <v>1624</v>
      </c>
      <c r="S542" s="1" t="s">
        <v>82</v>
      </c>
      <c r="T542" s="1" t="s">
        <v>82</v>
      </c>
      <c r="U542" s="1" t="s">
        <v>82</v>
      </c>
      <c r="V542" s="1" t="s">
        <v>82</v>
      </c>
      <c r="W542" s="1" t="s">
        <v>82</v>
      </c>
      <c r="X542" s="1" t="s">
        <v>10395</v>
      </c>
      <c r="Y542" s="1" t="s">
        <v>10396</v>
      </c>
      <c r="Z542" s="1" t="s">
        <v>10397</v>
      </c>
      <c r="AA542" s="1">
        <v>1</v>
      </c>
      <c r="AB542" s="1" t="s">
        <v>10398</v>
      </c>
      <c r="AC542" s="1" t="s">
        <v>10399</v>
      </c>
      <c r="AD542" s="1" t="s">
        <v>93</v>
      </c>
      <c r="AE542" s="1" t="s">
        <v>1630</v>
      </c>
      <c r="AF542" s="1" t="s">
        <v>10400</v>
      </c>
      <c r="AG542" s="1" t="s">
        <v>10401</v>
      </c>
      <c r="AH542" s="1" t="s">
        <v>82</v>
      </c>
      <c r="AI542" s="1" t="s">
        <v>349</v>
      </c>
      <c r="AJ542" s="1" t="s">
        <v>10402</v>
      </c>
      <c r="AK542" s="1" t="s">
        <v>10403</v>
      </c>
      <c r="AL542" s="1" t="s">
        <v>10404</v>
      </c>
      <c r="AM542" s="1" t="s">
        <v>82</v>
      </c>
      <c r="AN542" s="1">
        <v>134</v>
      </c>
      <c r="AO542" s="1">
        <v>0</v>
      </c>
      <c r="AP542" s="1">
        <v>0</v>
      </c>
      <c r="AQ542" s="1">
        <v>2</v>
      </c>
      <c r="AR542" s="1">
        <v>2</v>
      </c>
      <c r="AS542" s="1" t="s">
        <v>328</v>
      </c>
      <c r="AT542" s="1" t="s">
        <v>329</v>
      </c>
      <c r="AU542" s="1" t="s">
        <v>330</v>
      </c>
      <c r="AV542" s="1" t="s">
        <v>10405</v>
      </c>
      <c r="AW542" s="1" t="s">
        <v>10406</v>
      </c>
      <c r="AX542" s="1" t="s">
        <v>82</v>
      </c>
      <c r="AY542" s="1" t="s">
        <v>10407</v>
      </c>
      <c r="AZ542" s="1" t="s">
        <v>10408</v>
      </c>
      <c r="BA542" s="1" t="s">
        <v>82</v>
      </c>
      <c r="BB542" s="1" t="s">
        <v>82</v>
      </c>
      <c r="BC542" s="1" t="s">
        <v>82</v>
      </c>
      <c r="BD542" s="1" t="s">
        <v>82</v>
      </c>
      <c r="BE542" s="1" t="s">
        <v>82</v>
      </c>
      <c r="BF542" s="1" t="s">
        <v>82</v>
      </c>
      <c r="BG542" s="1" t="s">
        <v>82</v>
      </c>
      <c r="BH542" s="1" t="s">
        <v>82</v>
      </c>
      <c r="BI542" s="1" t="s">
        <v>82</v>
      </c>
      <c r="BJ542" s="1" t="s">
        <v>82</v>
      </c>
      <c r="BK542" s="1" t="s">
        <v>82</v>
      </c>
      <c r="BL542" s="1" t="s">
        <v>10409</v>
      </c>
      <c r="BM542" s="1" t="str">
        <f>HYPERLINK("http://dx.doi.org/10.1093/botlinnean/boac045","http://dx.doi.org/10.1093/botlinnean/boac045")</f>
        <v>http://dx.doi.org/10.1093/botlinnean/boac045</v>
      </c>
      <c r="BN542" s="1" t="s">
        <v>82</v>
      </c>
      <c r="BO542" s="1" t="s">
        <v>1618</v>
      </c>
      <c r="BP542" s="1">
        <v>24</v>
      </c>
      <c r="BQ542" s="1" t="s">
        <v>378</v>
      </c>
      <c r="BR542" s="1" t="s">
        <v>104</v>
      </c>
      <c r="BS542" s="1" t="s">
        <v>378</v>
      </c>
      <c r="BT542" s="1" t="s">
        <v>10410</v>
      </c>
      <c r="BU542" s="1" t="s">
        <v>82</v>
      </c>
      <c r="BV542" s="1" t="s">
        <v>82</v>
      </c>
      <c r="BW542" s="1" t="s">
        <v>82</v>
      </c>
      <c r="BX542" s="1" t="s">
        <v>82</v>
      </c>
      <c r="BY542" s="1" t="s">
        <v>108</v>
      </c>
      <c r="BZ542" s="1" t="s">
        <v>10411</v>
      </c>
      <c r="CA542" s="1" t="str">
        <f>HYPERLINK("https%3A%2F%2Fwww.webofscience.com%2Fwos%2Fwoscc%2Ffull-record%2FWOS:000894140400001","View Full Record in Web of Science")</f>
        <v>View Full Record in Web of Science</v>
      </c>
    </row>
    <row r="543" s="1" customFormat="1" ht="14.4" spans="1:79">
      <c r="A543">
        <v>542</v>
      </c>
      <c r="B543" s="2" t="s">
        <v>79</v>
      </c>
      <c r="C543" s="1" t="s">
        <v>80</v>
      </c>
      <c r="D543" s="1" t="s">
        <v>10412</v>
      </c>
      <c r="E543" s="1" t="s">
        <v>82</v>
      </c>
      <c r="F543" s="1" t="s">
        <v>82</v>
      </c>
      <c r="G543" s="1" t="s">
        <v>82</v>
      </c>
      <c r="H543" s="1" t="s">
        <v>10413</v>
      </c>
      <c r="I543" s="1" t="s">
        <v>82</v>
      </c>
      <c r="J543" s="1" t="s">
        <v>82</v>
      </c>
      <c r="K543" s="1" t="s">
        <v>10414</v>
      </c>
      <c r="L543" s="1" t="s">
        <v>10394</v>
      </c>
      <c r="M543" s="1">
        <v>2.828</v>
      </c>
      <c r="O543" s="1" t="s">
        <v>82</v>
      </c>
      <c r="P543" s="1" t="s">
        <v>82</v>
      </c>
      <c r="Q543" s="1" t="s">
        <v>87</v>
      </c>
      <c r="R543" s="1" t="s">
        <v>1624</v>
      </c>
      <c r="S543" s="1" t="s">
        <v>82</v>
      </c>
      <c r="T543" s="1" t="s">
        <v>82</v>
      </c>
      <c r="U543" s="1" t="s">
        <v>82</v>
      </c>
      <c r="V543" s="1" t="s">
        <v>82</v>
      </c>
      <c r="W543" s="1" t="s">
        <v>82</v>
      </c>
      <c r="X543" s="1" t="s">
        <v>10415</v>
      </c>
      <c r="Y543" s="1" t="s">
        <v>10416</v>
      </c>
      <c r="Z543" s="1" t="s">
        <v>10417</v>
      </c>
      <c r="AA543" s="1">
        <v>1</v>
      </c>
      <c r="AB543" s="1" t="s">
        <v>10418</v>
      </c>
      <c r="AC543" s="1" t="s">
        <v>10419</v>
      </c>
      <c r="AD543" s="1" t="s">
        <v>93</v>
      </c>
      <c r="AE543" s="1" t="s">
        <v>10420</v>
      </c>
      <c r="AF543" s="1" t="s">
        <v>10421</v>
      </c>
      <c r="AG543" s="1" t="s">
        <v>10422</v>
      </c>
      <c r="AH543" s="1" t="s">
        <v>82</v>
      </c>
      <c r="AI543" s="1" t="s">
        <v>82</v>
      </c>
      <c r="AJ543" s="1" t="s">
        <v>10423</v>
      </c>
      <c r="AK543" s="1" t="s">
        <v>10424</v>
      </c>
      <c r="AL543" s="1" t="s">
        <v>10425</v>
      </c>
      <c r="AM543" s="1" t="s">
        <v>82</v>
      </c>
      <c r="AN543" s="1">
        <v>91</v>
      </c>
      <c r="AO543" s="1">
        <v>1</v>
      </c>
      <c r="AP543" s="1">
        <v>1</v>
      </c>
      <c r="AQ543" s="1">
        <v>8</v>
      </c>
      <c r="AR543" s="1">
        <v>8</v>
      </c>
      <c r="AS543" s="1" t="s">
        <v>328</v>
      </c>
      <c r="AT543" s="1" t="s">
        <v>329</v>
      </c>
      <c r="AU543" s="1" t="s">
        <v>330</v>
      </c>
      <c r="AV543" s="1" t="s">
        <v>10405</v>
      </c>
      <c r="AW543" s="1" t="s">
        <v>10406</v>
      </c>
      <c r="AX543" s="1" t="s">
        <v>82</v>
      </c>
      <c r="AY543" s="1" t="s">
        <v>10407</v>
      </c>
      <c r="AZ543" s="1" t="s">
        <v>10408</v>
      </c>
      <c r="BA543" s="1" t="s">
        <v>82</v>
      </c>
      <c r="BB543" s="1" t="s">
        <v>82</v>
      </c>
      <c r="BC543" s="1" t="s">
        <v>82</v>
      </c>
      <c r="BD543" s="1" t="s">
        <v>82</v>
      </c>
      <c r="BE543" s="1" t="s">
        <v>82</v>
      </c>
      <c r="BF543" s="1" t="s">
        <v>82</v>
      </c>
      <c r="BG543" s="1" t="s">
        <v>82</v>
      </c>
      <c r="BH543" s="1" t="s">
        <v>82</v>
      </c>
      <c r="BI543" s="1" t="s">
        <v>82</v>
      </c>
      <c r="BJ543" s="1" t="s">
        <v>82</v>
      </c>
      <c r="BK543" s="1" t="s">
        <v>82</v>
      </c>
      <c r="BL543" s="1" t="s">
        <v>10426</v>
      </c>
      <c r="BM543" s="1" t="str">
        <f>HYPERLINK("http://dx.doi.org/10.1093/botlinnean/boac033","http://dx.doi.org/10.1093/botlinnean/boac033")</f>
        <v>http://dx.doi.org/10.1093/botlinnean/boac033</v>
      </c>
      <c r="BN543" s="1" t="s">
        <v>82</v>
      </c>
      <c r="BO543" s="1" t="s">
        <v>224</v>
      </c>
      <c r="BP543" s="1">
        <v>19</v>
      </c>
      <c r="BQ543" s="1" t="s">
        <v>378</v>
      </c>
      <c r="BR543" s="1" t="s">
        <v>104</v>
      </c>
      <c r="BS543" s="1" t="s">
        <v>378</v>
      </c>
      <c r="BT543" s="1" t="s">
        <v>10427</v>
      </c>
      <c r="BU543" s="1" t="s">
        <v>82</v>
      </c>
      <c r="BV543" s="1" t="s">
        <v>82</v>
      </c>
      <c r="BW543" s="1" t="s">
        <v>82</v>
      </c>
      <c r="BX543" s="1" t="s">
        <v>82</v>
      </c>
      <c r="BY543" s="1" t="s">
        <v>108</v>
      </c>
      <c r="BZ543" s="1" t="s">
        <v>10428</v>
      </c>
      <c r="CA543" s="1" t="str">
        <f>HYPERLINK("https%3A%2F%2Fwww.webofscience.com%2Fwos%2Fwoscc%2Ffull-record%2FWOS:000855876800001","View Full Record in Web of Science")</f>
        <v>View Full Record in Web of Science</v>
      </c>
    </row>
    <row r="544" s="1" customFormat="1" ht="14.4" spans="1:79">
      <c r="A544">
        <v>543</v>
      </c>
      <c r="B544" s="2" t="s">
        <v>79</v>
      </c>
      <c r="C544" s="1" t="s">
        <v>80</v>
      </c>
      <c r="D544" s="1" t="s">
        <v>10429</v>
      </c>
      <c r="E544" s="1" t="s">
        <v>82</v>
      </c>
      <c r="F544" s="1" t="s">
        <v>82</v>
      </c>
      <c r="G544" s="1" t="s">
        <v>82</v>
      </c>
      <c r="H544" s="1" t="s">
        <v>10430</v>
      </c>
      <c r="I544" s="1" t="s">
        <v>82</v>
      </c>
      <c r="J544" s="1" t="s">
        <v>82</v>
      </c>
      <c r="K544" s="1" t="s">
        <v>10431</v>
      </c>
      <c r="L544" s="1" t="s">
        <v>10394</v>
      </c>
      <c r="M544" s="1">
        <v>2.828</v>
      </c>
      <c r="O544" s="1" t="s">
        <v>82</v>
      </c>
      <c r="P544" s="1" t="s">
        <v>82</v>
      </c>
      <c r="Q544" s="1" t="s">
        <v>87</v>
      </c>
      <c r="R544" s="1" t="s">
        <v>115</v>
      </c>
      <c r="S544" s="1" t="s">
        <v>82</v>
      </c>
      <c r="T544" s="1" t="s">
        <v>82</v>
      </c>
      <c r="U544" s="1" t="s">
        <v>82</v>
      </c>
      <c r="V544" s="1" t="s">
        <v>82</v>
      </c>
      <c r="W544" s="1" t="s">
        <v>82</v>
      </c>
      <c r="X544" s="1" t="s">
        <v>10432</v>
      </c>
      <c r="Y544" s="1" t="s">
        <v>10433</v>
      </c>
      <c r="Z544" s="1" t="s">
        <v>10434</v>
      </c>
      <c r="AB544" s="1" t="s">
        <v>10435</v>
      </c>
      <c r="AC544" s="1" t="s">
        <v>10436</v>
      </c>
      <c r="AD544" s="1" t="s">
        <v>120</v>
      </c>
      <c r="AE544" s="1" t="s">
        <v>10437</v>
      </c>
      <c r="AF544" s="1" t="s">
        <v>10438</v>
      </c>
      <c r="AG544" s="1" t="s">
        <v>10439</v>
      </c>
      <c r="AH544" s="1" t="s">
        <v>6610</v>
      </c>
      <c r="AI544" s="1" t="s">
        <v>10440</v>
      </c>
      <c r="AJ544" s="1" t="s">
        <v>10441</v>
      </c>
      <c r="AK544" s="1" t="s">
        <v>10442</v>
      </c>
      <c r="AL544" s="1" t="s">
        <v>10443</v>
      </c>
      <c r="AM544" s="1" t="s">
        <v>82</v>
      </c>
      <c r="AN544" s="1">
        <v>63</v>
      </c>
      <c r="AO544" s="1">
        <v>1</v>
      </c>
      <c r="AP544" s="1">
        <v>1</v>
      </c>
      <c r="AQ544" s="1">
        <v>4</v>
      </c>
      <c r="AR544" s="1">
        <v>5</v>
      </c>
      <c r="AS544" s="1" t="s">
        <v>328</v>
      </c>
      <c r="AT544" s="1" t="s">
        <v>329</v>
      </c>
      <c r="AU544" s="1" t="s">
        <v>330</v>
      </c>
      <c r="AV544" s="1" t="s">
        <v>10405</v>
      </c>
      <c r="AW544" s="1" t="s">
        <v>10406</v>
      </c>
      <c r="AX544" s="1" t="s">
        <v>82</v>
      </c>
      <c r="AY544" s="1" t="s">
        <v>10407</v>
      </c>
      <c r="AZ544" s="1" t="s">
        <v>10408</v>
      </c>
      <c r="BA544" s="1" t="s">
        <v>10444</v>
      </c>
      <c r="BB544" s="1">
        <v>2022</v>
      </c>
      <c r="BC544" s="1">
        <v>199</v>
      </c>
      <c r="BD544" s="1">
        <v>4</v>
      </c>
      <c r="BE544" s="1" t="s">
        <v>82</v>
      </c>
      <c r="BF544" s="1" t="s">
        <v>82</v>
      </c>
      <c r="BG544" s="1" t="s">
        <v>82</v>
      </c>
      <c r="BH544" s="1" t="s">
        <v>82</v>
      </c>
      <c r="BI544" s="1">
        <v>741</v>
      </c>
      <c r="BJ544" s="1">
        <v>753</v>
      </c>
      <c r="BK544" s="1" t="s">
        <v>82</v>
      </c>
      <c r="BL544" s="1" t="s">
        <v>10445</v>
      </c>
      <c r="BM544" s="1" t="str">
        <f>HYPERLINK("http://dx.doi.org/10.1093/botlinnean/boab089","http://dx.doi.org/10.1093/botlinnean/boab089")</f>
        <v>http://dx.doi.org/10.1093/botlinnean/boab089</v>
      </c>
      <c r="BN544" s="1" t="s">
        <v>82</v>
      </c>
      <c r="BO544" s="1" t="s">
        <v>82</v>
      </c>
      <c r="BP544" s="1">
        <v>13</v>
      </c>
      <c r="BQ544" s="1" t="s">
        <v>378</v>
      </c>
      <c r="BR544" s="1" t="s">
        <v>104</v>
      </c>
      <c r="BS544" s="1" t="s">
        <v>378</v>
      </c>
      <c r="BT544" s="1" t="s">
        <v>10446</v>
      </c>
      <c r="BU544" s="1" t="s">
        <v>82</v>
      </c>
      <c r="BV544" s="1" t="s">
        <v>1124</v>
      </c>
      <c r="BW544" s="1" t="s">
        <v>82</v>
      </c>
      <c r="BX544" s="1" t="s">
        <v>82</v>
      </c>
      <c r="BY544" s="1" t="s">
        <v>108</v>
      </c>
      <c r="BZ544" s="1" t="s">
        <v>10447</v>
      </c>
      <c r="CA544" s="1" t="str">
        <f>HYPERLINK("https%3A%2F%2Fwww.webofscience.com%2Fwos%2Fwoscc%2Ffull-record%2FWOS:000827254500001","View Full Record in Web of Science")</f>
        <v>View Full Record in Web of Science</v>
      </c>
    </row>
    <row r="545" s="1" customFormat="1" ht="14.4" spans="1:79">
      <c r="A545">
        <v>544</v>
      </c>
      <c r="B545" s="2" t="s">
        <v>79</v>
      </c>
      <c r="C545" s="1" t="s">
        <v>80</v>
      </c>
      <c r="D545" s="1" t="s">
        <v>10448</v>
      </c>
      <c r="E545" s="1" t="s">
        <v>82</v>
      </c>
      <c r="F545" s="1" t="s">
        <v>82</v>
      </c>
      <c r="G545" s="1" t="s">
        <v>82</v>
      </c>
      <c r="H545" s="1" t="s">
        <v>10449</v>
      </c>
      <c r="I545" s="1" t="s">
        <v>82</v>
      </c>
      <c r="J545" s="1" t="s">
        <v>82</v>
      </c>
      <c r="K545" s="1" t="s">
        <v>10450</v>
      </c>
      <c r="L545" s="1" t="s">
        <v>10394</v>
      </c>
      <c r="M545" s="1">
        <v>2.828</v>
      </c>
      <c r="O545" s="1" t="s">
        <v>82</v>
      </c>
      <c r="P545" s="1" t="s">
        <v>82</v>
      </c>
      <c r="Q545" s="1" t="s">
        <v>87</v>
      </c>
      <c r="R545" s="1" t="s">
        <v>115</v>
      </c>
      <c r="S545" s="1" t="s">
        <v>82</v>
      </c>
      <c r="T545" s="1" t="s">
        <v>82</v>
      </c>
      <c r="U545" s="1" t="s">
        <v>82</v>
      </c>
      <c r="V545" s="1" t="s">
        <v>82</v>
      </c>
      <c r="W545" s="1" t="s">
        <v>82</v>
      </c>
      <c r="X545" s="1" t="s">
        <v>10451</v>
      </c>
      <c r="Y545" s="1" t="s">
        <v>10452</v>
      </c>
      <c r="Z545" s="1" t="s">
        <v>10453</v>
      </c>
      <c r="AB545" s="1" t="s">
        <v>10454</v>
      </c>
      <c r="AC545" s="1" t="s">
        <v>10455</v>
      </c>
      <c r="AD545" s="1" t="s">
        <v>120</v>
      </c>
      <c r="AE545" s="1" t="s">
        <v>10456</v>
      </c>
      <c r="AF545" s="1" t="s">
        <v>10457</v>
      </c>
      <c r="AG545" s="1" t="s">
        <v>10458</v>
      </c>
      <c r="AH545" s="1" t="s">
        <v>82</v>
      </c>
      <c r="AI545" s="1" t="s">
        <v>10459</v>
      </c>
      <c r="AJ545" s="1" t="s">
        <v>10460</v>
      </c>
      <c r="AK545" s="1" t="s">
        <v>10461</v>
      </c>
      <c r="AL545" s="1" t="s">
        <v>10462</v>
      </c>
      <c r="AM545" s="1" t="s">
        <v>82</v>
      </c>
      <c r="AN545" s="1">
        <v>121</v>
      </c>
      <c r="AO545" s="1">
        <v>1</v>
      </c>
      <c r="AP545" s="1">
        <v>1</v>
      </c>
      <c r="AQ545" s="1">
        <v>10</v>
      </c>
      <c r="AR545" s="1">
        <v>17</v>
      </c>
      <c r="AS545" s="1" t="s">
        <v>328</v>
      </c>
      <c r="AT545" s="1" t="s">
        <v>329</v>
      </c>
      <c r="AU545" s="1" t="s">
        <v>330</v>
      </c>
      <c r="AV545" s="1" t="s">
        <v>10405</v>
      </c>
      <c r="AW545" s="1" t="s">
        <v>10406</v>
      </c>
      <c r="AX545" s="1" t="s">
        <v>82</v>
      </c>
      <c r="AY545" s="1" t="s">
        <v>10407</v>
      </c>
      <c r="AZ545" s="1" t="s">
        <v>10408</v>
      </c>
      <c r="BA545" s="1" t="s">
        <v>10463</v>
      </c>
      <c r="BB545" s="1">
        <v>2022</v>
      </c>
      <c r="BC545" s="1">
        <v>200</v>
      </c>
      <c r="BD545" s="1">
        <v>1</v>
      </c>
      <c r="BE545" s="1" t="s">
        <v>82</v>
      </c>
      <c r="BF545" s="1" t="s">
        <v>82</v>
      </c>
      <c r="BG545" s="1" t="s">
        <v>82</v>
      </c>
      <c r="BH545" s="1" t="s">
        <v>82</v>
      </c>
      <c r="BI545" s="1">
        <v>15</v>
      </c>
      <c r="BJ545" s="1">
        <v>38</v>
      </c>
      <c r="BK545" s="1" t="s">
        <v>82</v>
      </c>
      <c r="BL545" s="1" t="s">
        <v>10464</v>
      </c>
      <c r="BM545" s="1" t="str">
        <f>HYPERLINK("http://dx.doi.org/10.1093/botlinnean/boab104","http://dx.doi.org/10.1093/botlinnean/boab104")</f>
        <v>http://dx.doi.org/10.1093/botlinnean/boab104</v>
      </c>
      <c r="BN545" s="1" t="s">
        <v>82</v>
      </c>
      <c r="BO545" s="1" t="s">
        <v>282</v>
      </c>
      <c r="BP545" s="1">
        <v>24</v>
      </c>
      <c r="BQ545" s="1" t="s">
        <v>378</v>
      </c>
      <c r="BR545" s="1" t="s">
        <v>104</v>
      </c>
      <c r="BS545" s="1" t="s">
        <v>378</v>
      </c>
      <c r="BT545" s="1" t="s">
        <v>10465</v>
      </c>
      <c r="BU545" s="1" t="s">
        <v>82</v>
      </c>
      <c r="BV545" s="1" t="s">
        <v>82</v>
      </c>
      <c r="BW545" s="1" t="s">
        <v>82</v>
      </c>
      <c r="BX545" s="1" t="s">
        <v>82</v>
      </c>
      <c r="BY545" s="1" t="s">
        <v>108</v>
      </c>
      <c r="BZ545" s="1" t="s">
        <v>10466</v>
      </c>
      <c r="CA545" s="1" t="str">
        <f>HYPERLINK("https%3A%2F%2Fwww.webofscience.com%2Fwos%2Fwoscc%2Ffull-record%2FWOS:000783082600001","View Full Record in Web of Science")</f>
        <v>View Full Record in Web of Science</v>
      </c>
    </row>
    <row r="546" s="1" customFormat="1" ht="14.4" spans="1:79">
      <c r="A546">
        <v>545</v>
      </c>
      <c r="B546" s="2" t="s">
        <v>79</v>
      </c>
      <c r="C546" s="1" t="s">
        <v>80</v>
      </c>
      <c r="D546" s="1" t="s">
        <v>10467</v>
      </c>
      <c r="E546" s="1" t="s">
        <v>82</v>
      </c>
      <c r="F546" s="1" t="s">
        <v>82</v>
      </c>
      <c r="G546" s="1" t="s">
        <v>82</v>
      </c>
      <c r="H546" s="1" t="s">
        <v>10468</v>
      </c>
      <c r="I546" s="1" t="s">
        <v>82</v>
      </c>
      <c r="J546" s="1" t="s">
        <v>82</v>
      </c>
      <c r="K546" s="1" t="s">
        <v>10469</v>
      </c>
      <c r="L546" s="1" t="s">
        <v>10394</v>
      </c>
      <c r="M546" s="1">
        <v>2.828</v>
      </c>
      <c r="O546" s="1" t="s">
        <v>82</v>
      </c>
      <c r="P546" s="1" t="s">
        <v>82</v>
      </c>
      <c r="Q546" s="1" t="s">
        <v>87</v>
      </c>
      <c r="R546" s="1" t="s">
        <v>115</v>
      </c>
      <c r="S546" s="1" t="s">
        <v>82</v>
      </c>
      <c r="T546" s="1" t="s">
        <v>82</v>
      </c>
      <c r="U546" s="1" t="s">
        <v>82</v>
      </c>
      <c r="V546" s="1" t="s">
        <v>82</v>
      </c>
      <c r="W546" s="1" t="s">
        <v>82</v>
      </c>
      <c r="X546" s="1" t="s">
        <v>10470</v>
      </c>
      <c r="Y546" s="1" t="s">
        <v>10471</v>
      </c>
      <c r="Z546" s="1" t="s">
        <v>10472</v>
      </c>
      <c r="AB546" s="1" t="s">
        <v>10473</v>
      </c>
      <c r="AC546" s="1" t="s">
        <v>10474</v>
      </c>
      <c r="AD546" s="1" t="s">
        <v>120</v>
      </c>
      <c r="AE546" s="1" t="s">
        <v>10475</v>
      </c>
      <c r="AF546" s="1" t="s">
        <v>10476</v>
      </c>
      <c r="AG546" s="1" t="s">
        <v>10477</v>
      </c>
      <c r="AH546" s="1" t="s">
        <v>3826</v>
      </c>
      <c r="AI546" s="1" t="s">
        <v>82</v>
      </c>
      <c r="AJ546" s="1" t="s">
        <v>10478</v>
      </c>
      <c r="AK546" s="1" t="s">
        <v>10479</v>
      </c>
      <c r="AL546" s="1" t="s">
        <v>10480</v>
      </c>
      <c r="AM546" s="1" t="s">
        <v>82</v>
      </c>
      <c r="AN546" s="1">
        <v>47</v>
      </c>
      <c r="AO546" s="1">
        <v>0</v>
      </c>
      <c r="AP546" s="1">
        <v>0</v>
      </c>
      <c r="AQ546" s="1">
        <v>11</v>
      </c>
      <c r="AR546" s="1">
        <v>21</v>
      </c>
      <c r="AS546" s="1" t="s">
        <v>328</v>
      </c>
      <c r="AT546" s="1" t="s">
        <v>329</v>
      </c>
      <c r="AU546" s="1" t="s">
        <v>330</v>
      </c>
      <c r="AV546" s="1" t="s">
        <v>10405</v>
      </c>
      <c r="AW546" s="1" t="s">
        <v>10406</v>
      </c>
      <c r="AX546" s="1" t="s">
        <v>82</v>
      </c>
      <c r="AY546" s="1" t="s">
        <v>10407</v>
      </c>
      <c r="AZ546" s="1" t="s">
        <v>10408</v>
      </c>
      <c r="BA546" s="1" t="s">
        <v>10481</v>
      </c>
      <c r="BB546" s="1">
        <v>2022</v>
      </c>
      <c r="BC546" s="1">
        <v>199</v>
      </c>
      <c r="BD546" s="1">
        <v>3</v>
      </c>
      <c r="BE546" s="1" t="s">
        <v>82</v>
      </c>
      <c r="BF546" s="1" t="s">
        <v>82</v>
      </c>
      <c r="BG546" s="1" t="s">
        <v>82</v>
      </c>
      <c r="BH546" s="1" t="s">
        <v>82</v>
      </c>
      <c r="BI546" s="1">
        <v>678</v>
      </c>
      <c r="BJ546" s="1">
        <v>693</v>
      </c>
      <c r="BK546" s="1" t="s">
        <v>82</v>
      </c>
      <c r="BL546" s="1" t="s">
        <v>10482</v>
      </c>
      <c r="BM546" s="1" t="str">
        <f>HYPERLINK("http://dx.doi.org/10.1093/botlinnean/boab074","http://dx.doi.org/10.1093/botlinnean/boab074")</f>
        <v>http://dx.doi.org/10.1093/botlinnean/boab074</v>
      </c>
      <c r="BN546" s="1" t="s">
        <v>82</v>
      </c>
      <c r="BO546" s="1" t="s">
        <v>296</v>
      </c>
      <c r="BP546" s="1">
        <v>16</v>
      </c>
      <c r="BQ546" s="1" t="s">
        <v>378</v>
      </c>
      <c r="BR546" s="1" t="s">
        <v>104</v>
      </c>
      <c r="BS546" s="1" t="s">
        <v>378</v>
      </c>
      <c r="BT546" s="1" t="s">
        <v>10483</v>
      </c>
      <c r="BU546" s="1" t="s">
        <v>82</v>
      </c>
      <c r="BV546" s="1" t="s">
        <v>82</v>
      </c>
      <c r="BW546" s="1" t="s">
        <v>82</v>
      </c>
      <c r="BX546" s="1" t="s">
        <v>82</v>
      </c>
      <c r="BY546" s="1" t="s">
        <v>108</v>
      </c>
      <c r="BZ546" s="1" t="s">
        <v>10484</v>
      </c>
      <c r="CA546" s="1" t="str">
        <f>HYPERLINK("https%3A%2F%2Fwww.webofscience.com%2Fwos%2Fwoscc%2Ffull-record%2FWOS:000756178400001","View Full Record in Web of Science")</f>
        <v>View Full Record in Web of Science</v>
      </c>
    </row>
    <row r="547" s="1" customFormat="1" ht="14.4" spans="1:79">
      <c r="A547">
        <v>546</v>
      </c>
      <c r="B547" s="2" t="s">
        <v>79</v>
      </c>
      <c r="C547" s="1" t="s">
        <v>80</v>
      </c>
      <c r="D547" s="1" t="s">
        <v>10485</v>
      </c>
      <c r="E547" s="1" t="s">
        <v>82</v>
      </c>
      <c r="F547" s="1" t="s">
        <v>82</v>
      </c>
      <c r="G547" s="1" t="s">
        <v>82</v>
      </c>
      <c r="H547" s="1" t="s">
        <v>10486</v>
      </c>
      <c r="I547" s="1" t="s">
        <v>82</v>
      </c>
      <c r="J547" s="1" t="s">
        <v>82</v>
      </c>
      <c r="K547" s="1" t="s">
        <v>10487</v>
      </c>
      <c r="L547" s="1" t="s">
        <v>10488</v>
      </c>
      <c r="M547" s="1">
        <v>2.795</v>
      </c>
      <c r="O547" s="1" t="s">
        <v>82</v>
      </c>
      <c r="P547" s="1" t="s">
        <v>82</v>
      </c>
      <c r="Q547" s="1" t="s">
        <v>87</v>
      </c>
      <c r="R547" s="1" t="s">
        <v>115</v>
      </c>
      <c r="S547" s="1" t="s">
        <v>82</v>
      </c>
      <c r="T547" s="1" t="s">
        <v>82</v>
      </c>
      <c r="U547" s="1" t="s">
        <v>82</v>
      </c>
      <c r="V547" s="1" t="s">
        <v>82</v>
      </c>
      <c r="W547" s="1" t="s">
        <v>82</v>
      </c>
      <c r="X547" s="1" t="s">
        <v>10489</v>
      </c>
      <c r="Y547" s="1" t="s">
        <v>10490</v>
      </c>
      <c r="Z547" s="1" t="s">
        <v>10491</v>
      </c>
      <c r="AB547" s="1" t="s">
        <v>10492</v>
      </c>
      <c r="AC547" s="1" t="s">
        <v>10493</v>
      </c>
      <c r="AD547" s="1" t="s">
        <v>120</v>
      </c>
      <c r="AE547" s="1" t="s">
        <v>3632</v>
      </c>
      <c r="AF547" s="1" t="s">
        <v>10494</v>
      </c>
      <c r="AG547" s="1" t="s">
        <v>10495</v>
      </c>
      <c r="AH547" s="1" t="s">
        <v>82</v>
      </c>
      <c r="AI547" s="1" t="s">
        <v>82</v>
      </c>
      <c r="AJ547" s="1" t="s">
        <v>10496</v>
      </c>
      <c r="AK547" s="1" t="s">
        <v>10497</v>
      </c>
      <c r="AL547" s="1" t="s">
        <v>10498</v>
      </c>
      <c r="AM547" s="1" t="s">
        <v>82</v>
      </c>
      <c r="AN547" s="1">
        <v>60</v>
      </c>
      <c r="AO547" s="1">
        <v>2</v>
      </c>
      <c r="AP547" s="1">
        <v>2</v>
      </c>
      <c r="AQ547" s="1">
        <v>2</v>
      </c>
      <c r="AR547" s="1">
        <v>2</v>
      </c>
      <c r="AS547" s="1" t="s">
        <v>2514</v>
      </c>
      <c r="AT547" s="1" t="s">
        <v>2515</v>
      </c>
      <c r="AU547" s="1" t="s">
        <v>2516</v>
      </c>
      <c r="AV547" s="1" t="s">
        <v>10499</v>
      </c>
      <c r="AW547" s="1" t="s">
        <v>10500</v>
      </c>
      <c r="AX547" s="1" t="s">
        <v>82</v>
      </c>
      <c r="AY547" s="1" t="s">
        <v>10501</v>
      </c>
      <c r="AZ547" s="1" t="s">
        <v>10502</v>
      </c>
      <c r="BA547" s="1" t="s">
        <v>1403</v>
      </c>
      <c r="BB547" s="1">
        <v>2022</v>
      </c>
      <c r="BC547" s="1">
        <v>192</v>
      </c>
      <c r="BD547" s="1" t="s">
        <v>82</v>
      </c>
      <c r="BE547" s="1" t="s">
        <v>82</v>
      </c>
      <c r="BF547" s="1" t="s">
        <v>82</v>
      </c>
      <c r="BG547" s="1" t="s">
        <v>82</v>
      </c>
      <c r="BH547" s="1" t="s">
        <v>82</v>
      </c>
      <c r="BI547" s="1" t="s">
        <v>82</v>
      </c>
      <c r="BJ547" s="1" t="s">
        <v>82</v>
      </c>
      <c r="BK547" s="1">
        <v>107771</v>
      </c>
      <c r="BL547" s="1" t="s">
        <v>10503</v>
      </c>
      <c r="BM547" s="1" t="str">
        <f>HYPERLINK("http://dx.doi.org/10.1016/j.jip.2022.107771","http://dx.doi.org/10.1016/j.jip.2022.107771")</f>
        <v>http://dx.doi.org/10.1016/j.jip.2022.107771</v>
      </c>
      <c r="BN547" s="1" t="s">
        <v>82</v>
      </c>
      <c r="BO547" s="1" t="s">
        <v>1298</v>
      </c>
      <c r="BP547" s="1">
        <v>9</v>
      </c>
      <c r="BQ547" s="1" t="s">
        <v>2701</v>
      </c>
      <c r="BR547" s="1" t="s">
        <v>104</v>
      </c>
      <c r="BS547" s="1" t="s">
        <v>2701</v>
      </c>
      <c r="BT547" s="1" t="s">
        <v>10504</v>
      </c>
      <c r="BU547" s="1">
        <v>35618025</v>
      </c>
      <c r="BV547" s="1" t="s">
        <v>82</v>
      </c>
      <c r="BW547" s="1" t="s">
        <v>82</v>
      </c>
      <c r="BX547" s="1" t="s">
        <v>82</v>
      </c>
      <c r="BY547" s="1" t="s">
        <v>108</v>
      </c>
      <c r="BZ547" s="1" t="s">
        <v>10505</v>
      </c>
      <c r="CA547" s="1" t="str">
        <f>HYPERLINK("https%3A%2F%2Fwww.webofscience.com%2Fwos%2Fwoscc%2Ffull-record%2FWOS:000815772100005","View Full Record in Web of Science")</f>
        <v>View Full Record in Web of Science</v>
      </c>
    </row>
    <row r="548" s="1" customFormat="1" ht="14.4" spans="1:79">
      <c r="A548">
        <v>547</v>
      </c>
      <c r="B548" s="2" t="s">
        <v>110</v>
      </c>
      <c r="C548" s="1" t="s">
        <v>80</v>
      </c>
      <c r="D548" s="1" t="s">
        <v>10506</v>
      </c>
      <c r="E548" s="1" t="s">
        <v>82</v>
      </c>
      <c r="F548" s="1" t="s">
        <v>82</v>
      </c>
      <c r="G548" s="1" t="s">
        <v>82</v>
      </c>
      <c r="H548" s="1" t="s">
        <v>10507</v>
      </c>
      <c r="I548" s="1" t="s">
        <v>82</v>
      </c>
      <c r="J548" s="1" t="s">
        <v>82</v>
      </c>
      <c r="K548" s="1" t="s">
        <v>10508</v>
      </c>
      <c r="L548" s="1" t="s">
        <v>10509</v>
      </c>
      <c r="M548" s="1">
        <v>2.763</v>
      </c>
      <c r="O548" s="1" t="s">
        <v>82</v>
      </c>
      <c r="P548" s="1" t="s">
        <v>82</v>
      </c>
      <c r="Q548" s="1" t="s">
        <v>87</v>
      </c>
      <c r="R548" s="1" t="s">
        <v>115</v>
      </c>
      <c r="S548" s="1" t="s">
        <v>82</v>
      </c>
      <c r="T548" s="1" t="s">
        <v>82</v>
      </c>
      <c r="U548" s="1" t="s">
        <v>82</v>
      </c>
      <c r="V548" s="1" t="s">
        <v>82</v>
      </c>
      <c r="W548" s="1" t="s">
        <v>82</v>
      </c>
      <c r="X548" s="1" t="s">
        <v>10510</v>
      </c>
      <c r="Y548" s="1" t="s">
        <v>10511</v>
      </c>
      <c r="Z548" s="1" t="s">
        <v>10512</v>
      </c>
      <c r="AA548" s="1">
        <v>1</v>
      </c>
      <c r="AB548" s="1" t="s">
        <v>10513</v>
      </c>
      <c r="AC548" s="1" t="s">
        <v>10514</v>
      </c>
      <c r="AD548" s="1" t="s">
        <v>93</v>
      </c>
      <c r="AE548" s="1" t="s">
        <v>3467</v>
      </c>
      <c r="AF548" s="1" t="s">
        <v>10515</v>
      </c>
      <c r="AG548" s="1" t="s">
        <v>10516</v>
      </c>
      <c r="AH548" s="1" t="s">
        <v>3826</v>
      </c>
      <c r="AI548" s="1" t="s">
        <v>82</v>
      </c>
      <c r="AJ548" s="1" t="s">
        <v>10517</v>
      </c>
      <c r="AK548" s="1" t="s">
        <v>10518</v>
      </c>
      <c r="AL548" s="1" t="s">
        <v>10519</v>
      </c>
      <c r="AM548" s="1" t="s">
        <v>82</v>
      </c>
      <c r="AN548" s="1">
        <v>39</v>
      </c>
      <c r="AO548" s="1">
        <v>0</v>
      </c>
      <c r="AP548" s="1">
        <v>0</v>
      </c>
      <c r="AQ548" s="1">
        <v>13</v>
      </c>
      <c r="AR548" s="1">
        <v>13</v>
      </c>
      <c r="AS548" s="1" t="s">
        <v>8333</v>
      </c>
      <c r="AT548" s="1" t="s">
        <v>8334</v>
      </c>
      <c r="AU548" s="1" t="s">
        <v>8335</v>
      </c>
      <c r="AV548" s="1" t="s">
        <v>10520</v>
      </c>
      <c r="AW548" s="1" t="s">
        <v>10521</v>
      </c>
      <c r="AX548" s="1" t="s">
        <v>82</v>
      </c>
      <c r="AY548" s="1" t="s">
        <v>10522</v>
      </c>
      <c r="AZ548" s="1" t="s">
        <v>10523</v>
      </c>
      <c r="BA548" s="1" t="s">
        <v>4473</v>
      </c>
      <c r="BB548" s="1">
        <v>2022</v>
      </c>
      <c r="BC548" s="1">
        <v>15</v>
      </c>
      <c r="BD548" s="1" t="s">
        <v>8405</v>
      </c>
      <c r="BE548" s="1" t="s">
        <v>82</v>
      </c>
      <c r="BF548" s="1" t="s">
        <v>82</v>
      </c>
      <c r="BG548" s="1" t="s">
        <v>82</v>
      </c>
      <c r="BH548" s="1" t="s">
        <v>82</v>
      </c>
      <c r="BI548" s="1">
        <v>111</v>
      </c>
      <c r="BJ548" s="1">
        <v>119</v>
      </c>
      <c r="BK548" s="1" t="s">
        <v>82</v>
      </c>
      <c r="BL548" s="1" t="s">
        <v>10524</v>
      </c>
      <c r="BM548" s="1" t="str">
        <f>HYPERLINK("http://dx.doi.org/10.1080/17550874.2022.2103049","http://dx.doi.org/10.1080/17550874.2022.2103049")</f>
        <v>http://dx.doi.org/10.1080/17550874.2022.2103049</v>
      </c>
      <c r="BN548" s="1" t="s">
        <v>82</v>
      </c>
      <c r="BO548" s="1" t="s">
        <v>1257</v>
      </c>
      <c r="BP548" s="1">
        <v>9</v>
      </c>
      <c r="BQ548" s="1" t="s">
        <v>378</v>
      </c>
      <c r="BR548" s="1" t="s">
        <v>104</v>
      </c>
      <c r="BS548" s="1" t="s">
        <v>378</v>
      </c>
      <c r="BT548" s="1" t="s">
        <v>10525</v>
      </c>
      <c r="BU548" s="1" t="s">
        <v>82</v>
      </c>
      <c r="BV548" s="1" t="s">
        <v>82</v>
      </c>
      <c r="BW548" s="1" t="s">
        <v>82</v>
      </c>
      <c r="BX548" s="1" t="s">
        <v>82</v>
      </c>
      <c r="BY548" s="1" t="s">
        <v>108</v>
      </c>
      <c r="BZ548" s="1" t="s">
        <v>10526</v>
      </c>
      <c r="CA548" s="1" t="str">
        <f>HYPERLINK("https%3A%2F%2Fwww.webofscience.com%2Fwos%2Fwoscc%2Ffull-record%2FWOS:000830449500001","View Full Record in Web of Science")</f>
        <v>View Full Record in Web of Science</v>
      </c>
    </row>
    <row r="549" s="1" customFormat="1" ht="14.4" spans="1:79">
      <c r="A549">
        <v>548</v>
      </c>
      <c r="B549" s="2" t="s">
        <v>79</v>
      </c>
      <c r="C549" s="1" t="s">
        <v>80</v>
      </c>
      <c r="D549" s="1" t="s">
        <v>10527</v>
      </c>
      <c r="E549" s="1" t="s">
        <v>82</v>
      </c>
      <c r="F549" s="1" t="s">
        <v>82</v>
      </c>
      <c r="G549" s="1" t="s">
        <v>82</v>
      </c>
      <c r="H549" s="1" t="s">
        <v>10528</v>
      </c>
      <c r="I549" s="1" t="s">
        <v>82</v>
      </c>
      <c r="J549" s="1" t="s">
        <v>82</v>
      </c>
      <c r="K549" s="1" t="s">
        <v>10529</v>
      </c>
      <c r="L549" s="1" t="s">
        <v>10530</v>
      </c>
      <c r="M549" s="1">
        <v>2.763</v>
      </c>
      <c r="O549" s="1" t="s">
        <v>82</v>
      </c>
      <c r="P549" s="1" t="s">
        <v>82</v>
      </c>
      <c r="Q549" s="1" t="s">
        <v>87</v>
      </c>
      <c r="R549" s="1" t="s">
        <v>200</v>
      </c>
      <c r="S549" s="1" t="s">
        <v>82</v>
      </c>
      <c r="T549" s="1" t="s">
        <v>82</v>
      </c>
      <c r="U549" s="1" t="s">
        <v>82</v>
      </c>
      <c r="V549" s="1" t="s">
        <v>82</v>
      </c>
      <c r="W549" s="1" t="s">
        <v>82</v>
      </c>
      <c r="X549" s="1" t="s">
        <v>82</v>
      </c>
      <c r="Y549" s="1" t="s">
        <v>10531</v>
      </c>
      <c r="Z549" s="1" t="s">
        <v>10532</v>
      </c>
      <c r="AB549" s="1" t="s">
        <v>10533</v>
      </c>
      <c r="AC549" s="1" t="s">
        <v>10534</v>
      </c>
      <c r="AD549" s="1" t="s">
        <v>120</v>
      </c>
      <c r="AE549" s="1" t="s">
        <v>10535</v>
      </c>
      <c r="AF549" s="1" t="s">
        <v>10536</v>
      </c>
      <c r="AG549" s="1" t="s">
        <v>10537</v>
      </c>
      <c r="AH549" s="1" t="s">
        <v>10538</v>
      </c>
      <c r="AI549" s="1" t="s">
        <v>10539</v>
      </c>
      <c r="AJ549" s="1" t="s">
        <v>10540</v>
      </c>
      <c r="AK549" s="1" t="s">
        <v>10541</v>
      </c>
      <c r="AL549" s="1" t="s">
        <v>10542</v>
      </c>
      <c r="AM549" s="1" t="s">
        <v>82</v>
      </c>
      <c r="AN549" s="1">
        <v>184</v>
      </c>
      <c r="AO549" s="1">
        <v>3</v>
      </c>
      <c r="AP549" s="1">
        <v>3</v>
      </c>
      <c r="AQ549" s="1">
        <v>5</v>
      </c>
      <c r="AR549" s="1">
        <v>19</v>
      </c>
      <c r="AS549" s="1" t="s">
        <v>1002</v>
      </c>
      <c r="AT549" s="1" t="s">
        <v>1003</v>
      </c>
      <c r="AU549" s="1" t="s">
        <v>1004</v>
      </c>
      <c r="AV549" s="1" t="s">
        <v>10543</v>
      </c>
      <c r="AW549" s="1" t="s">
        <v>10544</v>
      </c>
      <c r="AX549" s="1" t="s">
        <v>82</v>
      </c>
      <c r="AY549" s="1" t="s">
        <v>10545</v>
      </c>
      <c r="AZ549" s="1" t="s">
        <v>10546</v>
      </c>
      <c r="BA549" s="1" t="s">
        <v>1826</v>
      </c>
      <c r="BB549" s="1">
        <v>2022</v>
      </c>
      <c r="BC549" s="1">
        <v>62</v>
      </c>
      <c r="BD549" s="1">
        <v>1</v>
      </c>
      <c r="BE549" s="1" t="s">
        <v>82</v>
      </c>
      <c r="BF549" s="1" t="s">
        <v>82</v>
      </c>
      <c r="BG549" s="1" t="s">
        <v>82</v>
      </c>
      <c r="BH549" s="1" t="s">
        <v>82</v>
      </c>
      <c r="BI549" s="1">
        <v>1</v>
      </c>
      <c r="BJ549" s="1">
        <v>19</v>
      </c>
      <c r="BK549" s="1" t="s">
        <v>82</v>
      </c>
      <c r="BL549" s="1" t="s">
        <v>10547</v>
      </c>
      <c r="BM549" s="1" t="str">
        <f>HYPERLINK("http://dx.doi.org/10.1002/csc2.20649","http://dx.doi.org/10.1002/csc2.20649")</f>
        <v>http://dx.doi.org/10.1002/csc2.20649</v>
      </c>
      <c r="BN549" s="1" t="s">
        <v>82</v>
      </c>
      <c r="BO549" s="1" t="s">
        <v>904</v>
      </c>
      <c r="BP549" s="1">
        <v>19</v>
      </c>
      <c r="BQ549" s="1" t="s">
        <v>8880</v>
      </c>
      <c r="BR549" s="1" t="s">
        <v>104</v>
      </c>
      <c r="BS549" s="1" t="s">
        <v>1881</v>
      </c>
      <c r="BT549" s="1" t="s">
        <v>10548</v>
      </c>
      <c r="BU549" s="1" t="s">
        <v>82</v>
      </c>
      <c r="BV549" s="1" t="s">
        <v>82</v>
      </c>
      <c r="BW549" s="1" t="s">
        <v>82</v>
      </c>
      <c r="BX549" s="1" t="s">
        <v>82</v>
      </c>
      <c r="BY549" s="1" t="s">
        <v>108</v>
      </c>
      <c r="BZ549" s="1" t="s">
        <v>10549</v>
      </c>
      <c r="CA549" s="1" t="str">
        <f>HYPERLINK("https%3A%2F%2Fwww.webofscience.com%2Fwos%2Fwoscc%2Ffull-record%2FWOS:000720927200001","View Full Record in Web of Science")</f>
        <v>View Full Record in Web of Science</v>
      </c>
    </row>
    <row r="550" s="1" customFormat="1" ht="14.4" spans="1:79">
      <c r="A550">
        <v>549</v>
      </c>
      <c r="B550" s="2" t="s">
        <v>110</v>
      </c>
      <c r="C550" s="1" t="s">
        <v>80</v>
      </c>
      <c r="D550" s="1" t="s">
        <v>10550</v>
      </c>
      <c r="E550" s="1" t="s">
        <v>82</v>
      </c>
      <c r="F550" s="1" t="s">
        <v>82</v>
      </c>
      <c r="G550" s="1" t="s">
        <v>82</v>
      </c>
      <c r="H550" s="1" t="s">
        <v>10551</v>
      </c>
      <c r="I550" s="1" t="s">
        <v>82</v>
      </c>
      <c r="J550" s="1" t="s">
        <v>82</v>
      </c>
      <c r="K550" s="1" t="s">
        <v>10552</v>
      </c>
      <c r="L550" s="1" t="s">
        <v>10553</v>
      </c>
      <c r="M550" s="1">
        <v>2.76</v>
      </c>
      <c r="O550" s="1" t="s">
        <v>82</v>
      </c>
      <c r="P550" s="1" t="s">
        <v>82</v>
      </c>
      <c r="Q550" s="1" t="s">
        <v>87</v>
      </c>
      <c r="R550" s="1" t="s">
        <v>115</v>
      </c>
      <c r="S550" s="1" t="s">
        <v>82</v>
      </c>
      <c r="T550" s="1" t="s">
        <v>82</v>
      </c>
      <c r="U550" s="1" t="s">
        <v>82</v>
      </c>
      <c r="V550" s="1" t="s">
        <v>82</v>
      </c>
      <c r="W550" s="1" t="s">
        <v>82</v>
      </c>
      <c r="X550" s="1" t="s">
        <v>10554</v>
      </c>
      <c r="Y550" s="1" t="s">
        <v>10555</v>
      </c>
      <c r="Z550" s="1" t="s">
        <v>10556</v>
      </c>
      <c r="AA550" s="1">
        <v>1</v>
      </c>
      <c r="AB550" s="1" t="s">
        <v>10557</v>
      </c>
      <c r="AC550" s="1" t="s">
        <v>10558</v>
      </c>
      <c r="AD550" s="1" t="s">
        <v>93</v>
      </c>
      <c r="AE550" s="1" t="s">
        <v>1818</v>
      </c>
      <c r="AF550" s="1" t="s">
        <v>9597</v>
      </c>
      <c r="AG550" s="1" t="s">
        <v>7760</v>
      </c>
      <c r="AH550" s="1" t="s">
        <v>82</v>
      </c>
      <c r="AI550" s="1" t="s">
        <v>82</v>
      </c>
      <c r="AJ550" s="1" t="s">
        <v>10559</v>
      </c>
      <c r="AK550" s="1" t="s">
        <v>10560</v>
      </c>
      <c r="AL550" s="1" t="s">
        <v>10561</v>
      </c>
      <c r="AM550" s="1" t="s">
        <v>82</v>
      </c>
      <c r="AN550" s="1">
        <v>26</v>
      </c>
      <c r="AO550" s="1">
        <v>0</v>
      </c>
      <c r="AP550" s="1">
        <v>0</v>
      </c>
      <c r="AQ550" s="1">
        <v>7</v>
      </c>
      <c r="AR550" s="1">
        <v>13</v>
      </c>
      <c r="AS550" s="1" t="s">
        <v>10359</v>
      </c>
      <c r="AT550" s="1" t="s">
        <v>216</v>
      </c>
      <c r="AU550" s="1" t="s">
        <v>10360</v>
      </c>
      <c r="AV550" s="1" t="s">
        <v>10562</v>
      </c>
      <c r="AW550" s="1" t="s">
        <v>10563</v>
      </c>
      <c r="AX550" s="1" t="s">
        <v>82</v>
      </c>
      <c r="AY550" s="1" t="s">
        <v>10553</v>
      </c>
      <c r="AZ550" s="1" t="s">
        <v>10564</v>
      </c>
      <c r="BA550" s="1" t="s">
        <v>1826</v>
      </c>
      <c r="BB550" s="1">
        <v>2022</v>
      </c>
      <c r="BC550" s="1">
        <v>177</v>
      </c>
      <c r="BD550" s="1" t="s">
        <v>82</v>
      </c>
      <c r="BE550" s="1" t="s">
        <v>82</v>
      </c>
      <c r="BF550" s="1" t="s">
        <v>82</v>
      </c>
      <c r="BG550" s="1" t="s">
        <v>82</v>
      </c>
      <c r="BH550" s="1" t="s">
        <v>82</v>
      </c>
      <c r="BI550" s="1" t="s">
        <v>82</v>
      </c>
      <c r="BJ550" s="1" t="s">
        <v>82</v>
      </c>
      <c r="BK550" s="1">
        <v>108949</v>
      </c>
      <c r="BL550" s="1" t="s">
        <v>10565</v>
      </c>
      <c r="BM550" s="1" t="str">
        <f>HYPERLINK("http://dx.doi.org/10.1016/j.steroids.2021.108949","http://dx.doi.org/10.1016/j.steroids.2021.108949")</f>
        <v>http://dx.doi.org/10.1016/j.steroids.2021.108949</v>
      </c>
      <c r="BN550" s="1" t="s">
        <v>82</v>
      </c>
      <c r="BO550" s="1" t="s">
        <v>82</v>
      </c>
      <c r="BP550" s="1">
        <v>6</v>
      </c>
      <c r="BQ550" s="1" t="s">
        <v>10566</v>
      </c>
      <c r="BR550" s="1" t="s">
        <v>745</v>
      </c>
      <c r="BS550" s="1" t="s">
        <v>10566</v>
      </c>
      <c r="BT550" s="1" t="s">
        <v>10567</v>
      </c>
      <c r="BU550" s="1">
        <v>34896125</v>
      </c>
      <c r="BV550" s="1" t="s">
        <v>82</v>
      </c>
      <c r="BW550" s="1" t="s">
        <v>82</v>
      </c>
      <c r="BX550" s="1" t="s">
        <v>82</v>
      </c>
      <c r="BY550" s="1" t="s">
        <v>108</v>
      </c>
      <c r="BZ550" s="1" t="s">
        <v>10568</v>
      </c>
      <c r="CA550" s="1" t="str">
        <f>HYPERLINK("https%3A%2F%2Fwww.webofscience.com%2Fwos%2Fwoscc%2Ffull-record%2FWOS:000792668500003","View Full Record in Web of Science")</f>
        <v>View Full Record in Web of Science</v>
      </c>
    </row>
    <row r="551" s="1" customFormat="1" ht="14.4" spans="1:79">
      <c r="A551">
        <v>550</v>
      </c>
      <c r="B551" t="s">
        <v>110</v>
      </c>
      <c r="C551" t="s">
        <v>80</v>
      </c>
      <c r="D551" t="s">
        <v>10569</v>
      </c>
      <c r="E551" t="s">
        <v>82</v>
      </c>
      <c r="F551" t="s">
        <v>82</v>
      </c>
      <c r="G551" t="s">
        <v>82</v>
      </c>
      <c r="H551" t="s">
        <v>10570</v>
      </c>
      <c r="I551" t="s">
        <v>82</v>
      </c>
      <c r="J551" t="s">
        <v>82</v>
      </c>
      <c r="K551" t="s">
        <v>10571</v>
      </c>
      <c r="L551" t="s">
        <v>10572</v>
      </c>
      <c r="M551">
        <v>2.745</v>
      </c>
      <c r="N551"/>
      <c r="O551" t="s">
        <v>82</v>
      </c>
      <c r="P551" t="s">
        <v>82</v>
      </c>
      <c r="Q551" t="s">
        <v>87</v>
      </c>
      <c r="R551" t="s">
        <v>115</v>
      </c>
      <c r="S551" t="s">
        <v>82</v>
      </c>
      <c r="T551" t="s">
        <v>82</v>
      </c>
      <c r="U551" t="s">
        <v>82</v>
      </c>
      <c r="V551" t="s">
        <v>82</v>
      </c>
      <c r="W551" t="s">
        <v>82</v>
      </c>
      <c r="X551" t="s">
        <v>10573</v>
      </c>
      <c r="Y551" t="s">
        <v>82</v>
      </c>
      <c r="Z551" t="s">
        <v>10574</v>
      </c>
      <c r="AA551"/>
      <c r="AB551" t="s">
        <v>9361</v>
      </c>
      <c r="AC551" t="s">
        <v>10575</v>
      </c>
      <c r="AD551" s="1" t="s">
        <v>120</v>
      </c>
      <c r="AE551" t="s">
        <v>10576</v>
      </c>
      <c r="AF551" t="s">
        <v>10577</v>
      </c>
      <c r="AG551" t="s">
        <v>10578</v>
      </c>
      <c r="AH551" t="s">
        <v>82</v>
      </c>
      <c r="AI551" t="s">
        <v>82</v>
      </c>
      <c r="AJ551" t="s">
        <v>10579</v>
      </c>
      <c r="AK551" t="s">
        <v>10580</v>
      </c>
      <c r="AL551" t="s">
        <v>10581</v>
      </c>
      <c r="AM551" t="s">
        <v>82</v>
      </c>
      <c r="AN551">
        <v>21</v>
      </c>
      <c r="AO551">
        <v>0</v>
      </c>
      <c r="AP551">
        <v>0</v>
      </c>
      <c r="AQ551">
        <v>2</v>
      </c>
      <c r="AR551">
        <v>2</v>
      </c>
      <c r="AS551" t="s">
        <v>695</v>
      </c>
      <c r="AT551" t="s">
        <v>696</v>
      </c>
      <c r="AU551" t="s">
        <v>697</v>
      </c>
      <c r="AV551" t="s">
        <v>10582</v>
      </c>
      <c r="AW551" t="s">
        <v>10583</v>
      </c>
      <c r="AX551" t="s">
        <v>82</v>
      </c>
      <c r="AY551" t="s">
        <v>10584</v>
      </c>
      <c r="AZ551" t="s">
        <v>10585</v>
      </c>
      <c r="BA551" t="s">
        <v>2123</v>
      </c>
      <c r="BB551">
        <v>2022</v>
      </c>
      <c r="BC551">
        <v>19</v>
      </c>
      <c r="BD551">
        <v>12</v>
      </c>
      <c r="BE551" t="s">
        <v>82</v>
      </c>
      <c r="BF551" t="s">
        <v>82</v>
      </c>
      <c r="BG551" t="s">
        <v>82</v>
      </c>
      <c r="BH551" t="s">
        <v>82</v>
      </c>
      <c r="BI551" t="s">
        <v>82</v>
      </c>
      <c r="BJ551" t="s">
        <v>82</v>
      </c>
      <c r="BK551" t="s">
        <v>10586</v>
      </c>
      <c r="BL551" t="s">
        <v>10587</v>
      </c>
      <c r="BM551" t="s">
        <v>10588</v>
      </c>
      <c r="BN551" t="s">
        <v>82</v>
      </c>
      <c r="BO551" t="s">
        <v>82</v>
      </c>
      <c r="BP551">
        <v>7</v>
      </c>
      <c r="BQ551" t="s">
        <v>4026</v>
      </c>
      <c r="BR551" t="s">
        <v>104</v>
      </c>
      <c r="BS551" t="s">
        <v>4027</v>
      </c>
      <c r="BT551" t="s">
        <v>10589</v>
      </c>
      <c r="BU551">
        <v>36373347</v>
      </c>
      <c r="BV551" t="s">
        <v>82</v>
      </c>
      <c r="BW551" t="s">
        <v>82</v>
      </c>
      <c r="BX551" t="s">
        <v>82</v>
      </c>
      <c r="BY551" t="s">
        <v>340</v>
      </c>
      <c r="BZ551" t="s">
        <v>10590</v>
      </c>
      <c r="CA551" t="s">
        <v>342</v>
      </c>
    </row>
    <row r="552" s="1" customFormat="1" ht="14.4" spans="1:79">
      <c r="A552">
        <v>551</v>
      </c>
      <c r="B552" s="2" t="s">
        <v>79</v>
      </c>
      <c r="C552" s="1" t="s">
        <v>80</v>
      </c>
      <c r="D552" s="1" t="s">
        <v>10591</v>
      </c>
      <c r="E552" s="1" t="s">
        <v>82</v>
      </c>
      <c r="F552" s="1" t="s">
        <v>82</v>
      </c>
      <c r="G552" s="1" t="s">
        <v>82</v>
      </c>
      <c r="H552" s="1" t="s">
        <v>10592</v>
      </c>
      <c r="I552" s="1" t="s">
        <v>82</v>
      </c>
      <c r="J552" s="1" t="s">
        <v>82</v>
      </c>
      <c r="K552" s="1" t="s">
        <v>10593</v>
      </c>
      <c r="L552" s="1" t="s">
        <v>10572</v>
      </c>
      <c r="M552" s="1">
        <v>2.745</v>
      </c>
      <c r="O552" s="1" t="s">
        <v>82</v>
      </c>
      <c r="P552" s="1" t="s">
        <v>82</v>
      </c>
      <c r="Q552" s="1" t="s">
        <v>87</v>
      </c>
      <c r="R552" s="1" t="s">
        <v>1624</v>
      </c>
      <c r="S552" s="1" t="s">
        <v>82</v>
      </c>
      <c r="T552" s="1" t="s">
        <v>82</v>
      </c>
      <c r="U552" s="1" t="s">
        <v>82</v>
      </c>
      <c r="V552" s="1" t="s">
        <v>82</v>
      </c>
      <c r="W552" s="1" t="s">
        <v>82</v>
      </c>
      <c r="X552" s="1" t="s">
        <v>10594</v>
      </c>
      <c r="Y552" s="1" t="s">
        <v>10595</v>
      </c>
      <c r="Z552" s="1" t="s">
        <v>10596</v>
      </c>
      <c r="AB552" s="1" t="s">
        <v>10597</v>
      </c>
      <c r="AC552" s="1" t="s">
        <v>10598</v>
      </c>
      <c r="AD552" s="1" t="s">
        <v>120</v>
      </c>
      <c r="AE552" s="1" t="s">
        <v>10599</v>
      </c>
      <c r="AF552" s="1" t="s">
        <v>10600</v>
      </c>
      <c r="AG552" s="1" t="s">
        <v>10601</v>
      </c>
      <c r="AH552" s="1" t="s">
        <v>10602</v>
      </c>
      <c r="AI552" s="1" t="s">
        <v>10603</v>
      </c>
      <c r="AJ552" s="1" t="s">
        <v>10604</v>
      </c>
      <c r="AK552" s="1" t="s">
        <v>10605</v>
      </c>
      <c r="AL552" s="1" t="s">
        <v>10606</v>
      </c>
      <c r="AM552" s="1" t="s">
        <v>82</v>
      </c>
      <c r="AN552" s="1">
        <v>50</v>
      </c>
      <c r="AO552" s="1">
        <v>0</v>
      </c>
      <c r="AP552" s="1">
        <v>0</v>
      </c>
      <c r="AQ552" s="1">
        <v>1</v>
      </c>
      <c r="AR552" s="1">
        <v>1</v>
      </c>
      <c r="AS552" s="1" t="s">
        <v>695</v>
      </c>
      <c r="AT552" s="1" t="s">
        <v>696</v>
      </c>
      <c r="AU552" s="1" t="s">
        <v>697</v>
      </c>
      <c r="AV552" s="1" t="s">
        <v>10582</v>
      </c>
      <c r="AW552" s="1" t="s">
        <v>10583</v>
      </c>
      <c r="AX552" s="1" t="s">
        <v>82</v>
      </c>
      <c r="AY552" s="1" t="s">
        <v>10584</v>
      </c>
      <c r="AZ552" s="1" t="s">
        <v>10585</v>
      </c>
      <c r="BA552" s="1" t="s">
        <v>82</v>
      </c>
      <c r="BB552" s="1" t="s">
        <v>82</v>
      </c>
      <c r="BC552" s="1" t="s">
        <v>82</v>
      </c>
      <c r="BD552" s="1" t="s">
        <v>82</v>
      </c>
      <c r="BE552" s="1" t="s">
        <v>82</v>
      </c>
      <c r="BF552" s="1" t="s">
        <v>82</v>
      </c>
      <c r="BG552" s="1" t="s">
        <v>82</v>
      </c>
      <c r="BH552" s="1" t="s">
        <v>82</v>
      </c>
      <c r="BI552" s="1" t="s">
        <v>82</v>
      </c>
      <c r="BJ552" s="1" t="s">
        <v>82</v>
      </c>
      <c r="BK552" s="1" t="s">
        <v>82</v>
      </c>
      <c r="BL552" s="1" t="s">
        <v>10607</v>
      </c>
      <c r="BM552" s="1" t="str">
        <f>HYPERLINK("http://dx.doi.org/10.1002/cbdv.202200322","http://dx.doi.org/10.1002/cbdv.202200322")</f>
        <v>http://dx.doi.org/10.1002/cbdv.202200322</v>
      </c>
      <c r="BN552" s="1" t="s">
        <v>82</v>
      </c>
      <c r="BO552" s="1" t="s">
        <v>870</v>
      </c>
      <c r="BP552" s="1">
        <v>13</v>
      </c>
      <c r="BQ552" s="1" t="s">
        <v>4026</v>
      </c>
      <c r="BR552" s="1" t="s">
        <v>104</v>
      </c>
      <c r="BS552" s="1" t="s">
        <v>4027</v>
      </c>
      <c r="BT552" s="1" t="s">
        <v>10608</v>
      </c>
      <c r="BU552" s="1">
        <v>36269048</v>
      </c>
      <c r="BV552" s="1" t="s">
        <v>82</v>
      </c>
      <c r="BW552" s="1" t="s">
        <v>82</v>
      </c>
      <c r="BX552" s="1" t="s">
        <v>82</v>
      </c>
      <c r="BY552" s="1" t="s">
        <v>108</v>
      </c>
      <c r="BZ552" s="1" t="s">
        <v>10609</v>
      </c>
      <c r="CA552" s="1" t="str">
        <f>HYPERLINK("https%3A%2F%2Fwww.webofscience.com%2Fwos%2Fwoscc%2Ffull-record%2FWOS:000883155500001","View Full Record in Web of Science")</f>
        <v>View Full Record in Web of Science</v>
      </c>
    </row>
    <row r="553" s="1" customFormat="1" ht="14.4" spans="1:79">
      <c r="A553">
        <v>552</v>
      </c>
      <c r="B553" s="2" t="s">
        <v>110</v>
      </c>
      <c r="C553" s="1" t="s">
        <v>80</v>
      </c>
      <c r="D553" s="1" t="s">
        <v>10610</v>
      </c>
      <c r="E553" s="1" t="s">
        <v>82</v>
      </c>
      <c r="F553" s="1" t="s">
        <v>82</v>
      </c>
      <c r="G553" s="1" t="s">
        <v>82</v>
      </c>
      <c r="H553" s="1" t="s">
        <v>10611</v>
      </c>
      <c r="I553" s="1" t="s">
        <v>82</v>
      </c>
      <c r="J553" s="1" t="s">
        <v>82</v>
      </c>
      <c r="K553" s="1" t="s">
        <v>10612</v>
      </c>
      <c r="L553" s="1" t="s">
        <v>10572</v>
      </c>
      <c r="M553" s="1">
        <v>2.745</v>
      </c>
      <c r="O553" s="1" t="s">
        <v>82</v>
      </c>
      <c r="P553" s="1" t="s">
        <v>82</v>
      </c>
      <c r="Q553" s="1" t="s">
        <v>87</v>
      </c>
      <c r="R553" s="1" t="s">
        <v>115</v>
      </c>
      <c r="S553" s="1" t="s">
        <v>82</v>
      </c>
      <c r="T553" s="1" t="s">
        <v>82</v>
      </c>
      <c r="U553" s="1" t="s">
        <v>82</v>
      </c>
      <c r="V553" s="1" t="s">
        <v>82</v>
      </c>
      <c r="W553" s="1" t="s">
        <v>82</v>
      </c>
      <c r="X553" s="1" t="s">
        <v>10613</v>
      </c>
      <c r="Y553" s="1" t="s">
        <v>10614</v>
      </c>
      <c r="Z553" s="1" t="s">
        <v>10615</v>
      </c>
      <c r="AB553" s="1" t="s">
        <v>10616</v>
      </c>
      <c r="AC553" s="1" t="s">
        <v>10617</v>
      </c>
      <c r="AD553" s="1" t="s">
        <v>120</v>
      </c>
      <c r="AE553" s="1" t="s">
        <v>10618</v>
      </c>
      <c r="AF553" s="1" t="s">
        <v>10619</v>
      </c>
      <c r="AG553" s="1" t="s">
        <v>10620</v>
      </c>
      <c r="AH553" s="1" t="s">
        <v>82</v>
      </c>
      <c r="AI553" s="1" t="s">
        <v>10621</v>
      </c>
      <c r="AJ553" s="1" t="s">
        <v>10622</v>
      </c>
      <c r="AK553" s="1" t="s">
        <v>10623</v>
      </c>
      <c r="AL553" s="1" t="s">
        <v>10624</v>
      </c>
      <c r="AM553" s="1" t="s">
        <v>82</v>
      </c>
      <c r="AN553" s="1">
        <v>51</v>
      </c>
      <c r="AO553" s="1">
        <v>0</v>
      </c>
      <c r="AP553" s="1">
        <v>0</v>
      </c>
      <c r="AQ553" s="1">
        <v>3</v>
      </c>
      <c r="AR553" s="1">
        <v>3</v>
      </c>
      <c r="AS553" s="1" t="s">
        <v>695</v>
      </c>
      <c r="AT553" s="1" t="s">
        <v>696</v>
      </c>
      <c r="AU553" s="1" t="s">
        <v>697</v>
      </c>
      <c r="AV553" s="1" t="s">
        <v>10582</v>
      </c>
      <c r="AW553" s="1" t="s">
        <v>10583</v>
      </c>
      <c r="AX553" s="1" t="s">
        <v>82</v>
      </c>
      <c r="AY553" s="1" t="s">
        <v>10584</v>
      </c>
      <c r="AZ553" s="1" t="s">
        <v>10585</v>
      </c>
      <c r="BA553" s="1" t="s">
        <v>1340</v>
      </c>
      <c r="BB553" s="1">
        <v>2022</v>
      </c>
      <c r="BC553" s="1">
        <v>19</v>
      </c>
      <c r="BD553" s="1">
        <v>10</v>
      </c>
      <c r="BE553" s="1" t="s">
        <v>82</v>
      </c>
      <c r="BF553" s="1" t="s">
        <v>82</v>
      </c>
      <c r="BG553" s="1" t="s">
        <v>82</v>
      </c>
      <c r="BH553" s="1" t="s">
        <v>82</v>
      </c>
      <c r="BI553" s="1" t="s">
        <v>82</v>
      </c>
      <c r="BJ553" s="1" t="s">
        <v>82</v>
      </c>
      <c r="BK553" s="1" t="s">
        <v>82</v>
      </c>
      <c r="BL553" s="1" t="s">
        <v>10625</v>
      </c>
      <c r="BM553" s="1" t="str">
        <f>HYPERLINK("http://dx.doi.org/10.1002/cbdv.202200751","http://dx.doi.org/10.1002/cbdv.202200751")</f>
        <v>http://dx.doi.org/10.1002/cbdv.202200751</v>
      </c>
      <c r="BN553" s="1" t="s">
        <v>82</v>
      </c>
      <c r="BO553" s="1" t="s">
        <v>224</v>
      </c>
      <c r="BP553" s="1">
        <v>15</v>
      </c>
      <c r="BQ553" s="1" t="s">
        <v>4026</v>
      </c>
      <c r="BR553" s="1" t="s">
        <v>104</v>
      </c>
      <c r="BS553" s="1" t="s">
        <v>4027</v>
      </c>
      <c r="BT553" s="1" t="s">
        <v>10626</v>
      </c>
      <c r="BU553" s="1">
        <v>36082622</v>
      </c>
      <c r="BV553" s="1" t="s">
        <v>82</v>
      </c>
      <c r="BW553" s="1" t="s">
        <v>82</v>
      </c>
      <c r="BX553" s="1" t="s">
        <v>82</v>
      </c>
      <c r="BY553" s="1" t="s">
        <v>108</v>
      </c>
      <c r="BZ553" s="1" t="s">
        <v>10627</v>
      </c>
      <c r="CA553" s="1" t="str">
        <f>HYPERLINK("https%3A%2F%2Fwww.webofscience.com%2Fwos%2Fwoscc%2Ffull-record%2FWOS:000860081800001","View Full Record in Web of Science")</f>
        <v>View Full Record in Web of Science</v>
      </c>
    </row>
    <row r="554" s="1" customFormat="1" ht="14.4" spans="1:79">
      <c r="A554">
        <v>553</v>
      </c>
      <c r="B554" s="2" t="s">
        <v>110</v>
      </c>
      <c r="C554" s="1" t="s">
        <v>80</v>
      </c>
      <c r="D554" s="1" t="s">
        <v>10628</v>
      </c>
      <c r="E554" s="1" t="s">
        <v>82</v>
      </c>
      <c r="F554" s="1" t="s">
        <v>82</v>
      </c>
      <c r="G554" s="1" t="s">
        <v>82</v>
      </c>
      <c r="H554" s="1" t="s">
        <v>10629</v>
      </c>
      <c r="I554" s="1" t="s">
        <v>82</v>
      </c>
      <c r="J554" s="1" t="s">
        <v>82</v>
      </c>
      <c r="K554" s="1" t="s">
        <v>10630</v>
      </c>
      <c r="L554" s="1" t="s">
        <v>10572</v>
      </c>
      <c r="M554" s="1">
        <v>2.745</v>
      </c>
      <c r="O554" s="1" t="s">
        <v>82</v>
      </c>
      <c r="P554" s="1" t="s">
        <v>82</v>
      </c>
      <c r="Q554" s="1" t="s">
        <v>87</v>
      </c>
      <c r="R554" s="1" t="s">
        <v>115</v>
      </c>
      <c r="S554" s="1" t="s">
        <v>82</v>
      </c>
      <c r="T554" s="1" t="s">
        <v>82</v>
      </c>
      <c r="U554" s="1" t="s">
        <v>82</v>
      </c>
      <c r="V554" s="1" t="s">
        <v>82</v>
      </c>
      <c r="W554" s="1" t="s">
        <v>82</v>
      </c>
      <c r="X554" s="1" t="s">
        <v>10631</v>
      </c>
      <c r="Y554" s="1" t="s">
        <v>10632</v>
      </c>
      <c r="Z554" s="1" t="s">
        <v>10633</v>
      </c>
      <c r="AA554" s="1">
        <v>1</v>
      </c>
      <c r="AB554" s="1" t="s">
        <v>10634</v>
      </c>
      <c r="AC554" s="1" t="s">
        <v>10635</v>
      </c>
      <c r="AD554" s="1" t="s">
        <v>93</v>
      </c>
      <c r="AE554" s="1" t="s">
        <v>5654</v>
      </c>
      <c r="AF554" s="1" t="s">
        <v>10636</v>
      </c>
      <c r="AG554" s="1" t="s">
        <v>10637</v>
      </c>
      <c r="AH554" s="1" t="s">
        <v>82</v>
      </c>
      <c r="AI554" s="1" t="s">
        <v>5670</v>
      </c>
      <c r="AJ554" s="1" t="s">
        <v>10638</v>
      </c>
      <c r="AK554" s="1" t="s">
        <v>10639</v>
      </c>
      <c r="AL554" s="1" t="s">
        <v>10640</v>
      </c>
      <c r="AM554" s="1" t="s">
        <v>82</v>
      </c>
      <c r="AN554" s="1">
        <v>30</v>
      </c>
      <c r="AO554" s="1">
        <v>0</v>
      </c>
      <c r="AP554" s="1">
        <v>0</v>
      </c>
      <c r="AQ554" s="1">
        <v>7</v>
      </c>
      <c r="AR554" s="1">
        <v>9</v>
      </c>
      <c r="AS554" s="1" t="s">
        <v>695</v>
      </c>
      <c r="AT554" s="1" t="s">
        <v>696</v>
      </c>
      <c r="AU554" s="1" t="s">
        <v>697</v>
      </c>
      <c r="AV554" s="1" t="s">
        <v>10582</v>
      </c>
      <c r="AW554" s="1" t="s">
        <v>10583</v>
      </c>
      <c r="AX554" s="1" t="s">
        <v>82</v>
      </c>
      <c r="AY554" s="1" t="s">
        <v>10584</v>
      </c>
      <c r="AZ554" s="1" t="s">
        <v>10585</v>
      </c>
      <c r="BA554" s="1" t="s">
        <v>1403</v>
      </c>
      <c r="BB554" s="1">
        <v>2022</v>
      </c>
      <c r="BC554" s="1">
        <v>19</v>
      </c>
      <c r="BD554" s="1">
        <v>7</v>
      </c>
      <c r="BE554" s="1" t="s">
        <v>82</v>
      </c>
      <c r="BF554" s="1" t="s">
        <v>82</v>
      </c>
      <c r="BG554" s="1" t="s">
        <v>82</v>
      </c>
      <c r="BH554" s="1" t="s">
        <v>82</v>
      </c>
      <c r="BI554" s="1" t="s">
        <v>82</v>
      </c>
      <c r="BJ554" s="1" t="s">
        <v>82</v>
      </c>
      <c r="BK554" s="1" t="s">
        <v>10641</v>
      </c>
      <c r="BL554" s="1" t="s">
        <v>10642</v>
      </c>
      <c r="BM554" s="1" t="str">
        <f>HYPERLINK("http://dx.doi.org/10.1002/cbdv.202200429","http://dx.doi.org/10.1002/cbdv.202200429")</f>
        <v>http://dx.doi.org/10.1002/cbdv.202200429</v>
      </c>
      <c r="BN554" s="1" t="s">
        <v>82</v>
      </c>
      <c r="BO554" s="1" t="s">
        <v>1298</v>
      </c>
      <c r="BP554" s="1">
        <v>9</v>
      </c>
      <c r="BQ554" s="1" t="s">
        <v>4026</v>
      </c>
      <c r="BR554" s="1" t="s">
        <v>104</v>
      </c>
      <c r="BS554" s="1" t="s">
        <v>4027</v>
      </c>
      <c r="BT554" s="1" t="s">
        <v>10643</v>
      </c>
      <c r="BU554" s="1">
        <v>35638146</v>
      </c>
      <c r="BV554" s="1" t="s">
        <v>82</v>
      </c>
      <c r="BW554" s="1" t="s">
        <v>82</v>
      </c>
      <c r="BX554" s="1" t="s">
        <v>82</v>
      </c>
      <c r="BY554" s="1" t="s">
        <v>108</v>
      </c>
      <c r="BZ554" s="1" t="s">
        <v>10644</v>
      </c>
      <c r="CA554" s="1" t="str">
        <f>HYPERLINK("https%3A%2F%2Fwww.webofscience.com%2Fwos%2Fwoscc%2Ffull-record%2FWOS:000811136100001","View Full Record in Web of Science")</f>
        <v>View Full Record in Web of Science</v>
      </c>
    </row>
    <row r="555" s="1" customFormat="1" ht="14.4" spans="1:79">
      <c r="A555">
        <v>554</v>
      </c>
      <c r="B555" s="2" t="s">
        <v>110</v>
      </c>
      <c r="C555" s="1" t="s">
        <v>80</v>
      </c>
      <c r="D555" s="1" t="s">
        <v>10645</v>
      </c>
      <c r="E555" s="1" t="s">
        <v>82</v>
      </c>
      <c r="F555" s="1" t="s">
        <v>82</v>
      </c>
      <c r="G555" s="1" t="s">
        <v>82</v>
      </c>
      <c r="H555" s="1" t="s">
        <v>10646</v>
      </c>
      <c r="I555" s="1" t="s">
        <v>82</v>
      </c>
      <c r="J555" s="1" t="s">
        <v>82</v>
      </c>
      <c r="K555" s="1" t="s">
        <v>10647</v>
      </c>
      <c r="L555" s="1" t="s">
        <v>10572</v>
      </c>
      <c r="M555" s="1">
        <v>2.745</v>
      </c>
      <c r="O555" s="1" t="s">
        <v>82</v>
      </c>
      <c r="P555" s="1" t="s">
        <v>82</v>
      </c>
      <c r="Q555" s="1" t="s">
        <v>87</v>
      </c>
      <c r="R555" s="1" t="s">
        <v>115</v>
      </c>
      <c r="S555" s="1" t="s">
        <v>82</v>
      </c>
      <c r="T555" s="1" t="s">
        <v>82</v>
      </c>
      <c r="U555" s="1" t="s">
        <v>82</v>
      </c>
      <c r="V555" s="1" t="s">
        <v>82</v>
      </c>
      <c r="W555" s="1" t="s">
        <v>82</v>
      </c>
      <c r="X555" s="1" t="s">
        <v>10648</v>
      </c>
      <c r="Y555" s="1" t="s">
        <v>82</v>
      </c>
      <c r="Z555" s="1" t="s">
        <v>10649</v>
      </c>
      <c r="AA555" s="1">
        <v>1</v>
      </c>
      <c r="AB555" s="1" t="s">
        <v>5668</v>
      </c>
      <c r="AC555" s="1" t="s">
        <v>10650</v>
      </c>
      <c r="AD555" s="1" t="s">
        <v>93</v>
      </c>
      <c r="AE555" s="1" t="s">
        <v>1630</v>
      </c>
      <c r="AF555" s="1" t="s">
        <v>5932</v>
      </c>
      <c r="AG555" s="1" t="s">
        <v>10651</v>
      </c>
      <c r="AH555" s="1" t="s">
        <v>10652</v>
      </c>
      <c r="AI555" s="1" t="s">
        <v>82</v>
      </c>
      <c r="AJ555" s="1" t="s">
        <v>10653</v>
      </c>
      <c r="AK555" s="1" t="s">
        <v>10654</v>
      </c>
      <c r="AL555" s="1" t="s">
        <v>10655</v>
      </c>
      <c r="AM555" s="1" t="s">
        <v>82</v>
      </c>
      <c r="AN555" s="1">
        <v>30</v>
      </c>
      <c r="AO555" s="1">
        <v>0</v>
      </c>
      <c r="AP555" s="1">
        <v>0</v>
      </c>
      <c r="AQ555" s="1">
        <v>8</v>
      </c>
      <c r="AR555" s="1">
        <v>13</v>
      </c>
      <c r="AS555" s="1" t="s">
        <v>695</v>
      </c>
      <c r="AT555" s="1" t="s">
        <v>696</v>
      </c>
      <c r="AU555" s="1" t="s">
        <v>697</v>
      </c>
      <c r="AV555" s="1" t="s">
        <v>10582</v>
      </c>
      <c r="AW555" s="1" t="s">
        <v>10583</v>
      </c>
      <c r="AX555" s="1" t="s">
        <v>82</v>
      </c>
      <c r="AY555" s="1" t="s">
        <v>10584</v>
      </c>
      <c r="AZ555" s="1" t="s">
        <v>10585</v>
      </c>
      <c r="BA555" s="1" t="s">
        <v>1403</v>
      </c>
      <c r="BB555" s="1">
        <v>2022</v>
      </c>
      <c r="BC555" s="1">
        <v>19</v>
      </c>
      <c r="BD555" s="1">
        <v>7</v>
      </c>
      <c r="BE555" s="1" t="s">
        <v>82</v>
      </c>
      <c r="BF555" s="1" t="s">
        <v>82</v>
      </c>
      <c r="BG555" s="1" t="s">
        <v>82</v>
      </c>
      <c r="BH555" s="1" t="s">
        <v>82</v>
      </c>
      <c r="BI555" s="1" t="s">
        <v>82</v>
      </c>
      <c r="BJ555" s="1" t="s">
        <v>82</v>
      </c>
      <c r="BK555" s="1" t="s">
        <v>10656</v>
      </c>
      <c r="BL555" s="1" t="s">
        <v>10657</v>
      </c>
      <c r="BM555" s="1" t="str">
        <f>HYPERLINK("http://dx.doi.org/10.1002/cbdv.202200454","http://dx.doi.org/10.1002/cbdv.202200454")</f>
        <v>http://dx.doi.org/10.1002/cbdv.202200454</v>
      </c>
      <c r="BN555" s="1" t="s">
        <v>82</v>
      </c>
      <c r="BO555" s="1" t="s">
        <v>1298</v>
      </c>
      <c r="BP555" s="1">
        <v>9</v>
      </c>
      <c r="BQ555" s="1" t="s">
        <v>4026</v>
      </c>
      <c r="BR555" s="1" t="s">
        <v>104</v>
      </c>
      <c r="BS555" s="1" t="s">
        <v>4027</v>
      </c>
      <c r="BT555" s="1" t="s">
        <v>10643</v>
      </c>
      <c r="BU555" s="1">
        <v>35604198</v>
      </c>
      <c r="BV555" s="1" t="s">
        <v>82</v>
      </c>
      <c r="BW555" s="1" t="s">
        <v>82</v>
      </c>
      <c r="BX555" s="1" t="s">
        <v>82</v>
      </c>
      <c r="BY555" s="1" t="s">
        <v>108</v>
      </c>
      <c r="BZ555" s="1" t="s">
        <v>10658</v>
      </c>
      <c r="CA555" s="1" t="str">
        <f>HYPERLINK("https%3A%2F%2Fwww.webofscience.com%2Fwos%2Fwoscc%2Ffull-record%2FWOS:000807699900001","View Full Record in Web of Science")</f>
        <v>View Full Record in Web of Science</v>
      </c>
    </row>
    <row r="556" s="1" customFormat="1" ht="14.4" spans="1:79">
      <c r="A556">
        <v>555</v>
      </c>
      <c r="B556" s="2" t="s">
        <v>79</v>
      </c>
      <c r="C556" s="1" t="s">
        <v>80</v>
      </c>
      <c r="D556" s="1" t="s">
        <v>10659</v>
      </c>
      <c r="E556" s="1" t="s">
        <v>82</v>
      </c>
      <c r="F556" s="1" t="s">
        <v>82</v>
      </c>
      <c r="G556" s="1" t="s">
        <v>82</v>
      </c>
      <c r="H556" s="1" t="s">
        <v>10660</v>
      </c>
      <c r="I556" s="1" t="s">
        <v>82</v>
      </c>
      <c r="J556" s="1" t="s">
        <v>82</v>
      </c>
      <c r="K556" s="1" t="s">
        <v>10661</v>
      </c>
      <c r="L556" s="1" t="s">
        <v>10572</v>
      </c>
      <c r="M556" s="1">
        <v>2.745</v>
      </c>
      <c r="O556" s="1" t="s">
        <v>82</v>
      </c>
      <c r="P556" s="1" t="s">
        <v>82</v>
      </c>
      <c r="Q556" s="1" t="s">
        <v>87</v>
      </c>
      <c r="R556" s="1" t="s">
        <v>115</v>
      </c>
      <c r="S556" s="1" t="s">
        <v>82</v>
      </c>
      <c r="T556" s="1" t="s">
        <v>82</v>
      </c>
      <c r="U556" s="1" t="s">
        <v>82</v>
      </c>
      <c r="V556" s="1" t="s">
        <v>82</v>
      </c>
      <c r="W556" s="1" t="s">
        <v>82</v>
      </c>
      <c r="X556" s="1" t="s">
        <v>10662</v>
      </c>
      <c r="Y556" s="1" t="s">
        <v>10663</v>
      </c>
      <c r="Z556" s="1" t="s">
        <v>10664</v>
      </c>
      <c r="AA556" s="1">
        <v>1</v>
      </c>
      <c r="AB556" s="1" t="s">
        <v>10665</v>
      </c>
      <c r="AC556" s="1" t="s">
        <v>10666</v>
      </c>
      <c r="AD556" s="1" t="s">
        <v>93</v>
      </c>
      <c r="AE556" s="1" t="s">
        <v>1673</v>
      </c>
      <c r="AF556" s="1" t="s">
        <v>10667</v>
      </c>
      <c r="AG556" s="1" t="s">
        <v>3728</v>
      </c>
      <c r="AH556" s="1" t="s">
        <v>82</v>
      </c>
      <c r="AI556" s="1" t="s">
        <v>82</v>
      </c>
      <c r="AJ556" s="1" t="s">
        <v>10668</v>
      </c>
      <c r="AK556" s="1" t="s">
        <v>10669</v>
      </c>
      <c r="AL556" s="1" t="s">
        <v>10670</v>
      </c>
      <c r="AM556" s="1" t="s">
        <v>82</v>
      </c>
      <c r="AN556" s="1">
        <v>39</v>
      </c>
      <c r="AO556" s="1">
        <v>0</v>
      </c>
      <c r="AP556" s="1">
        <v>0</v>
      </c>
      <c r="AQ556" s="1">
        <v>2</v>
      </c>
      <c r="AR556" s="1">
        <v>10</v>
      </c>
      <c r="AS556" s="1" t="s">
        <v>695</v>
      </c>
      <c r="AT556" s="1" t="s">
        <v>696</v>
      </c>
      <c r="AU556" s="1" t="s">
        <v>697</v>
      </c>
      <c r="AV556" s="1" t="s">
        <v>10582</v>
      </c>
      <c r="AW556" s="1" t="s">
        <v>10583</v>
      </c>
      <c r="AX556" s="1" t="s">
        <v>82</v>
      </c>
      <c r="AY556" s="1" t="s">
        <v>10584</v>
      </c>
      <c r="AZ556" s="1" t="s">
        <v>10585</v>
      </c>
      <c r="BA556" s="1" t="s">
        <v>245</v>
      </c>
      <c r="BB556" s="1">
        <v>2022</v>
      </c>
      <c r="BC556" s="1">
        <v>19</v>
      </c>
      <c r="BD556" s="1">
        <v>5</v>
      </c>
      <c r="BE556" s="1" t="s">
        <v>82</v>
      </c>
      <c r="BF556" s="1" t="s">
        <v>82</v>
      </c>
      <c r="BG556" s="1" t="s">
        <v>82</v>
      </c>
      <c r="BH556" s="1" t="s">
        <v>82</v>
      </c>
      <c r="BI556" s="1" t="s">
        <v>82</v>
      </c>
      <c r="BJ556" s="1" t="s">
        <v>82</v>
      </c>
      <c r="BK556" s="1" t="s">
        <v>10671</v>
      </c>
      <c r="BL556" s="1" t="s">
        <v>10672</v>
      </c>
      <c r="BM556" s="1" t="str">
        <f>HYPERLINK("http://dx.doi.org/10.1002/cbdv.202200056","http://dx.doi.org/10.1002/cbdv.202200056")</f>
        <v>http://dx.doi.org/10.1002/cbdv.202200056</v>
      </c>
      <c r="BN556" s="1" t="s">
        <v>82</v>
      </c>
      <c r="BO556" s="1" t="s">
        <v>267</v>
      </c>
      <c r="BP556" s="1">
        <v>8</v>
      </c>
      <c r="BQ556" s="1" t="s">
        <v>4026</v>
      </c>
      <c r="BR556" s="1" t="s">
        <v>104</v>
      </c>
      <c r="BS556" s="1" t="s">
        <v>4027</v>
      </c>
      <c r="BT556" s="1" t="s">
        <v>10673</v>
      </c>
      <c r="BU556" s="1">
        <v>35333442</v>
      </c>
      <c r="BV556" s="1" t="s">
        <v>82</v>
      </c>
      <c r="BW556" s="1" t="s">
        <v>82</v>
      </c>
      <c r="BX556" s="1" t="s">
        <v>82</v>
      </c>
      <c r="BY556" s="1" t="s">
        <v>108</v>
      </c>
      <c r="BZ556" s="1" t="s">
        <v>10674</v>
      </c>
      <c r="CA556" s="1" t="str">
        <f>HYPERLINK("https%3A%2F%2Fwww.webofscience.com%2Fwos%2Fwoscc%2Ffull-record%2FWOS:000779272600001","View Full Record in Web of Science")</f>
        <v>View Full Record in Web of Science</v>
      </c>
    </row>
    <row r="557" s="1" customFormat="1" ht="14.4" spans="1:79">
      <c r="A557">
        <v>556</v>
      </c>
      <c r="B557" s="2" t="s">
        <v>110</v>
      </c>
      <c r="C557" s="1" t="s">
        <v>80</v>
      </c>
      <c r="D557" s="1" t="s">
        <v>10675</v>
      </c>
      <c r="E557" s="1" t="s">
        <v>82</v>
      </c>
      <c r="F557" s="1" t="s">
        <v>82</v>
      </c>
      <c r="G557" s="1" t="s">
        <v>82</v>
      </c>
      <c r="H557" s="1" t="s">
        <v>10676</v>
      </c>
      <c r="I557" s="1" t="s">
        <v>82</v>
      </c>
      <c r="J557" s="1" t="s">
        <v>82</v>
      </c>
      <c r="K557" s="1" t="s">
        <v>10677</v>
      </c>
      <c r="L557" s="1" t="s">
        <v>10572</v>
      </c>
      <c r="M557" s="1">
        <v>2.745</v>
      </c>
      <c r="O557" s="1" t="s">
        <v>82</v>
      </c>
      <c r="P557" s="1" t="s">
        <v>82</v>
      </c>
      <c r="Q557" s="1" t="s">
        <v>87</v>
      </c>
      <c r="R557" s="1" t="s">
        <v>115</v>
      </c>
      <c r="S557" s="1" t="s">
        <v>82</v>
      </c>
      <c r="T557" s="1" t="s">
        <v>82</v>
      </c>
      <c r="U557" s="1" t="s">
        <v>82</v>
      </c>
      <c r="V557" s="1" t="s">
        <v>82</v>
      </c>
      <c r="W557" s="1" t="s">
        <v>82</v>
      </c>
      <c r="X557" s="1" t="s">
        <v>10678</v>
      </c>
      <c r="Y557" s="1" t="s">
        <v>82</v>
      </c>
      <c r="Z557" s="1" t="s">
        <v>10679</v>
      </c>
      <c r="AB557" s="1" t="s">
        <v>10680</v>
      </c>
      <c r="AC557" s="1" t="s">
        <v>10681</v>
      </c>
      <c r="AD557" s="1" t="s">
        <v>206</v>
      </c>
      <c r="AE557" s="1" t="s">
        <v>9029</v>
      </c>
      <c r="AF557" s="1" t="s">
        <v>10682</v>
      </c>
      <c r="AG557" s="1" t="s">
        <v>10683</v>
      </c>
      <c r="AH557" s="1" t="s">
        <v>82</v>
      </c>
      <c r="AI557" s="1" t="s">
        <v>5670</v>
      </c>
      <c r="AJ557" s="1" t="s">
        <v>10684</v>
      </c>
      <c r="AK557" s="1" t="s">
        <v>10685</v>
      </c>
      <c r="AL557" s="1" t="s">
        <v>10686</v>
      </c>
      <c r="AM557" s="1" t="s">
        <v>82</v>
      </c>
      <c r="AN557" s="1">
        <v>26</v>
      </c>
      <c r="AO557" s="1">
        <v>0</v>
      </c>
      <c r="AP557" s="1">
        <v>0</v>
      </c>
      <c r="AQ557" s="1">
        <v>3</v>
      </c>
      <c r="AR557" s="1">
        <v>13</v>
      </c>
      <c r="AS557" s="1" t="s">
        <v>695</v>
      </c>
      <c r="AT557" s="1" t="s">
        <v>696</v>
      </c>
      <c r="AU557" s="1" t="s">
        <v>697</v>
      </c>
      <c r="AV557" s="1" t="s">
        <v>10582</v>
      </c>
      <c r="AW557" s="1" t="s">
        <v>10583</v>
      </c>
      <c r="AX557" s="1" t="s">
        <v>82</v>
      </c>
      <c r="AY557" s="1" t="s">
        <v>10584</v>
      </c>
      <c r="AZ557" s="1" t="s">
        <v>10585</v>
      </c>
      <c r="BA557" s="1" t="s">
        <v>245</v>
      </c>
      <c r="BB557" s="1">
        <v>2022</v>
      </c>
      <c r="BC557" s="1">
        <v>19</v>
      </c>
      <c r="BD557" s="1">
        <v>5</v>
      </c>
      <c r="BE557" s="1" t="s">
        <v>82</v>
      </c>
      <c r="BF557" s="1" t="s">
        <v>82</v>
      </c>
      <c r="BG557" s="1" t="s">
        <v>82</v>
      </c>
      <c r="BH557" s="1" t="s">
        <v>82</v>
      </c>
      <c r="BI557" s="1" t="s">
        <v>82</v>
      </c>
      <c r="BJ557" s="1" t="s">
        <v>82</v>
      </c>
      <c r="BK557" s="1" t="s">
        <v>10687</v>
      </c>
      <c r="BL557" s="1" t="s">
        <v>10688</v>
      </c>
      <c r="BM557" s="1" t="str">
        <f>HYPERLINK("http://dx.doi.org/10.1002/cbdv.202200183","http://dx.doi.org/10.1002/cbdv.202200183")</f>
        <v>http://dx.doi.org/10.1002/cbdv.202200183</v>
      </c>
      <c r="BN557" s="1" t="s">
        <v>82</v>
      </c>
      <c r="BO557" s="1" t="s">
        <v>267</v>
      </c>
      <c r="BP557" s="1">
        <v>10</v>
      </c>
      <c r="BQ557" s="1" t="s">
        <v>4026</v>
      </c>
      <c r="BR557" s="1" t="s">
        <v>104</v>
      </c>
      <c r="BS557" s="1" t="s">
        <v>4027</v>
      </c>
      <c r="BT557" s="1" t="s">
        <v>10673</v>
      </c>
      <c r="BU557" s="1">
        <v>35312172</v>
      </c>
      <c r="BV557" s="1" t="s">
        <v>82</v>
      </c>
      <c r="BW557" s="1" t="s">
        <v>82</v>
      </c>
      <c r="BX557" s="1" t="s">
        <v>82</v>
      </c>
      <c r="BY557" s="1" t="s">
        <v>108</v>
      </c>
      <c r="BZ557" s="1" t="s">
        <v>10689</v>
      </c>
      <c r="CA557" s="1" t="str">
        <f>HYPERLINK("https%3A%2F%2Fwww.webofscience.com%2Fwos%2Fwoscc%2Ffull-record%2FWOS:000778068700001","View Full Record in Web of Science")</f>
        <v>View Full Record in Web of Science</v>
      </c>
    </row>
    <row r="558" s="1" customFormat="1" ht="14.4" spans="1:79">
      <c r="A558">
        <v>557</v>
      </c>
      <c r="B558" s="2" t="s">
        <v>110</v>
      </c>
      <c r="C558" s="1" t="s">
        <v>80</v>
      </c>
      <c r="D558" s="1" t="s">
        <v>10690</v>
      </c>
      <c r="E558" s="1" t="s">
        <v>82</v>
      </c>
      <c r="F558" s="1" t="s">
        <v>82</v>
      </c>
      <c r="G558" s="1" t="s">
        <v>82</v>
      </c>
      <c r="H558" s="1" t="s">
        <v>10691</v>
      </c>
      <c r="I558" s="1" t="s">
        <v>82</v>
      </c>
      <c r="J558" s="1" t="s">
        <v>82</v>
      </c>
      <c r="K558" s="1" t="s">
        <v>10692</v>
      </c>
      <c r="L558" s="1" t="s">
        <v>10572</v>
      </c>
      <c r="M558" s="1">
        <v>2.745</v>
      </c>
      <c r="O558" s="1" t="s">
        <v>82</v>
      </c>
      <c r="P558" s="1" t="s">
        <v>82</v>
      </c>
      <c r="Q558" s="1" t="s">
        <v>87</v>
      </c>
      <c r="R558" s="1" t="s">
        <v>115</v>
      </c>
      <c r="S558" s="1" t="s">
        <v>82</v>
      </c>
      <c r="T558" s="1" t="s">
        <v>82</v>
      </c>
      <c r="U558" s="1" t="s">
        <v>82</v>
      </c>
      <c r="V558" s="1" t="s">
        <v>82</v>
      </c>
      <c r="W558" s="1" t="s">
        <v>82</v>
      </c>
      <c r="X558" s="1" t="s">
        <v>10693</v>
      </c>
      <c r="Y558" s="1" t="s">
        <v>10694</v>
      </c>
      <c r="Z558" s="1" t="s">
        <v>10695</v>
      </c>
      <c r="AA558" s="1">
        <v>1</v>
      </c>
      <c r="AB558" s="1" t="s">
        <v>10696</v>
      </c>
      <c r="AC558" s="1" t="s">
        <v>10697</v>
      </c>
      <c r="AD558" s="1" t="s">
        <v>93</v>
      </c>
      <c r="AE558" s="1" t="s">
        <v>2785</v>
      </c>
      <c r="AF558" s="1" t="s">
        <v>10698</v>
      </c>
      <c r="AG558" s="1" t="s">
        <v>2787</v>
      </c>
      <c r="AH558" s="1" t="s">
        <v>82</v>
      </c>
      <c r="AI558" s="1" t="s">
        <v>82</v>
      </c>
      <c r="AJ558" s="1" t="s">
        <v>10699</v>
      </c>
      <c r="AK558" s="1" t="s">
        <v>3764</v>
      </c>
      <c r="AL558" s="1" t="s">
        <v>10700</v>
      </c>
      <c r="AM558" s="1" t="s">
        <v>82</v>
      </c>
      <c r="AN558" s="1">
        <v>42</v>
      </c>
      <c r="AO558" s="1">
        <v>0</v>
      </c>
      <c r="AP558" s="1">
        <v>0</v>
      </c>
      <c r="AQ558" s="1">
        <v>4</v>
      </c>
      <c r="AR558" s="1">
        <v>22</v>
      </c>
      <c r="AS558" s="1" t="s">
        <v>695</v>
      </c>
      <c r="AT558" s="1" t="s">
        <v>696</v>
      </c>
      <c r="AU558" s="1" t="s">
        <v>697</v>
      </c>
      <c r="AV558" s="1" t="s">
        <v>10582</v>
      </c>
      <c r="AW558" s="1" t="s">
        <v>10583</v>
      </c>
      <c r="AX558" s="1" t="s">
        <v>82</v>
      </c>
      <c r="AY558" s="1" t="s">
        <v>10584</v>
      </c>
      <c r="AZ558" s="1" t="s">
        <v>10585</v>
      </c>
      <c r="BA558" s="1" t="s">
        <v>245</v>
      </c>
      <c r="BB558" s="1">
        <v>2022</v>
      </c>
      <c r="BC558" s="1">
        <v>19</v>
      </c>
      <c r="BD558" s="1">
        <v>5</v>
      </c>
      <c r="BE558" s="1" t="s">
        <v>82</v>
      </c>
      <c r="BF558" s="1" t="s">
        <v>82</v>
      </c>
      <c r="BG558" s="1" t="s">
        <v>82</v>
      </c>
      <c r="BH558" s="1" t="s">
        <v>82</v>
      </c>
      <c r="BI558" s="1" t="s">
        <v>82</v>
      </c>
      <c r="BJ558" s="1" t="s">
        <v>82</v>
      </c>
      <c r="BK558" s="1" t="s">
        <v>10701</v>
      </c>
      <c r="BL558" s="1" t="s">
        <v>10702</v>
      </c>
      <c r="BM558" s="1" t="str">
        <f>HYPERLINK("http://dx.doi.org/10.1002/cbdv.202200139","http://dx.doi.org/10.1002/cbdv.202200139")</f>
        <v>http://dx.doi.org/10.1002/cbdv.202200139</v>
      </c>
      <c r="BN558" s="1" t="s">
        <v>82</v>
      </c>
      <c r="BO558" s="1" t="s">
        <v>282</v>
      </c>
      <c r="BP558" s="1">
        <v>10</v>
      </c>
      <c r="BQ558" s="1" t="s">
        <v>4026</v>
      </c>
      <c r="BR558" s="1" t="s">
        <v>104</v>
      </c>
      <c r="BS558" s="1" t="s">
        <v>4027</v>
      </c>
      <c r="BT558" s="1" t="s">
        <v>10673</v>
      </c>
      <c r="BU558" s="1">
        <v>35289981</v>
      </c>
      <c r="BV558" s="1" t="s">
        <v>82</v>
      </c>
      <c r="BW558" s="1" t="s">
        <v>82</v>
      </c>
      <c r="BX558" s="1" t="s">
        <v>82</v>
      </c>
      <c r="BY558" s="1" t="s">
        <v>108</v>
      </c>
      <c r="BZ558" s="1" t="s">
        <v>10703</v>
      </c>
      <c r="CA558" s="1" t="str">
        <f>HYPERLINK("https%3A%2F%2Fwww.webofscience.com%2Fwos%2Fwoscc%2Ffull-record%2FWOS:000772516700001","View Full Record in Web of Science")</f>
        <v>View Full Record in Web of Science</v>
      </c>
    </row>
    <row r="559" s="1" customFormat="1" ht="14.4" spans="1:79">
      <c r="A559">
        <v>558</v>
      </c>
      <c r="B559" s="2" t="s">
        <v>110</v>
      </c>
      <c r="C559" s="1" t="s">
        <v>80</v>
      </c>
      <c r="D559" s="1" t="s">
        <v>10704</v>
      </c>
      <c r="E559" s="1" t="s">
        <v>82</v>
      </c>
      <c r="F559" s="1" t="s">
        <v>82</v>
      </c>
      <c r="G559" s="1" t="s">
        <v>82</v>
      </c>
      <c r="H559" s="1" t="s">
        <v>10705</v>
      </c>
      <c r="I559" s="1" t="s">
        <v>82</v>
      </c>
      <c r="J559" s="1" t="s">
        <v>82</v>
      </c>
      <c r="K559" s="1" t="s">
        <v>10706</v>
      </c>
      <c r="L559" s="1" t="s">
        <v>10572</v>
      </c>
      <c r="M559" s="1">
        <v>2.745</v>
      </c>
      <c r="O559" s="1" t="s">
        <v>82</v>
      </c>
      <c r="P559" s="1" t="s">
        <v>82</v>
      </c>
      <c r="Q559" s="1" t="s">
        <v>87</v>
      </c>
      <c r="R559" s="1" t="s">
        <v>200</v>
      </c>
      <c r="S559" s="1" t="s">
        <v>82</v>
      </c>
      <c r="T559" s="1" t="s">
        <v>82</v>
      </c>
      <c r="U559" s="1" t="s">
        <v>82</v>
      </c>
      <c r="V559" s="1" t="s">
        <v>82</v>
      </c>
      <c r="W559" s="1" t="s">
        <v>82</v>
      </c>
      <c r="X559" s="1" t="s">
        <v>10707</v>
      </c>
      <c r="Y559" s="1" t="s">
        <v>10708</v>
      </c>
      <c r="Z559" s="1" t="s">
        <v>10709</v>
      </c>
      <c r="AA559" s="1">
        <v>1</v>
      </c>
      <c r="AB559" s="1" t="s">
        <v>2534</v>
      </c>
      <c r="AC559" s="1" t="s">
        <v>10710</v>
      </c>
      <c r="AD559" s="1" t="s">
        <v>93</v>
      </c>
      <c r="AE559" s="1" t="s">
        <v>94</v>
      </c>
      <c r="AF559" s="1" t="s">
        <v>10711</v>
      </c>
      <c r="AG559" s="1" t="s">
        <v>10712</v>
      </c>
      <c r="AH559" s="1" t="s">
        <v>82</v>
      </c>
      <c r="AI559" s="1" t="s">
        <v>5670</v>
      </c>
      <c r="AJ559" s="1" t="s">
        <v>10713</v>
      </c>
      <c r="AK559" s="1" t="s">
        <v>10714</v>
      </c>
      <c r="AL559" s="1" t="s">
        <v>10715</v>
      </c>
      <c r="AM559" s="1" t="s">
        <v>82</v>
      </c>
      <c r="AN559" s="1">
        <v>59</v>
      </c>
      <c r="AO559" s="1">
        <v>4</v>
      </c>
      <c r="AP559" s="1">
        <v>4</v>
      </c>
      <c r="AQ559" s="1">
        <v>2</v>
      </c>
      <c r="AR559" s="1">
        <v>13</v>
      </c>
      <c r="AS559" s="1" t="s">
        <v>695</v>
      </c>
      <c r="AT559" s="1" t="s">
        <v>696</v>
      </c>
      <c r="AU559" s="1" t="s">
        <v>697</v>
      </c>
      <c r="AV559" s="1" t="s">
        <v>10582</v>
      </c>
      <c r="AW559" s="1" t="s">
        <v>10583</v>
      </c>
      <c r="AX559" s="1" t="s">
        <v>82</v>
      </c>
      <c r="AY559" s="1" t="s">
        <v>10584</v>
      </c>
      <c r="AZ559" s="1" t="s">
        <v>10585</v>
      </c>
      <c r="BA559" s="1" t="s">
        <v>397</v>
      </c>
      <c r="BB559" s="1">
        <v>2022</v>
      </c>
      <c r="BC559" s="1">
        <v>19</v>
      </c>
      <c r="BD559" s="1">
        <v>2</v>
      </c>
      <c r="BE559" s="1" t="s">
        <v>82</v>
      </c>
      <c r="BF559" s="1" t="s">
        <v>82</v>
      </c>
      <c r="BG559" s="1" t="s">
        <v>82</v>
      </c>
      <c r="BH559" s="1" t="s">
        <v>82</v>
      </c>
      <c r="BI559" s="1" t="s">
        <v>82</v>
      </c>
      <c r="BJ559" s="1" t="s">
        <v>82</v>
      </c>
      <c r="BK559" s="1" t="s">
        <v>10716</v>
      </c>
      <c r="BL559" s="1" t="s">
        <v>10717</v>
      </c>
      <c r="BM559" s="1" t="str">
        <f>HYPERLINK("http://dx.doi.org/10.1002/cbdv.202100861","http://dx.doi.org/10.1002/cbdv.202100861")</f>
        <v>http://dx.doi.org/10.1002/cbdv.202100861</v>
      </c>
      <c r="BN559" s="1" t="s">
        <v>82</v>
      </c>
      <c r="BO559" s="1" t="s">
        <v>315</v>
      </c>
      <c r="BP559" s="1">
        <v>26</v>
      </c>
      <c r="BQ559" s="1" t="s">
        <v>4026</v>
      </c>
      <c r="BR559" s="1" t="s">
        <v>104</v>
      </c>
      <c r="BS559" s="1" t="s">
        <v>4027</v>
      </c>
      <c r="BT559" s="1" t="s">
        <v>10718</v>
      </c>
      <c r="BU559" s="1">
        <v>34860463</v>
      </c>
      <c r="BV559" s="1" t="s">
        <v>82</v>
      </c>
      <c r="BW559" s="1" t="s">
        <v>82</v>
      </c>
      <c r="BX559" s="1" t="s">
        <v>82</v>
      </c>
      <c r="BY559" s="1" t="s">
        <v>108</v>
      </c>
      <c r="BZ559" s="1" t="s">
        <v>10719</v>
      </c>
      <c r="CA559" s="1" t="str">
        <f>HYPERLINK("https%3A%2F%2Fwww.webofscience.com%2Fwos%2Fwoscc%2Ffull-record%2FWOS:000742689900001","View Full Record in Web of Science")</f>
        <v>View Full Record in Web of Science</v>
      </c>
    </row>
    <row r="560" s="1" customFormat="1" ht="14.4" spans="1:79">
      <c r="A560">
        <v>559</v>
      </c>
      <c r="B560" s="2" t="s">
        <v>110</v>
      </c>
      <c r="C560" s="1" t="s">
        <v>80</v>
      </c>
      <c r="D560" s="1" t="s">
        <v>10720</v>
      </c>
      <c r="E560" s="1" t="s">
        <v>82</v>
      </c>
      <c r="F560" s="1" t="s">
        <v>82</v>
      </c>
      <c r="G560" s="1" t="s">
        <v>82</v>
      </c>
      <c r="H560" s="1" t="s">
        <v>10721</v>
      </c>
      <c r="I560" s="1" t="s">
        <v>82</v>
      </c>
      <c r="J560" s="1" t="s">
        <v>82</v>
      </c>
      <c r="K560" s="1" t="s">
        <v>10722</v>
      </c>
      <c r="L560" s="1" t="s">
        <v>10572</v>
      </c>
      <c r="M560" s="1">
        <v>2.745</v>
      </c>
      <c r="O560" s="1" t="s">
        <v>82</v>
      </c>
      <c r="P560" s="1" t="s">
        <v>82</v>
      </c>
      <c r="Q560" s="1" t="s">
        <v>87</v>
      </c>
      <c r="R560" s="1" t="s">
        <v>115</v>
      </c>
      <c r="S560" s="1" t="s">
        <v>82</v>
      </c>
      <c r="T560" s="1" t="s">
        <v>82</v>
      </c>
      <c r="U560" s="1" t="s">
        <v>82</v>
      </c>
      <c r="V560" s="1" t="s">
        <v>82</v>
      </c>
      <c r="W560" s="1" t="s">
        <v>82</v>
      </c>
      <c r="X560" s="1" t="s">
        <v>10723</v>
      </c>
      <c r="Y560" s="1" t="s">
        <v>10724</v>
      </c>
      <c r="Z560" s="1" t="s">
        <v>10725</v>
      </c>
      <c r="AA560" s="1">
        <v>1</v>
      </c>
      <c r="AB560" s="1" t="s">
        <v>10726</v>
      </c>
      <c r="AC560" s="1" t="s">
        <v>10727</v>
      </c>
      <c r="AD560" s="1" t="s">
        <v>93</v>
      </c>
      <c r="AE560" s="1" t="s">
        <v>10728</v>
      </c>
      <c r="AF560" s="1" t="s">
        <v>10729</v>
      </c>
      <c r="AG560" s="1" t="s">
        <v>10730</v>
      </c>
      <c r="AH560" s="1" t="s">
        <v>82</v>
      </c>
      <c r="AI560" s="1" t="s">
        <v>5670</v>
      </c>
      <c r="AJ560" s="1" t="s">
        <v>10731</v>
      </c>
      <c r="AK560" s="1" t="s">
        <v>10732</v>
      </c>
      <c r="AL560" s="1" t="s">
        <v>10733</v>
      </c>
      <c r="AM560" s="1" t="s">
        <v>82</v>
      </c>
      <c r="AN560" s="1">
        <v>33</v>
      </c>
      <c r="AO560" s="1">
        <v>2</v>
      </c>
      <c r="AP560" s="1">
        <v>2</v>
      </c>
      <c r="AQ560" s="1">
        <v>5</v>
      </c>
      <c r="AR560" s="1">
        <v>24</v>
      </c>
      <c r="AS560" s="1" t="s">
        <v>695</v>
      </c>
      <c r="AT560" s="1" t="s">
        <v>696</v>
      </c>
      <c r="AU560" s="1" t="s">
        <v>697</v>
      </c>
      <c r="AV560" s="1" t="s">
        <v>10582</v>
      </c>
      <c r="AW560" s="1" t="s">
        <v>10583</v>
      </c>
      <c r="AX560" s="1" t="s">
        <v>82</v>
      </c>
      <c r="AY560" s="1" t="s">
        <v>10584</v>
      </c>
      <c r="AZ560" s="1" t="s">
        <v>10585</v>
      </c>
      <c r="BA560" s="1" t="s">
        <v>1826</v>
      </c>
      <c r="BB560" s="1">
        <v>2022</v>
      </c>
      <c r="BC560" s="1">
        <v>19</v>
      </c>
      <c r="BD560" s="1">
        <v>1</v>
      </c>
      <c r="BE560" s="1" t="s">
        <v>82</v>
      </c>
      <c r="BF560" s="1" t="s">
        <v>82</v>
      </c>
      <c r="BG560" s="1" t="s">
        <v>82</v>
      </c>
      <c r="BH560" s="1" t="s">
        <v>82</v>
      </c>
      <c r="BI560" s="1" t="s">
        <v>82</v>
      </c>
      <c r="BJ560" s="1" t="s">
        <v>82</v>
      </c>
      <c r="BK560" s="1" t="s">
        <v>10734</v>
      </c>
      <c r="BL560" s="1" t="s">
        <v>10735</v>
      </c>
      <c r="BM560" s="1" t="str">
        <f>HYPERLINK("http://dx.doi.org/10.1002/cbdv.202100868","http://dx.doi.org/10.1002/cbdv.202100868")</f>
        <v>http://dx.doi.org/10.1002/cbdv.202100868</v>
      </c>
      <c r="BN560" s="1" t="s">
        <v>82</v>
      </c>
      <c r="BO560" s="1" t="s">
        <v>1462</v>
      </c>
      <c r="BP560" s="1">
        <v>9</v>
      </c>
      <c r="BQ560" s="1" t="s">
        <v>4026</v>
      </c>
      <c r="BR560" s="1" t="s">
        <v>104</v>
      </c>
      <c r="BS560" s="1" t="s">
        <v>4027</v>
      </c>
      <c r="BT560" s="1" t="s">
        <v>10736</v>
      </c>
      <c r="BU560" s="1">
        <v>34837325</v>
      </c>
      <c r="BV560" s="1" t="s">
        <v>82</v>
      </c>
      <c r="BW560" s="1" t="s">
        <v>82</v>
      </c>
      <c r="BX560" s="1" t="s">
        <v>82</v>
      </c>
      <c r="BY560" s="1" t="s">
        <v>108</v>
      </c>
      <c r="BZ560" s="1" t="s">
        <v>10737</v>
      </c>
      <c r="CA560" s="1" t="str">
        <f>HYPERLINK("https%3A%2F%2Fwww.webofscience.com%2Fwos%2Fwoscc%2Ffull-record%2FWOS:000732738800001","View Full Record in Web of Science")</f>
        <v>View Full Record in Web of Science</v>
      </c>
    </row>
    <row r="561" s="1" customFormat="1" ht="14.4" spans="1:79">
      <c r="A561">
        <v>560</v>
      </c>
      <c r="B561" s="2" t="s">
        <v>79</v>
      </c>
      <c r="C561" s="1" t="s">
        <v>80</v>
      </c>
      <c r="D561" s="1" t="s">
        <v>10738</v>
      </c>
      <c r="E561" s="1" t="s">
        <v>82</v>
      </c>
      <c r="F561" s="1" t="s">
        <v>82</v>
      </c>
      <c r="G561" s="1" t="s">
        <v>82</v>
      </c>
      <c r="H561" s="1" t="s">
        <v>10739</v>
      </c>
      <c r="I561" s="1" t="s">
        <v>82</v>
      </c>
      <c r="J561" s="1" t="s">
        <v>82</v>
      </c>
      <c r="K561" s="1" t="s">
        <v>10740</v>
      </c>
      <c r="L561" s="1" t="s">
        <v>10741</v>
      </c>
      <c r="M561" s="1">
        <v>2.742</v>
      </c>
      <c r="O561" s="1" t="s">
        <v>82</v>
      </c>
      <c r="P561" s="1" t="s">
        <v>82</v>
      </c>
      <c r="Q561" s="1" t="s">
        <v>87</v>
      </c>
      <c r="R561" s="1" t="s">
        <v>115</v>
      </c>
      <c r="S561" s="1" t="s">
        <v>82</v>
      </c>
      <c r="T561" s="1" t="s">
        <v>82</v>
      </c>
      <c r="U561" s="1" t="s">
        <v>82</v>
      </c>
      <c r="V561" s="1" t="s">
        <v>82</v>
      </c>
      <c r="W561" s="1" t="s">
        <v>82</v>
      </c>
      <c r="X561" s="1" t="s">
        <v>10742</v>
      </c>
      <c r="Y561" s="1" t="s">
        <v>82</v>
      </c>
      <c r="Z561" s="1" t="s">
        <v>10743</v>
      </c>
      <c r="AB561" s="1" t="s">
        <v>10744</v>
      </c>
      <c r="AC561" s="1" t="s">
        <v>10745</v>
      </c>
      <c r="AD561" s="1" t="s">
        <v>120</v>
      </c>
      <c r="AE561" s="1" t="s">
        <v>10746</v>
      </c>
      <c r="AF561" s="1" t="s">
        <v>10747</v>
      </c>
      <c r="AG561" s="1" t="s">
        <v>10748</v>
      </c>
      <c r="AH561" s="1" t="s">
        <v>10749</v>
      </c>
      <c r="AI561" s="1" t="s">
        <v>10750</v>
      </c>
      <c r="AJ561" s="1" t="s">
        <v>10751</v>
      </c>
      <c r="AK561" s="1" t="s">
        <v>10751</v>
      </c>
      <c r="AL561" s="1" t="s">
        <v>10752</v>
      </c>
      <c r="AM561" s="1" t="s">
        <v>82</v>
      </c>
      <c r="AN561" s="1">
        <v>19</v>
      </c>
      <c r="AO561" s="1">
        <v>0</v>
      </c>
      <c r="AP561" s="1">
        <v>0</v>
      </c>
      <c r="AQ561" s="1">
        <v>1</v>
      </c>
      <c r="AR561" s="1">
        <v>7</v>
      </c>
      <c r="AS561" s="1" t="s">
        <v>10753</v>
      </c>
      <c r="AT561" s="1" t="s">
        <v>2118</v>
      </c>
      <c r="AU561" s="1" t="s">
        <v>10754</v>
      </c>
      <c r="AV561" s="1" t="s">
        <v>10755</v>
      </c>
      <c r="AW561" s="1" t="s">
        <v>10756</v>
      </c>
      <c r="AX561" s="1" t="s">
        <v>82</v>
      </c>
      <c r="AY561" s="1" t="s">
        <v>10757</v>
      </c>
      <c r="AZ561" s="1" t="s">
        <v>10758</v>
      </c>
      <c r="BA561" s="1" t="s">
        <v>397</v>
      </c>
      <c r="BB561" s="1">
        <v>2022</v>
      </c>
      <c r="BC561" s="1">
        <v>132</v>
      </c>
      <c r="BD561" s="1">
        <v>1</v>
      </c>
      <c r="BE561" s="1" t="s">
        <v>82</v>
      </c>
      <c r="BF561" s="1" t="s">
        <v>82</v>
      </c>
      <c r="BG561" s="1" t="s">
        <v>170</v>
      </c>
      <c r="BH561" s="1" t="s">
        <v>82</v>
      </c>
      <c r="BI561" s="1">
        <v>1</v>
      </c>
      <c r="BJ561" s="1">
        <v>4</v>
      </c>
      <c r="BK561" s="1" t="s">
        <v>82</v>
      </c>
      <c r="BL561" s="1" t="s">
        <v>10759</v>
      </c>
      <c r="BM561" s="1" t="str">
        <f>HYPERLINK("http://dx.doi.org/10.1007/s00035-022-00279-w","http://dx.doi.org/10.1007/s00035-022-00279-w")</f>
        <v>http://dx.doi.org/10.1007/s00035-022-00279-w</v>
      </c>
      <c r="BN561" s="1" t="s">
        <v>82</v>
      </c>
      <c r="BO561" s="1" t="s">
        <v>296</v>
      </c>
      <c r="BP561" s="1">
        <v>4</v>
      </c>
      <c r="BQ561" s="1" t="s">
        <v>378</v>
      </c>
      <c r="BR561" s="1" t="s">
        <v>104</v>
      </c>
      <c r="BS561" s="1" t="s">
        <v>378</v>
      </c>
      <c r="BT561" s="1" t="s">
        <v>10760</v>
      </c>
      <c r="BU561" s="1" t="s">
        <v>82</v>
      </c>
      <c r="BV561" s="1" t="s">
        <v>268</v>
      </c>
      <c r="BW561" s="1" t="s">
        <v>82</v>
      </c>
      <c r="BX561" s="1" t="s">
        <v>82</v>
      </c>
      <c r="BY561" s="1" t="s">
        <v>108</v>
      </c>
      <c r="BZ561" s="1" t="s">
        <v>10761</v>
      </c>
      <c r="CA561" s="1" t="str">
        <f>HYPERLINK("https%3A%2F%2Fwww.webofscience.com%2Fwos%2Fwoscc%2Ffull-record%2FWOS:000758112400001","View Full Record in Web of Science")</f>
        <v>View Full Record in Web of Science</v>
      </c>
    </row>
    <row r="562" s="1" customFormat="1" ht="14.4" spans="1:79">
      <c r="A562">
        <v>561</v>
      </c>
      <c r="B562" s="2" t="s">
        <v>79</v>
      </c>
      <c r="C562" s="1" t="s">
        <v>80</v>
      </c>
      <c r="D562" s="1" t="s">
        <v>10762</v>
      </c>
      <c r="E562" s="1" t="s">
        <v>82</v>
      </c>
      <c r="F562" s="1" t="s">
        <v>82</v>
      </c>
      <c r="G562" s="1" t="s">
        <v>82</v>
      </c>
      <c r="H562" s="1" t="s">
        <v>10763</v>
      </c>
      <c r="I562" s="1" t="s">
        <v>82</v>
      </c>
      <c r="J562" s="1" t="s">
        <v>82</v>
      </c>
      <c r="K562" s="1" t="s">
        <v>10764</v>
      </c>
      <c r="L562" s="1" t="s">
        <v>10741</v>
      </c>
      <c r="M562" s="1">
        <v>2.742</v>
      </c>
      <c r="O562" s="1" t="s">
        <v>82</v>
      </c>
      <c r="P562" s="1" t="s">
        <v>82</v>
      </c>
      <c r="Q562" s="1" t="s">
        <v>87</v>
      </c>
      <c r="R562" s="1" t="s">
        <v>200</v>
      </c>
      <c r="S562" s="1" t="s">
        <v>82</v>
      </c>
      <c r="T562" s="1" t="s">
        <v>82</v>
      </c>
      <c r="U562" s="1" t="s">
        <v>82</v>
      </c>
      <c r="V562" s="1" t="s">
        <v>82</v>
      </c>
      <c r="W562" s="1" t="s">
        <v>82</v>
      </c>
      <c r="X562" s="1" t="s">
        <v>10765</v>
      </c>
      <c r="Y562" s="1" t="s">
        <v>10766</v>
      </c>
      <c r="Z562" s="1" t="s">
        <v>10767</v>
      </c>
      <c r="AA562" s="1">
        <v>1</v>
      </c>
      <c r="AB562" s="1" t="s">
        <v>344</v>
      </c>
      <c r="AC562" s="1" t="s">
        <v>10768</v>
      </c>
      <c r="AD562" s="1" t="s">
        <v>93</v>
      </c>
      <c r="AE562" s="1" t="s">
        <v>10769</v>
      </c>
      <c r="AF562" s="1" t="s">
        <v>10770</v>
      </c>
      <c r="AG562" s="1" t="s">
        <v>9250</v>
      </c>
      <c r="AH562" s="1" t="s">
        <v>10771</v>
      </c>
      <c r="AI562" s="1" t="s">
        <v>10772</v>
      </c>
      <c r="AJ562" s="1" t="s">
        <v>10773</v>
      </c>
      <c r="AK562" s="1" t="s">
        <v>10774</v>
      </c>
      <c r="AL562" s="1" t="s">
        <v>10775</v>
      </c>
      <c r="AM562" s="1" t="s">
        <v>82</v>
      </c>
      <c r="AN562" s="1">
        <v>50</v>
      </c>
      <c r="AO562" s="1">
        <v>5</v>
      </c>
      <c r="AP562" s="1">
        <v>5</v>
      </c>
      <c r="AQ562" s="1">
        <v>5</v>
      </c>
      <c r="AR562" s="1">
        <v>44</v>
      </c>
      <c r="AS562" s="1" t="s">
        <v>10753</v>
      </c>
      <c r="AT562" s="1" t="s">
        <v>2118</v>
      </c>
      <c r="AU562" s="1" t="s">
        <v>10754</v>
      </c>
      <c r="AV562" s="1" t="s">
        <v>10755</v>
      </c>
      <c r="AW562" s="1" t="s">
        <v>10756</v>
      </c>
      <c r="AX562" s="1" t="s">
        <v>82</v>
      </c>
      <c r="AY562" s="1" t="s">
        <v>10757</v>
      </c>
      <c r="AZ562" s="1" t="s">
        <v>10758</v>
      </c>
      <c r="BA562" s="1" t="s">
        <v>397</v>
      </c>
      <c r="BB562" s="1">
        <v>2022</v>
      </c>
      <c r="BC562" s="1">
        <v>132</v>
      </c>
      <c r="BD562" s="1">
        <v>1</v>
      </c>
      <c r="BE562" s="1" t="s">
        <v>82</v>
      </c>
      <c r="BF562" s="1" t="s">
        <v>82</v>
      </c>
      <c r="BG562" s="1" t="s">
        <v>170</v>
      </c>
      <c r="BH562" s="1" t="s">
        <v>82</v>
      </c>
      <c r="BI562" s="1">
        <v>141</v>
      </c>
      <c r="BJ562" s="1">
        <v>151</v>
      </c>
      <c r="BK562" s="1" t="s">
        <v>82</v>
      </c>
      <c r="BL562" s="1" t="s">
        <v>10776</v>
      </c>
      <c r="BM562" s="1" t="str">
        <f>HYPERLINK("http://dx.doi.org/10.1007/s00035-021-00269-4","http://dx.doi.org/10.1007/s00035-021-00269-4")</f>
        <v>http://dx.doi.org/10.1007/s00035-021-00269-4</v>
      </c>
      <c r="BN562" s="1" t="s">
        <v>82</v>
      </c>
      <c r="BO562" s="1" t="s">
        <v>7500</v>
      </c>
      <c r="BP562" s="1">
        <v>11</v>
      </c>
      <c r="BQ562" s="1" t="s">
        <v>378</v>
      </c>
      <c r="BR562" s="1" t="s">
        <v>104</v>
      </c>
      <c r="BS562" s="1" t="s">
        <v>378</v>
      </c>
      <c r="BT562" s="1" t="s">
        <v>10760</v>
      </c>
      <c r="BU562" s="1" t="s">
        <v>82</v>
      </c>
      <c r="BV562" s="1" t="s">
        <v>82</v>
      </c>
      <c r="BW562" s="1" t="s">
        <v>82</v>
      </c>
      <c r="BX562" s="1" t="s">
        <v>82</v>
      </c>
      <c r="BY562" s="1" t="s">
        <v>108</v>
      </c>
      <c r="BZ562" s="1" t="s">
        <v>10777</v>
      </c>
      <c r="CA562" s="1" t="str">
        <f>HYPERLINK("https%3A%2F%2Fwww.webofscience.com%2Fwos%2Fwoscc%2Ffull-record%2FWOS:000692632700001","View Full Record in Web of Science")</f>
        <v>View Full Record in Web of Science</v>
      </c>
    </row>
    <row r="563" s="1" customFormat="1" ht="14.4" spans="1:79">
      <c r="A563">
        <v>562</v>
      </c>
      <c r="B563" s="2" t="s">
        <v>79</v>
      </c>
      <c r="C563" s="1" t="s">
        <v>80</v>
      </c>
      <c r="D563" s="1" t="s">
        <v>10778</v>
      </c>
      <c r="E563" s="1" t="s">
        <v>82</v>
      </c>
      <c r="F563" s="1" t="s">
        <v>82</v>
      </c>
      <c r="G563" s="1" t="s">
        <v>82</v>
      </c>
      <c r="H563" s="1" t="s">
        <v>10779</v>
      </c>
      <c r="I563" s="1" t="s">
        <v>82</v>
      </c>
      <c r="J563" s="1" t="s">
        <v>82</v>
      </c>
      <c r="K563" s="1" t="s">
        <v>10780</v>
      </c>
      <c r="L563" s="1" t="s">
        <v>10781</v>
      </c>
      <c r="M563" s="1">
        <v>2.686</v>
      </c>
      <c r="O563" s="1" t="s">
        <v>82</v>
      </c>
      <c r="P563" s="1" t="s">
        <v>82</v>
      </c>
      <c r="Q563" s="1" t="s">
        <v>87</v>
      </c>
      <c r="R563" s="1" t="s">
        <v>115</v>
      </c>
      <c r="S563" s="1" t="s">
        <v>82</v>
      </c>
      <c r="T563" s="1" t="s">
        <v>82</v>
      </c>
      <c r="U563" s="1" t="s">
        <v>82</v>
      </c>
      <c r="V563" s="1" t="s">
        <v>82</v>
      </c>
      <c r="W563" s="1" t="s">
        <v>82</v>
      </c>
      <c r="X563" s="1" t="s">
        <v>10782</v>
      </c>
      <c r="Y563" s="1" t="s">
        <v>10783</v>
      </c>
      <c r="Z563" s="1" t="s">
        <v>10784</v>
      </c>
      <c r="AB563" s="1" t="s">
        <v>10785</v>
      </c>
      <c r="AC563" s="1" t="s">
        <v>10786</v>
      </c>
      <c r="AD563" s="1" t="s">
        <v>120</v>
      </c>
      <c r="AE563" s="1" t="s">
        <v>10787</v>
      </c>
      <c r="AF563" s="1" t="s">
        <v>10788</v>
      </c>
      <c r="AG563" s="1" t="s">
        <v>10789</v>
      </c>
      <c r="AH563" s="1" t="s">
        <v>82</v>
      </c>
      <c r="AI563" s="1" t="s">
        <v>82</v>
      </c>
      <c r="AJ563" s="1" t="s">
        <v>10790</v>
      </c>
      <c r="AK563" s="1" t="s">
        <v>10791</v>
      </c>
      <c r="AL563" s="1" t="s">
        <v>10792</v>
      </c>
      <c r="AM563" s="1" t="s">
        <v>82</v>
      </c>
      <c r="AN563" s="1">
        <v>54</v>
      </c>
      <c r="AO563" s="1">
        <v>0</v>
      </c>
      <c r="AP563" s="1">
        <v>0</v>
      </c>
      <c r="AQ563" s="1">
        <v>15</v>
      </c>
      <c r="AR563" s="1">
        <v>15</v>
      </c>
      <c r="AS563" s="1" t="s">
        <v>215</v>
      </c>
      <c r="AT563" s="1" t="s">
        <v>6669</v>
      </c>
      <c r="AU563" s="1" t="s">
        <v>6670</v>
      </c>
      <c r="AV563" s="1" t="s">
        <v>10793</v>
      </c>
      <c r="AW563" s="1" t="s">
        <v>10794</v>
      </c>
      <c r="AX563" s="1" t="s">
        <v>82</v>
      </c>
      <c r="AY563" s="1" t="s">
        <v>10795</v>
      </c>
      <c r="AZ563" s="1" t="s">
        <v>10796</v>
      </c>
      <c r="BA563" s="1" t="s">
        <v>2123</v>
      </c>
      <c r="BB563" s="1">
        <v>2022</v>
      </c>
      <c r="BC563" s="1">
        <v>25</v>
      </c>
      <c r="BD563" s="1">
        <v>6</v>
      </c>
      <c r="BE563" s="1" t="s">
        <v>82</v>
      </c>
      <c r="BF563" s="1" t="s">
        <v>82</v>
      </c>
      <c r="BG563" s="1" t="s">
        <v>82</v>
      </c>
      <c r="BH563" s="1" t="s">
        <v>82</v>
      </c>
      <c r="BI563" s="1">
        <v>1913</v>
      </c>
      <c r="BJ563" s="1">
        <v>1924</v>
      </c>
      <c r="BK563" s="1" t="s">
        <v>82</v>
      </c>
      <c r="BL563" s="1" t="s">
        <v>10797</v>
      </c>
      <c r="BM563" s="1" t="str">
        <f>HYPERLINK("http://dx.doi.org/10.1007/s11252-022-01290-z","http://dx.doi.org/10.1007/s11252-022-01290-z")</f>
        <v>http://dx.doi.org/10.1007/s11252-022-01290-z</v>
      </c>
      <c r="BN563" s="1" t="s">
        <v>82</v>
      </c>
      <c r="BO563" s="1" t="s">
        <v>224</v>
      </c>
      <c r="BP563" s="1">
        <v>12</v>
      </c>
      <c r="BQ563" s="1" t="s">
        <v>10798</v>
      </c>
      <c r="BR563" s="1" t="s">
        <v>104</v>
      </c>
      <c r="BS563" s="1" t="s">
        <v>10799</v>
      </c>
      <c r="BT563" s="1" t="s">
        <v>10800</v>
      </c>
      <c r="BU563" s="1" t="s">
        <v>82</v>
      </c>
      <c r="BV563" s="1" t="s">
        <v>82</v>
      </c>
      <c r="BW563" s="1" t="s">
        <v>82</v>
      </c>
      <c r="BX563" s="1" t="s">
        <v>82</v>
      </c>
      <c r="BY563" s="1" t="s">
        <v>108</v>
      </c>
      <c r="BZ563" s="1" t="s">
        <v>10801</v>
      </c>
      <c r="CA563" s="1" t="str">
        <f>HYPERLINK("https%3A%2F%2Fwww.webofscience.com%2Fwos%2Fwoscc%2Ffull-record%2FWOS:000854821900001","View Full Record in Web of Science")</f>
        <v>View Full Record in Web of Science</v>
      </c>
    </row>
    <row r="564" s="1" customFormat="1" ht="14.4" spans="1:79">
      <c r="A564">
        <v>563</v>
      </c>
      <c r="B564" s="2" t="s">
        <v>79</v>
      </c>
      <c r="C564" s="1" t="s">
        <v>80</v>
      </c>
      <c r="D564" s="1" t="s">
        <v>10802</v>
      </c>
      <c r="E564" s="1" t="s">
        <v>82</v>
      </c>
      <c r="F564" s="1" t="s">
        <v>82</v>
      </c>
      <c r="G564" s="1" t="s">
        <v>82</v>
      </c>
      <c r="H564" s="1" t="s">
        <v>10803</v>
      </c>
      <c r="I564" s="1" t="s">
        <v>82</v>
      </c>
      <c r="J564" s="1" t="s">
        <v>82</v>
      </c>
      <c r="K564" s="1" t="s">
        <v>10804</v>
      </c>
      <c r="L564" s="1" t="s">
        <v>10805</v>
      </c>
      <c r="M564" s="1">
        <v>2.667</v>
      </c>
      <c r="O564" s="1" t="s">
        <v>82</v>
      </c>
      <c r="P564" s="1" t="s">
        <v>82</v>
      </c>
      <c r="Q564" s="1" t="s">
        <v>87</v>
      </c>
      <c r="R564" s="1" t="s">
        <v>115</v>
      </c>
      <c r="S564" s="1" t="s">
        <v>82</v>
      </c>
      <c r="T564" s="1" t="s">
        <v>82</v>
      </c>
      <c r="U564" s="1" t="s">
        <v>82</v>
      </c>
      <c r="V564" s="1" t="s">
        <v>82</v>
      </c>
      <c r="W564" s="1" t="s">
        <v>82</v>
      </c>
      <c r="X564" s="1" t="s">
        <v>10806</v>
      </c>
      <c r="Y564" s="1" t="s">
        <v>10807</v>
      </c>
      <c r="Z564" s="1" t="s">
        <v>10808</v>
      </c>
      <c r="AB564" s="1" t="s">
        <v>10809</v>
      </c>
      <c r="AC564" s="1" t="s">
        <v>10810</v>
      </c>
      <c r="AD564" s="1" t="s">
        <v>120</v>
      </c>
      <c r="AE564" s="1" t="s">
        <v>10811</v>
      </c>
      <c r="AF564" s="1" t="s">
        <v>10812</v>
      </c>
      <c r="AG564" s="1" t="s">
        <v>10813</v>
      </c>
      <c r="AH564" s="1" t="s">
        <v>82</v>
      </c>
      <c r="AI564" s="1" t="s">
        <v>82</v>
      </c>
      <c r="AJ564" s="1" t="s">
        <v>10814</v>
      </c>
      <c r="AK564" s="1" t="s">
        <v>10815</v>
      </c>
      <c r="AL564" s="1" t="s">
        <v>10816</v>
      </c>
      <c r="AM564" s="1" t="s">
        <v>82</v>
      </c>
      <c r="AN564" s="1">
        <v>58</v>
      </c>
      <c r="AO564" s="1">
        <v>0</v>
      </c>
      <c r="AP564" s="1">
        <v>0</v>
      </c>
      <c r="AQ564" s="1">
        <v>11</v>
      </c>
      <c r="AR564" s="1">
        <v>16</v>
      </c>
      <c r="AS564" s="1" t="s">
        <v>215</v>
      </c>
      <c r="AT564" s="1" t="s">
        <v>216</v>
      </c>
      <c r="AU564" s="1" t="s">
        <v>217</v>
      </c>
      <c r="AV564" s="1" t="s">
        <v>10817</v>
      </c>
      <c r="AW564" s="1" t="s">
        <v>10818</v>
      </c>
      <c r="AX564" s="1" t="s">
        <v>82</v>
      </c>
      <c r="AY564" s="1" t="s">
        <v>10819</v>
      </c>
      <c r="AZ564" s="1" t="s">
        <v>10820</v>
      </c>
      <c r="BA564" s="1" t="s">
        <v>2145</v>
      </c>
      <c r="BB564" s="1">
        <v>2022</v>
      </c>
      <c r="BC564" s="1">
        <v>204</v>
      </c>
      <c r="BD564" s="1">
        <v>3</v>
      </c>
      <c r="BE564" s="1" t="s">
        <v>82</v>
      </c>
      <c r="BF564" s="1" t="s">
        <v>82</v>
      </c>
      <c r="BG564" s="1" t="s">
        <v>82</v>
      </c>
      <c r="BH564" s="1" t="s">
        <v>82</v>
      </c>
      <c r="BI564" s="1" t="s">
        <v>82</v>
      </c>
      <c r="BJ564" s="1" t="s">
        <v>82</v>
      </c>
      <c r="BK564" s="1">
        <v>189</v>
      </c>
      <c r="BL564" s="1" t="s">
        <v>10821</v>
      </c>
      <c r="BM564" s="1" t="str">
        <f>HYPERLINK("http://dx.doi.org/10.1007/s00203-022-02763-7","http://dx.doi.org/10.1007/s00203-022-02763-7")</f>
        <v>http://dx.doi.org/10.1007/s00203-022-02763-7</v>
      </c>
      <c r="BN564" s="1" t="s">
        <v>82</v>
      </c>
      <c r="BO564" s="1" t="s">
        <v>82</v>
      </c>
      <c r="BP564" s="1">
        <v>10</v>
      </c>
      <c r="BQ564" s="1" t="s">
        <v>1662</v>
      </c>
      <c r="BR564" s="1" t="s">
        <v>104</v>
      </c>
      <c r="BS564" s="1" t="s">
        <v>1662</v>
      </c>
      <c r="BT564" s="1" t="s">
        <v>10822</v>
      </c>
      <c r="BU564" s="1">
        <v>35194691</v>
      </c>
      <c r="BV564" s="1" t="s">
        <v>427</v>
      </c>
      <c r="BW564" s="1" t="s">
        <v>82</v>
      </c>
      <c r="BX564" s="1" t="s">
        <v>82</v>
      </c>
      <c r="BY564" s="1" t="s">
        <v>108</v>
      </c>
      <c r="BZ564" s="1" t="s">
        <v>10823</v>
      </c>
      <c r="CA564" s="1" t="str">
        <f>HYPERLINK("https%3A%2F%2Fwww.webofscience.com%2Fwos%2Fwoscc%2Ffull-record%2FWOS:000759606000001","View Full Record in Web of Science")</f>
        <v>View Full Record in Web of Science</v>
      </c>
    </row>
    <row r="565" s="1" customFormat="1" ht="14.4" spans="1:79">
      <c r="A565">
        <v>564</v>
      </c>
      <c r="B565" s="2" t="s">
        <v>79</v>
      </c>
      <c r="C565" s="1" t="s">
        <v>80</v>
      </c>
      <c r="D565" s="1" t="s">
        <v>10824</v>
      </c>
      <c r="E565" s="1" t="s">
        <v>82</v>
      </c>
      <c r="F565" s="1" t="s">
        <v>82</v>
      </c>
      <c r="G565" s="1" t="s">
        <v>82</v>
      </c>
      <c r="H565" s="1" t="s">
        <v>10825</v>
      </c>
      <c r="I565" s="1" t="s">
        <v>82</v>
      </c>
      <c r="J565" s="1" t="s">
        <v>82</v>
      </c>
      <c r="K565" s="1" t="s">
        <v>10826</v>
      </c>
      <c r="L565" s="1" t="s">
        <v>10805</v>
      </c>
      <c r="M565" s="1">
        <v>2.667</v>
      </c>
      <c r="O565" s="1" t="s">
        <v>82</v>
      </c>
      <c r="P565" s="1" t="s">
        <v>82</v>
      </c>
      <c r="Q565" s="1" t="s">
        <v>87</v>
      </c>
      <c r="R565" s="1" t="s">
        <v>115</v>
      </c>
      <c r="S565" s="1" t="s">
        <v>82</v>
      </c>
      <c r="T565" s="1" t="s">
        <v>82</v>
      </c>
      <c r="U565" s="1" t="s">
        <v>82</v>
      </c>
      <c r="V565" s="1" t="s">
        <v>82</v>
      </c>
      <c r="W565" s="1" t="s">
        <v>82</v>
      </c>
      <c r="X565" s="1" t="s">
        <v>10827</v>
      </c>
      <c r="Y565" s="1" t="s">
        <v>10828</v>
      </c>
      <c r="Z565" s="1" t="s">
        <v>10829</v>
      </c>
      <c r="AB565" s="1" t="s">
        <v>10830</v>
      </c>
      <c r="AC565" s="1" t="s">
        <v>10831</v>
      </c>
      <c r="AD565" s="1" t="s">
        <v>120</v>
      </c>
      <c r="AE565" s="1" t="s">
        <v>10832</v>
      </c>
      <c r="AF565" s="1" t="s">
        <v>10833</v>
      </c>
      <c r="AG565" s="1" t="s">
        <v>10834</v>
      </c>
      <c r="AH565" s="1" t="s">
        <v>82</v>
      </c>
      <c r="AI565" s="1" t="s">
        <v>10835</v>
      </c>
      <c r="AJ565" s="1" t="s">
        <v>10836</v>
      </c>
      <c r="AK565" s="1" t="s">
        <v>10837</v>
      </c>
      <c r="AL565" s="1" t="s">
        <v>10838</v>
      </c>
      <c r="AM565" s="1" t="s">
        <v>82</v>
      </c>
      <c r="AN565" s="1">
        <v>35</v>
      </c>
      <c r="AO565" s="1">
        <v>1</v>
      </c>
      <c r="AP565" s="1">
        <v>1</v>
      </c>
      <c r="AQ565" s="1">
        <v>1</v>
      </c>
      <c r="AR565" s="1">
        <v>8</v>
      </c>
      <c r="AS565" s="1" t="s">
        <v>215</v>
      </c>
      <c r="AT565" s="1" t="s">
        <v>216</v>
      </c>
      <c r="AU565" s="1" t="s">
        <v>217</v>
      </c>
      <c r="AV565" s="1" t="s">
        <v>10817</v>
      </c>
      <c r="AW565" s="1" t="s">
        <v>10818</v>
      </c>
      <c r="AX565" s="1" t="s">
        <v>82</v>
      </c>
      <c r="AY565" s="1" t="s">
        <v>10819</v>
      </c>
      <c r="AZ565" s="1" t="s">
        <v>10820</v>
      </c>
      <c r="BA565" s="1" t="s">
        <v>1826</v>
      </c>
      <c r="BB565" s="1">
        <v>2022</v>
      </c>
      <c r="BC565" s="1">
        <v>204</v>
      </c>
      <c r="BD565" s="1">
        <v>1</v>
      </c>
      <c r="BE565" s="1" t="s">
        <v>82</v>
      </c>
      <c r="BF565" s="1" t="s">
        <v>82</v>
      </c>
      <c r="BG565" s="1" t="s">
        <v>82</v>
      </c>
      <c r="BH565" s="1" t="s">
        <v>82</v>
      </c>
      <c r="BI565" s="1" t="s">
        <v>82</v>
      </c>
      <c r="BJ565" s="1" t="s">
        <v>82</v>
      </c>
      <c r="BK565" s="1">
        <v>19</v>
      </c>
      <c r="BL565" s="1" t="s">
        <v>10839</v>
      </c>
      <c r="BM565" s="1" t="str">
        <f>HYPERLINK("http://dx.doi.org/10.1007/s00203-021-02626-7","http://dx.doi.org/10.1007/s00203-021-02626-7")</f>
        <v>http://dx.doi.org/10.1007/s00203-021-02626-7</v>
      </c>
      <c r="BN565" s="1" t="s">
        <v>82</v>
      </c>
      <c r="BO565" s="1" t="s">
        <v>82</v>
      </c>
      <c r="BP565" s="1">
        <v>7</v>
      </c>
      <c r="BQ565" s="1" t="s">
        <v>1662</v>
      </c>
      <c r="BR565" s="1" t="s">
        <v>104</v>
      </c>
      <c r="BS565" s="1" t="s">
        <v>1662</v>
      </c>
      <c r="BT565" s="1" t="s">
        <v>10840</v>
      </c>
      <c r="BU565" s="1">
        <v>34910249</v>
      </c>
      <c r="BV565" s="1" t="s">
        <v>427</v>
      </c>
      <c r="BW565" s="1" t="s">
        <v>82</v>
      </c>
      <c r="BX565" s="1" t="s">
        <v>82</v>
      </c>
      <c r="BY565" s="1" t="s">
        <v>108</v>
      </c>
      <c r="BZ565" s="1" t="s">
        <v>10841</v>
      </c>
      <c r="CA565" s="1" t="str">
        <f>HYPERLINK("https%3A%2F%2Fwww.webofscience.com%2Fwos%2Fwoscc%2Ffull-record%2FWOS:000730566600004","View Full Record in Web of Science")</f>
        <v>View Full Record in Web of Science</v>
      </c>
    </row>
    <row r="566" s="1" customFormat="1" ht="14.4" spans="1:79">
      <c r="A566">
        <v>565</v>
      </c>
      <c r="B566" s="2" t="s">
        <v>79</v>
      </c>
      <c r="C566" s="1" t="s">
        <v>80</v>
      </c>
      <c r="D566" s="1" t="s">
        <v>10842</v>
      </c>
      <c r="E566" s="1" t="s">
        <v>82</v>
      </c>
      <c r="F566" s="1" t="s">
        <v>82</v>
      </c>
      <c r="G566" s="1" t="s">
        <v>82</v>
      </c>
      <c r="H566" s="1" t="s">
        <v>10843</v>
      </c>
      <c r="I566" s="1" t="s">
        <v>82</v>
      </c>
      <c r="J566" s="1" t="s">
        <v>82</v>
      </c>
      <c r="K566" s="1" t="s">
        <v>10844</v>
      </c>
      <c r="L566" s="1" t="s">
        <v>10845</v>
      </c>
      <c r="M566" s="1">
        <v>2.65</v>
      </c>
      <c r="O566" s="1" t="s">
        <v>82</v>
      </c>
      <c r="P566" s="1" t="s">
        <v>82</v>
      </c>
      <c r="Q566" s="1" t="s">
        <v>87</v>
      </c>
      <c r="R566" s="1" t="s">
        <v>115</v>
      </c>
      <c r="S566" s="1" t="s">
        <v>82</v>
      </c>
      <c r="T566" s="1" t="s">
        <v>82</v>
      </c>
      <c r="U566" s="1" t="s">
        <v>82</v>
      </c>
      <c r="V566" s="1" t="s">
        <v>82</v>
      </c>
      <c r="W566" s="1" t="s">
        <v>82</v>
      </c>
      <c r="X566" s="1" t="s">
        <v>82</v>
      </c>
      <c r="Y566" s="1" t="s">
        <v>10846</v>
      </c>
      <c r="Z566" s="1" t="s">
        <v>10847</v>
      </c>
      <c r="AB566" s="1" t="s">
        <v>10848</v>
      </c>
      <c r="AC566" s="1" t="s">
        <v>10849</v>
      </c>
      <c r="AD566" s="1" t="s">
        <v>206</v>
      </c>
      <c r="AE566" s="1" t="s">
        <v>10850</v>
      </c>
      <c r="AF566" s="1" t="s">
        <v>10851</v>
      </c>
      <c r="AG566" s="1" t="s">
        <v>10852</v>
      </c>
      <c r="AH566" s="1" t="s">
        <v>4587</v>
      </c>
      <c r="AI566" s="1" t="s">
        <v>10853</v>
      </c>
      <c r="AJ566" s="1" t="s">
        <v>10854</v>
      </c>
      <c r="AK566" s="1" t="s">
        <v>10855</v>
      </c>
      <c r="AL566" s="1" t="s">
        <v>10856</v>
      </c>
      <c r="AM566" s="1" t="s">
        <v>82</v>
      </c>
      <c r="AN566" s="1">
        <v>66</v>
      </c>
      <c r="AO566" s="1">
        <v>0</v>
      </c>
      <c r="AP566" s="1">
        <v>0</v>
      </c>
      <c r="AQ566" s="1">
        <v>1</v>
      </c>
      <c r="AR566" s="1">
        <v>1</v>
      </c>
      <c r="AS566" s="1" t="s">
        <v>10857</v>
      </c>
      <c r="AT566" s="1" t="s">
        <v>371</v>
      </c>
      <c r="AU566" s="1" t="s">
        <v>10858</v>
      </c>
      <c r="AV566" s="1" t="s">
        <v>10859</v>
      </c>
      <c r="AW566" s="1" t="s">
        <v>10860</v>
      </c>
      <c r="AX566" s="1" t="s">
        <v>82</v>
      </c>
      <c r="AY566" s="1" t="s">
        <v>10861</v>
      </c>
      <c r="AZ566" s="1" t="s">
        <v>10862</v>
      </c>
      <c r="BA566" s="1" t="s">
        <v>10863</v>
      </c>
      <c r="BB566" s="1">
        <v>2022</v>
      </c>
      <c r="BC566" s="1">
        <v>2022</v>
      </c>
      <c r="BD566" s="1" t="s">
        <v>82</v>
      </c>
      <c r="BE566" s="1" t="s">
        <v>82</v>
      </c>
      <c r="BF566" s="1" t="s">
        <v>82</v>
      </c>
      <c r="BG566" s="1" t="s">
        <v>82</v>
      </c>
      <c r="BH566" s="1" t="s">
        <v>82</v>
      </c>
      <c r="BI566" s="1" t="s">
        <v>82</v>
      </c>
      <c r="BJ566" s="1" t="s">
        <v>82</v>
      </c>
      <c r="BK566" s="1">
        <v>4328571</v>
      </c>
      <c r="BL566" s="1" t="s">
        <v>10864</v>
      </c>
      <c r="BM566" s="1" t="str">
        <f>HYPERLINK("http://dx.doi.org/10.1155/2022/4328571","http://dx.doi.org/10.1155/2022/4328571")</f>
        <v>http://dx.doi.org/10.1155/2022/4328571</v>
      </c>
      <c r="BN566" s="1" t="s">
        <v>82</v>
      </c>
      <c r="BO566" s="1" t="s">
        <v>82</v>
      </c>
      <c r="BP566" s="1">
        <v>14</v>
      </c>
      <c r="BQ566" s="1" t="s">
        <v>10865</v>
      </c>
      <c r="BR566" s="1" t="s">
        <v>104</v>
      </c>
      <c r="BS566" s="1" t="s">
        <v>10865</v>
      </c>
      <c r="BT566" s="1" t="s">
        <v>10866</v>
      </c>
      <c r="BU566" s="1">
        <v>35646149</v>
      </c>
      <c r="BV566" s="1" t="s">
        <v>592</v>
      </c>
      <c r="BW566" s="1" t="s">
        <v>82</v>
      </c>
      <c r="BX566" s="1" t="s">
        <v>82</v>
      </c>
      <c r="BY566" s="1" t="s">
        <v>108</v>
      </c>
      <c r="BZ566" s="1" t="s">
        <v>10867</v>
      </c>
      <c r="CA566" s="1" t="str">
        <f>HYPERLINK("https%3A%2F%2Fwww.webofscience.com%2Fwos%2Fwoscc%2Ffull-record%2FWOS:000806027100007","View Full Record in Web of Science")</f>
        <v>View Full Record in Web of Science</v>
      </c>
    </row>
    <row r="567" s="1" customFormat="1" ht="14.4" spans="1:79">
      <c r="A567">
        <v>566</v>
      </c>
      <c r="B567" s="2" t="s">
        <v>79</v>
      </c>
      <c r="C567" s="1" t="s">
        <v>80</v>
      </c>
      <c r="D567" s="1" t="s">
        <v>10868</v>
      </c>
      <c r="E567" s="1" t="s">
        <v>82</v>
      </c>
      <c r="F567" s="1" t="s">
        <v>82</v>
      </c>
      <c r="G567" s="1" t="s">
        <v>82</v>
      </c>
      <c r="H567" s="1" t="s">
        <v>10869</v>
      </c>
      <c r="I567" s="1" t="s">
        <v>82</v>
      </c>
      <c r="J567" s="1" t="s">
        <v>82</v>
      </c>
      <c r="K567" s="1" t="s">
        <v>10870</v>
      </c>
      <c r="L567" s="1" t="s">
        <v>10845</v>
      </c>
      <c r="M567" s="1">
        <v>2.65</v>
      </c>
      <c r="O567" s="1" t="s">
        <v>82</v>
      </c>
      <c r="P567" s="1" t="s">
        <v>82</v>
      </c>
      <c r="Q567" s="1" t="s">
        <v>87</v>
      </c>
      <c r="R567" s="1" t="s">
        <v>115</v>
      </c>
      <c r="S567" s="1" t="s">
        <v>82</v>
      </c>
      <c r="T567" s="1" t="s">
        <v>82</v>
      </c>
      <c r="U567" s="1" t="s">
        <v>82</v>
      </c>
      <c r="V567" s="1" t="s">
        <v>82</v>
      </c>
      <c r="W567" s="1" t="s">
        <v>82</v>
      </c>
      <c r="X567" s="1" t="s">
        <v>82</v>
      </c>
      <c r="Y567" s="1" t="s">
        <v>10871</v>
      </c>
      <c r="Z567" s="1" t="s">
        <v>10872</v>
      </c>
      <c r="AB567" s="1" t="s">
        <v>10873</v>
      </c>
      <c r="AC567" s="1" t="s">
        <v>10874</v>
      </c>
      <c r="AD567" s="1" t="s">
        <v>206</v>
      </c>
      <c r="AE567" s="1" t="s">
        <v>10875</v>
      </c>
      <c r="AF567" s="1" t="s">
        <v>10876</v>
      </c>
      <c r="AG567" s="1" t="s">
        <v>10877</v>
      </c>
      <c r="AH567" s="1" t="s">
        <v>10878</v>
      </c>
      <c r="AI567" s="1" t="s">
        <v>10879</v>
      </c>
      <c r="AJ567" s="1" t="s">
        <v>10880</v>
      </c>
      <c r="AK567" s="1" t="s">
        <v>10881</v>
      </c>
      <c r="AL567" s="1" t="s">
        <v>10882</v>
      </c>
      <c r="AM567" s="1" t="s">
        <v>82</v>
      </c>
      <c r="AN567" s="1">
        <v>36</v>
      </c>
      <c r="AO567" s="1">
        <v>0</v>
      </c>
      <c r="AP567" s="1">
        <v>0</v>
      </c>
      <c r="AQ567" s="1">
        <v>2</v>
      </c>
      <c r="AR567" s="1">
        <v>2</v>
      </c>
      <c r="AS567" s="1" t="s">
        <v>10857</v>
      </c>
      <c r="AT567" s="1" t="s">
        <v>371</v>
      </c>
      <c r="AU567" s="1" t="s">
        <v>10858</v>
      </c>
      <c r="AV567" s="1" t="s">
        <v>10859</v>
      </c>
      <c r="AW567" s="1" t="s">
        <v>10860</v>
      </c>
      <c r="AX567" s="1" t="s">
        <v>82</v>
      </c>
      <c r="AY567" s="1" t="s">
        <v>10861</v>
      </c>
      <c r="AZ567" s="1" t="s">
        <v>10862</v>
      </c>
      <c r="BA567" s="1" t="s">
        <v>10883</v>
      </c>
      <c r="BB567" s="1">
        <v>2022</v>
      </c>
      <c r="BC567" s="1">
        <v>2022</v>
      </c>
      <c r="BD567" s="1" t="s">
        <v>82</v>
      </c>
      <c r="BE567" s="1" t="s">
        <v>82</v>
      </c>
      <c r="BF567" s="1" t="s">
        <v>82</v>
      </c>
      <c r="BG567" s="1" t="s">
        <v>82</v>
      </c>
      <c r="BH567" s="1" t="s">
        <v>82</v>
      </c>
      <c r="BI567" s="1" t="s">
        <v>82</v>
      </c>
      <c r="BJ567" s="1" t="s">
        <v>82</v>
      </c>
      <c r="BK567" s="1">
        <v>4797884</v>
      </c>
      <c r="BL567" s="1" t="s">
        <v>10884</v>
      </c>
      <c r="BM567" s="1" t="str">
        <f>HYPERLINK("http://dx.doi.org/10.1155/2022/4797884","http://dx.doi.org/10.1155/2022/4797884")</f>
        <v>http://dx.doi.org/10.1155/2022/4797884</v>
      </c>
      <c r="BN567" s="1" t="s">
        <v>82</v>
      </c>
      <c r="BO567" s="1" t="s">
        <v>82</v>
      </c>
      <c r="BP567" s="1">
        <v>20</v>
      </c>
      <c r="BQ567" s="1" t="s">
        <v>10865</v>
      </c>
      <c r="BR567" s="1" t="s">
        <v>104</v>
      </c>
      <c r="BS567" s="1" t="s">
        <v>10865</v>
      </c>
      <c r="BT567" s="1" t="s">
        <v>10885</v>
      </c>
      <c r="BU567" s="1">
        <v>35295928</v>
      </c>
      <c r="BV567" s="1" t="s">
        <v>635</v>
      </c>
      <c r="BW567" s="1" t="s">
        <v>82</v>
      </c>
      <c r="BX567" s="1" t="s">
        <v>82</v>
      </c>
      <c r="BY567" s="1" t="s">
        <v>108</v>
      </c>
      <c r="BZ567" s="1" t="s">
        <v>10886</v>
      </c>
      <c r="CA567" s="1" t="str">
        <f>HYPERLINK("https%3A%2F%2Fwww.webofscience.com%2Fwos%2Fwoscc%2Ffull-record%2FWOS:000784217500005","View Full Record in Web of Science")</f>
        <v>View Full Record in Web of Science</v>
      </c>
    </row>
    <row r="568" s="1" customFormat="1" ht="14.4" spans="1:79">
      <c r="A568">
        <v>567</v>
      </c>
      <c r="B568" s="2" t="s">
        <v>79</v>
      </c>
      <c r="C568" s="1" t="s">
        <v>80</v>
      </c>
      <c r="D568" s="1" t="s">
        <v>10887</v>
      </c>
      <c r="E568" s="1" t="s">
        <v>82</v>
      </c>
      <c r="F568" s="1" t="s">
        <v>82</v>
      </c>
      <c r="G568" s="1" t="s">
        <v>82</v>
      </c>
      <c r="H568" s="1" t="s">
        <v>10888</v>
      </c>
      <c r="I568" s="1" t="s">
        <v>82</v>
      </c>
      <c r="J568" s="1" t="s">
        <v>82</v>
      </c>
      <c r="K568" s="1" t="s">
        <v>10889</v>
      </c>
      <c r="L568" s="1" t="s">
        <v>10890</v>
      </c>
      <c r="M568" s="1">
        <v>2.643</v>
      </c>
      <c r="O568" s="1" t="s">
        <v>82</v>
      </c>
      <c r="P568" s="1" t="s">
        <v>82</v>
      </c>
      <c r="Q568" s="1" t="s">
        <v>87</v>
      </c>
      <c r="R568" s="1" t="s">
        <v>88</v>
      </c>
      <c r="S568" s="1" t="s">
        <v>82</v>
      </c>
      <c r="T568" s="1" t="s">
        <v>82</v>
      </c>
      <c r="U568" s="1" t="s">
        <v>82</v>
      </c>
      <c r="V568" s="1" t="s">
        <v>82</v>
      </c>
      <c r="W568" s="1" t="s">
        <v>82</v>
      </c>
      <c r="X568" s="1" t="s">
        <v>10891</v>
      </c>
      <c r="Y568" s="1" t="s">
        <v>82</v>
      </c>
      <c r="Z568" s="1" t="s">
        <v>82</v>
      </c>
      <c r="AA568" s="1">
        <v>1</v>
      </c>
      <c r="AB568" s="1" t="s">
        <v>10892</v>
      </c>
      <c r="AC568" s="1" t="s">
        <v>10893</v>
      </c>
      <c r="AD568" s="1" t="s">
        <v>93</v>
      </c>
      <c r="AE568" s="1" t="s">
        <v>10894</v>
      </c>
      <c r="AF568" s="1" t="s">
        <v>10895</v>
      </c>
      <c r="AG568" s="1" t="s">
        <v>10896</v>
      </c>
      <c r="AH568" s="1" t="s">
        <v>82</v>
      </c>
      <c r="AI568" s="1" t="s">
        <v>82</v>
      </c>
      <c r="AJ568" s="1" t="s">
        <v>10897</v>
      </c>
      <c r="AK568" s="1" t="s">
        <v>10898</v>
      </c>
      <c r="AL568" s="1" t="s">
        <v>10899</v>
      </c>
      <c r="AM568" s="1" t="s">
        <v>82</v>
      </c>
      <c r="AN568" s="1">
        <v>3</v>
      </c>
      <c r="AO568" s="1">
        <v>0</v>
      </c>
      <c r="AP568" s="1">
        <v>0</v>
      </c>
      <c r="AQ568" s="1">
        <v>3</v>
      </c>
      <c r="AR568" s="1">
        <v>3</v>
      </c>
      <c r="AS568" s="1" t="s">
        <v>215</v>
      </c>
      <c r="AT568" s="1" t="s">
        <v>216</v>
      </c>
      <c r="AU568" s="1" t="s">
        <v>217</v>
      </c>
      <c r="AV568" s="1" t="s">
        <v>10900</v>
      </c>
      <c r="AW568" s="1" t="s">
        <v>10901</v>
      </c>
      <c r="AX568" s="1" t="s">
        <v>82</v>
      </c>
      <c r="AY568" s="1" t="s">
        <v>10902</v>
      </c>
      <c r="AZ568" s="1" t="s">
        <v>10903</v>
      </c>
      <c r="BA568" s="1" t="s">
        <v>486</v>
      </c>
      <c r="BB568" s="1">
        <v>2022</v>
      </c>
      <c r="BC568" s="1">
        <v>104</v>
      </c>
      <c r="BD568" s="1">
        <v>4</v>
      </c>
      <c r="BE568" s="1" t="s">
        <v>82</v>
      </c>
      <c r="BF568" s="1" t="s">
        <v>82</v>
      </c>
      <c r="BG568" s="1" t="s">
        <v>82</v>
      </c>
      <c r="BH568" s="1" t="s">
        <v>82</v>
      </c>
      <c r="BI568" s="1">
        <v>1593</v>
      </c>
      <c r="BJ568" s="1">
        <v>1594</v>
      </c>
      <c r="BK568" s="1" t="s">
        <v>82</v>
      </c>
      <c r="BL568" s="1" t="s">
        <v>10904</v>
      </c>
      <c r="BM568" s="1" t="str">
        <f>HYPERLINK("http://dx.doi.org/10.1007/s42161-022-01227-7","http://dx.doi.org/10.1007/s42161-022-01227-7")</f>
        <v>http://dx.doi.org/10.1007/s42161-022-01227-7</v>
      </c>
      <c r="BN568" s="1" t="s">
        <v>82</v>
      </c>
      <c r="BO568" s="1" t="s">
        <v>2084</v>
      </c>
      <c r="BP568" s="1">
        <v>2</v>
      </c>
      <c r="BQ568" s="1" t="s">
        <v>378</v>
      </c>
      <c r="BR568" s="1" t="s">
        <v>104</v>
      </c>
      <c r="BS568" s="1" t="s">
        <v>378</v>
      </c>
      <c r="BT568" s="1" t="s">
        <v>10905</v>
      </c>
      <c r="BU568" s="1" t="s">
        <v>82</v>
      </c>
      <c r="BV568" s="1" t="s">
        <v>82</v>
      </c>
      <c r="BW568" s="1" t="s">
        <v>82</v>
      </c>
      <c r="BX568" s="1" t="s">
        <v>82</v>
      </c>
      <c r="BY568" s="1" t="s">
        <v>108</v>
      </c>
      <c r="BZ568" s="1" t="s">
        <v>10906</v>
      </c>
      <c r="CA568" s="1" t="str">
        <f>HYPERLINK("https%3A%2F%2Fwww.webofscience.com%2Fwos%2Fwoscc%2Ffull-record%2FWOS:000864041000001","View Full Record in Web of Science")</f>
        <v>View Full Record in Web of Science</v>
      </c>
    </row>
    <row r="569" s="1" customFormat="1" ht="14.4" spans="1:79">
      <c r="A569">
        <v>568</v>
      </c>
      <c r="B569" s="2" t="s">
        <v>79</v>
      </c>
      <c r="C569" s="1" t="s">
        <v>80</v>
      </c>
      <c r="D569" s="1" t="s">
        <v>10907</v>
      </c>
      <c r="E569" s="1" t="s">
        <v>82</v>
      </c>
      <c r="F569" s="1" t="s">
        <v>82</v>
      </c>
      <c r="G569" s="1" t="s">
        <v>82</v>
      </c>
      <c r="H569" s="1" t="s">
        <v>10908</v>
      </c>
      <c r="I569" s="1" t="s">
        <v>82</v>
      </c>
      <c r="J569" s="1" t="s">
        <v>82</v>
      </c>
      <c r="K569" s="1" t="s">
        <v>10909</v>
      </c>
      <c r="L569" s="1" t="s">
        <v>10890</v>
      </c>
      <c r="M569" s="1">
        <v>2.643</v>
      </c>
      <c r="O569" s="1" t="s">
        <v>82</v>
      </c>
      <c r="P569" s="1" t="s">
        <v>82</v>
      </c>
      <c r="Q569" s="1" t="s">
        <v>87</v>
      </c>
      <c r="R569" s="1" t="s">
        <v>115</v>
      </c>
      <c r="S569" s="1" t="s">
        <v>82</v>
      </c>
      <c r="T569" s="1" t="s">
        <v>82</v>
      </c>
      <c r="U569" s="1" t="s">
        <v>82</v>
      </c>
      <c r="V569" s="1" t="s">
        <v>82</v>
      </c>
      <c r="W569" s="1" t="s">
        <v>82</v>
      </c>
      <c r="X569" s="1" t="s">
        <v>82</v>
      </c>
      <c r="Y569" s="1" t="s">
        <v>82</v>
      </c>
      <c r="Z569" s="1" t="s">
        <v>82</v>
      </c>
      <c r="AA569" s="1">
        <v>1</v>
      </c>
      <c r="AB569" s="1" t="s">
        <v>10910</v>
      </c>
      <c r="AC569" s="1" t="s">
        <v>10911</v>
      </c>
      <c r="AD569" s="1" t="s">
        <v>93</v>
      </c>
      <c r="AE569" s="1" t="s">
        <v>10912</v>
      </c>
      <c r="AF569" s="1" t="s">
        <v>10913</v>
      </c>
      <c r="AG569" s="1" t="s">
        <v>82</v>
      </c>
      <c r="AH569" s="1" t="s">
        <v>82</v>
      </c>
      <c r="AI569" s="1" t="s">
        <v>82</v>
      </c>
      <c r="AJ569" s="1" t="s">
        <v>10914</v>
      </c>
      <c r="AK569" s="1" t="s">
        <v>10915</v>
      </c>
      <c r="AL569" s="1" t="s">
        <v>10916</v>
      </c>
      <c r="AM569" s="1" t="s">
        <v>82</v>
      </c>
      <c r="AN569" s="1">
        <v>1</v>
      </c>
      <c r="AO569" s="1">
        <v>0</v>
      </c>
      <c r="AP569" s="1">
        <v>0</v>
      </c>
      <c r="AQ569" s="1">
        <v>1</v>
      </c>
      <c r="AR569" s="1">
        <v>1</v>
      </c>
      <c r="AS569" s="1" t="s">
        <v>215</v>
      </c>
      <c r="AT569" s="1" t="s">
        <v>216</v>
      </c>
      <c r="AU569" s="1" t="s">
        <v>217</v>
      </c>
      <c r="AV569" s="1" t="s">
        <v>10900</v>
      </c>
      <c r="AW569" s="1" t="s">
        <v>10901</v>
      </c>
      <c r="AX569" s="1" t="s">
        <v>82</v>
      </c>
      <c r="AY569" s="1" t="s">
        <v>10902</v>
      </c>
      <c r="AZ569" s="1" t="s">
        <v>10903</v>
      </c>
      <c r="BA569" s="1" t="s">
        <v>486</v>
      </c>
      <c r="BB569" s="1">
        <v>2022</v>
      </c>
      <c r="BC569" s="1">
        <v>104</v>
      </c>
      <c r="BD569" s="1">
        <v>4</v>
      </c>
      <c r="BE569" s="1" t="s">
        <v>82</v>
      </c>
      <c r="BF569" s="1" t="s">
        <v>82</v>
      </c>
      <c r="BG569" s="1" t="s">
        <v>82</v>
      </c>
      <c r="BH569" s="1" t="s">
        <v>82</v>
      </c>
      <c r="BI569" s="1">
        <v>1537</v>
      </c>
      <c r="BJ569" s="1">
        <v>1537</v>
      </c>
      <c r="BK569" s="1" t="s">
        <v>82</v>
      </c>
      <c r="BL569" s="1" t="s">
        <v>10917</v>
      </c>
      <c r="BM569" s="1" t="str">
        <f>HYPERLINK("http://dx.doi.org/10.1007/s42161-022-01084-4","http://dx.doi.org/10.1007/s42161-022-01084-4")</f>
        <v>http://dx.doi.org/10.1007/s42161-022-01084-4</v>
      </c>
      <c r="BN569" s="1" t="s">
        <v>82</v>
      </c>
      <c r="BO569" s="1" t="s">
        <v>224</v>
      </c>
      <c r="BP569" s="1">
        <v>1</v>
      </c>
      <c r="BQ569" s="1" t="s">
        <v>378</v>
      </c>
      <c r="BR569" s="1" t="s">
        <v>104</v>
      </c>
      <c r="BS569" s="1" t="s">
        <v>378</v>
      </c>
      <c r="BT569" s="1" t="s">
        <v>10905</v>
      </c>
      <c r="BU569" s="1" t="s">
        <v>82</v>
      </c>
      <c r="BV569" s="1" t="s">
        <v>107</v>
      </c>
      <c r="BW569" s="1" t="s">
        <v>82</v>
      </c>
      <c r="BX569" s="1" t="s">
        <v>82</v>
      </c>
      <c r="BY569" s="1" t="s">
        <v>108</v>
      </c>
      <c r="BZ569" s="1" t="s">
        <v>10918</v>
      </c>
      <c r="CA569" s="1" t="str">
        <f>HYPERLINK("https%3A%2F%2Fwww.webofscience.com%2Fwos%2Fwoscc%2Ffull-record%2FWOS:000854746300001","View Full Record in Web of Science")</f>
        <v>View Full Record in Web of Science</v>
      </c>
    </row>
    <row r="570" s="1" customFormat="1" ht="14.4" spans="1:79">
      <c r="A570">
        <v>569</v>
      </c>
      <c r="B570" s="2" t="s">
        <v>79</v>
      </c>
      <c r="C570" s="1" t="s">
        <v>80</v>
      </c>
      <c r="D570" s="1" t="s">
        <v>10919</v>
      </c>
      <c r="E570" s="1" t="s">
        <v>82</v>
      </c>
      <c r="F570" s="1" t="s">
        <v>82</v>
      </c>
      <c r="G570" s="1" t="s">
        <v>82</v>
      </c>
      <c r="H570" s="1" t="s">
        <v>10920</v>
      </c>
      <c r="I570" s="1" t="s">
        <v>82</v>
      </c>
      <c r="J570" s="1" t="s">
        <v>82</v>
      </c>
      <c r="K570" s="1" t="s">
        <v>10921</v>
      </c>
      <c r="L570" s="1" t="s">
        <v>10922</v>
      </c>
      <c r="M570" s="1">
        <v>2.612</v>
      </c>
      <c r="O570" s="1" t="s">
        <v>82</v>
      </c>
      <c r="P570" s="1" t="s">
        <v>82</v>
      </c>
      <c r="Q570" s="1" t="s">
        <v>87</v>
      </c>
      <c r="R570" s="1" t="s">
        <v>115</v>
      </c>
      <c r="S570" s="1" t="s">
        <v>82</v>
      </c>
      <c r="T570" s="1" t="s">
        <v>82</v>
      </c>
      <c r="U570" s="1" t="s">
        <v>82</v>
      </c>
      <c r="V570" s="1" t="s">
        <v>82</v>
      </c>
      <c r="W570" s="1" t="s">
        <v>82</v>
      </c>
      <c r="X570" s="1" t="s">
        <v>10923</v>
      </c>
      <c r="Y570" s="1" t="s">
        <v>10924</v>
      </c>
      <c r="Z570" s="1" t="s">
        <v>10925</v>
      </c>
      <c r="AB570" s="1" t="s">
        <v>10926</v>
      </c>
      <c r="AC570" s="1" t="s">
        <v>10927</v>
      </c>
      <c r="AD570" s="1" t="s">
        <v>120</v>
      </c>
      <c r="AE570" s="1" t="s">
        <v>10928</v>
      </c>
      <c r="AF570" s="1" t="s">
        <v>10929</v>
      </c>
      <c r="AG570" s="1" t="s">
        <v>10930</v>
      </c>
      <c r="AH570" s="1" t="s">
        <v>82</v>
      </c>
      <c r="AI570" s="1" t="s">
        <v>2672</v>
      </c>
      <c r="AJ570" s="1" t="s">
        <v>10931</v>
      </c>
      <c r="AK570" s="1" t="s">
        <v>10932</v>
      </c>
      <c r="AL570" s="1" t="s">
        <v>10933</v>
      </c>
      <c r="AM570" s="1" t="s">
        <v>82</v>
      </c>
      <c r="AN570" s="1">
        <v>41</v>
      </c>
      <c r="AO570" s="1">
        <v>0</v>
      </c>
      <c r="AP570" s="1">
        <v>0</v>
      </c>
      <c r="AQ570" s="1">
        <v>6</v>
      </c>
      <c r="AR570" s="1">
        <v>9</v>
      </c>
      <c r="AS570" s="1" t="s">
        <v>10934</v>
      </c>
      <c r="AT570" s="1" t="s">
        <v>975</v>
      </c>
      <c r="AU570" s="1" t="s">
        <v>10935</v>
      </c>
      <c r="AV570" s="1" t="s">
        <v>10936</v>
      </c>
      <c r="AW570" s="1" t="s">
        <v>10937</v>
      </c>
      <c r="AX570" s="1" t="s">
        <v>82</v>
      </c>
      <c r="AY570" s="1" t="s">
        <v>10938</v>
      </c>
      <c r="AZ570" s="1" t="s">
        <v>10939</v>
      </c>
      <c r="BA570" s="1" t="s">
        <v>1146</v>
      </c>
      <c r="BB570" s="1">
        <v>2022</v>
      </c>
      <c r="BC570" s="1">
        <v>16</v>
      </c>
      <c r="BD570" s="1">
        <v>2</v>
      </c>
      <c r="BE570" s="1" t="s">
        <v>82</v>
      </c>
      <c r="BF570" s="1" t="s">
        <v>82</v>
      </c>
      <c r="BG570" s="1" t="s">
        <v>82</v>
      </c>
      <c r="BH570" s="1" t="s">
        <v>82</v>
      </c>
      <c r="BI570" s="1" t="s">
        <v>82</v>
      </c>
      <c r="BJ570" s="1" t="s">
        <v>82</v>
      </c>
      <c r="BK570" s="1">
        <v>220594</v>
      </c>
      <c r="BL570" s="1" t="s">
        <v>10940</v>
      </c>
      <c r="BM570" s="1" t="str">
        <f>HYPERLINK("http://dx.doi.org/10.1007/s11706-022-0594-8","http://dx.doi.org/10.1007/s11706-022-0594-8")</f>
        <v>http://dx.doi.org/10.1007/s11706-022-0594-8</v>
      </c>
      <c r="BN570" s="1" t="s">
        <v>82</v>
      </c>
      <c r="BO570" s="1" t="s">
        <v>82</v>
      </c>
      <c r="BP570" s="1">
        <v>10</v>
      </c>
      <c r="BQ570" s="1" t="s">
        <v>488</v>
      </c>
      <c r="BR570" s="1" t="s">
        <v>104</v>
      </c>
      <c r="BS570" s="1" t="s">
        <v>489</v>
      </c>
      <c r="BT570" s="1" t="s">
        <v>10941</v>
      </c>
      <c r="BU570" s="1" t="s">
        <v>82</v>
      </c>
      <c r="BV570" s="1" t="s">
        <v>82</v>
      </c>
      <c r="BW570" s="1" t="s">
        <v>82</v>
      </c>
      <c r="BX570" s="1" t="s">
        <v>82</v>
      </c>
      <c r="BY570" s="1" t="s">
        <v>108</v>
      </c>
      <c r="BZ570" s="1" t="s">
        <v>10942</v>
      </c>
      <c r="CA570" s="1" t="str">
        <f>HYPERLINK("https%3A%2F%2Fwww.webofscience.com%2Fwos%2Fwoscc%2Ffull-record%2FWOS:000791387400002","View Full Record in Web of Science")</f>
        <v>View Full Record in Web of Science</v>
      </c>
    </row>
    <row r="571" s="1" customFormat="1" ht="14.4" spans="1:79">
      <c r="A571">
        <v>570</v>
      </c>
      <c r="B571" s="2" t="s">
        <v>79</v>
      </c>
      <c r="C571" s="1" t="s">
        <v>80</v>
      </c>
      <c r="D571" s="1" t="s">
        <v>10943</v>
      </c>
      <c r="E571" s="1" t="s">
        <v>82</v>
      </c>
      <c r="F571" s="1" t="s">
        <v>82</v>
      </c>
      <c r="G571" s="1" t="s">
        <v>82</v>
      </c>
      <c r="H571" s="1" t="s">
        <v>10944</v>
      </c>
      <c r="I571" s="1" t="s">
        <v>82</v>
      </c>
      <c r="J571" s="1" t="s">
        <v>82</v>
      </c>
      <c r="K571" s="1" t="s">
        <v>10945</v>
      </c>
      <c r="L571" s="1" t="s">
        <v>10946</v>
      </c>
      <c r="M571" s="1">
        <v>2.586</v>
      </c>
      <c r="O571" s="1" t="s">
        <v>82</v>
      </c>
      <c r="P571" s="1" t="s">
        <v>82</v>
      </c>
      <c r="Q571" s="1" t="s">
        <v>87</v>
      </c>
      <c r="R571" s="1" t="s">
        <v>115</v>
      </c>
      <c r="S571" s="1" t="s">
        <v>82</v>
      </c>
      <c r="T571" s="1" t="s">
        <v>82</v>
      </c>
      <c r="U571" s="1" t="s">
        <v>82</v>
      </c>
      <c r="V571" s="1" t="s">
        <v>82</v>
      </c>
      <c r="W571" s="1" t="s">
        <v>82</v>
      </c>
      <c r="X571" s="1" t="s">
        <v>10947</v>
      </c>
      <c r="Y571" s="1" t="s">
        <v>10948</v>
      </c>
      <c r="Z571" s="1" t="s">
        <v>10949</v>
      </c>
      <c r="AB571" s="1" t="s">
        <v>10950</v>
      </c>
      <c r="AC571" s="1" t="s">
        <v>10951</v>
      </c>
      <c r="AD571" s="1" t="s">
        <v>120</v>
      </c>
      <c r="AE571" s="1" t="s">
        <v>10952</v>
      </c>
      <c r="AF571" s="1" t="s">
        <v>10953</v>
      </c>
      <c r="AG571" s="1" t="s">
        <v>10954</v>
      </c>
      <c r="AH571" s="1" t="s">
        <v>82</v>
      </c>
      <c r="AI571" s="1" t="s">
        <v>10955</v>
      </c>
      <c r="AJ571" s="1" t="s">
        <v>10956</v>
      </c>
      <c r="AK571" s="1" t="s">
        <v>10957</v>
      </c>
      <c r="AL571" s="1" t="s">
        <v>10958</v>
      </c>
      <c r="AM571" s="1" t="s">
        <v>82</v>
      </c>
      <c r="AN571" s="1">
        <v>138</v>
      </c>
      <c r="AO571" s="1">
        <v>0</v>
      </c>
      <c r="AP571" s="1">
        <v>0</v>
      </c>
      <c r="AQ571" s="1">
        <v>4</v>
      </c>
      <c r="AR571" s="1">
        <v>8</v>
      </c>
      <c r="AS571" s="1" t="s">
        <v>1002</v>
      </c>
      <c r="AT571" s="1" t="s">
        <v>1003</v>
      </c>
      <c r="AU571" s="1" t="s">
        <v>1004</v>
      </c>
      <c r="AV571" s="1" t="s">
        <v>10959</v>
      </c>
      <c r="AW571" s="1" t="s">
        <v>10960</v>
      </c>
      <c r="AX571" s="1" t="s">
        <v>82</v>
      </c>
      <c r="AY571" s="1" t="s">
        <v>10946</v>
      </c>
      <c r="AZ571" s="1" t="s">
        <v>10961</v>
      </c>
      <c r="BA571" s="1" t="s">
        <v>657</v>
      </c>
      <c r="BB571" s="1">
        <v>2022</v>
      </c>
      <c r="BC571" s="1">
        <v>71</v>
      </c>
      <c r="BD571" s="1">
        <v>2</v>
      </c>
      <c r="BE571" s="1" t="s">
        <v>82</v>
      </c>
      <c r="BF571" s="1" t="s">
        <v>82</v>
      </c>
      <c r="BG571" s="1" t="s">
        <v>82</v>
      </c>
      <c r="BH571" s="1" t="s">
        <v>82</v>
      </c>
      <c r="BI571" s="1">
        <v>256</v>
      </c>
      <c r="BJ571" s="1">
        <v>287</v>
      </c>
      <c r="BK571" s="1" t="s">
        <v>82</v>
      </c>
      <c r="BL571" s="1" t="s">
        <v>10962</v>
      </c>
      <c r="BM571" s="1" t="str">
        <f>HYPERLINK("http://dx.doi.org/10.1002/tax.12649","http://dx.doi.org/10.1002/tax.12649")</f>
        <v>http://dx.doi.org/10.1002/tax.12649</v>
      </c>
      <c r="BN571" s="1" t="s">
        <v>82</v>
      </c>
      <c r="BO571" s="1" t="s">
        <v>1462</v>
      </c>
      <c r="BP571" s="1">
        <v>32</v>
      </c>
      <c r="BQ571" s="1" t="s">
        <v>10963</v>
      </c>
      <c r="BR571" s="1" t="s">
        <v>104</v>
      </c>
      <c r="BS571" s="1" t="s">
        <v>10963</v>
      </c>
      <c r="BT571" s="1" t="s">
        <v>10964</v>
      </c>
      <c r="BU571" s="1" t="s">
        <v>82</v>
      </c>
      <c r="BV571" s="1" t="s">
        <v>316</v>
      </c>
      <c r="BW571" s="1" t="s">
        <v>82</v>
      </c>
      <c r="BX571" s="1" t="s">
        <v>82</v>
      </c>
      <c r="BY571" s="1" t="s">
        <v>108</v>
      </c>
      <c r="BZ571" s="1" t="s">
        <v>10965</v>
      </c>
      <c r="CA571" s="1" t="str">
        <f>HYPERLINK("https%3A%2F%2Fwww.webofscience.com%2Fwos%2Fwoscc%2Ffull-record%2FWOS:000736707300001","View Full Record in Web of Science")</f>
        <v>View Full Record in Web of Science</v>
      </c>
    </row>
    <row r="572" s="1" customFormat="1" ht="14.4" spans="1:79">
      <c r="A572">
        <v>571</v>
      </c>
      <c r="B572" s="2" t="s">
        <v>79</v>
      </c>
      <c r="C572" s="1" t="s">
        <v>80</v>
      </c>
      <c r="D572" s="1" t="s">
        <v>10966</v>
      </c>
      <c r="E572" s="1" t="s">
        <v>82</v>
      </c>
      <c r="F572" s="1" t="s">
        <v>82</v>
      </c>
      <c r="G572" s="1" t="s">
        <v>82</v>
      </c>
      <c r="H572" s="1" t="s">
        <v>10967</v>
      </c>
      <c r="I572" s="1" t="s">
        <v>82</v>
      </c>
      <c r="J572" s="1" t="s">
        <v>82</v>
      </c>
      <c r="K572" s="1" t="s">
        <v>10968</v>
      </c>
      <c r="L572" s="1" t="s">
        <v>10946</v>
      </c>
      <c r="M572" s="1">
        <v>2.586</v>
      </c>
      <c r="O572" s="1" t="s">
        <v>82</v>
      </c>
      <c r="P572" s="1" t="s">
        <v>82</v>
      </c>
      <c r="Q572" s="1" t="s">
        <v>87</v>
      </c>
      <c r="R572" s="1" t="s">
        <v>115</v>
      </c>
      <c r="S572" s="1" t="s">
        <v>82</v>
      </c>
      <c r="T572" s="1" t="s">
        <v>82</v>
      </c>
      <c r="U572" s="1" t="s">
        <v>82</v>
      </c>
      <c r="V572" s="1" t="s">
        <v>82</v>
      </c>
      <c r="W572" s="1" t="s">
        <v>82</v>
      </c>
      <c r="X572" s="1" t="s">
        <v>10969</v>
      </c>
      <c r="Y572" s="1" t="s">
        <v>10970</v>
      </c>
      <c r="Z572" s="1" t="s">
        <v>10971</v>
      </c>
      <c r="AB572" s="1" t="s">
        <v>10972</v>
      </c>
      <c r="AC572" s="1" t="s">
        <v>10973</v>
      </c>
      <c r="AD572" s="1" t="s">
        <v>120</v>
      </c>
      <c r="AE572" s="1" t="s">
        <v>10974</v>
      </c>
      <c r="AF572" s="1" t="s">
        <v>10975</v>
      </c>
      <c r="AG572" s="1" t="s">
        <v>10976</v>
      </c>
      <c r="AH572" s="1" t="s">
        <v>82</v>
      </c>
      <c r="AI572" s="1" t="s">
        <v>10977</v>
      </c>
      <c r="AJ572" s="1" t="s">
        <v>82</v>
      </c>
      <c r="AK572" s="1" t="s">
        <v>82</v>
      </c>
      <c r="AL572" s="1" t="s">
        <v>82</v>
      </c>
      <c r="AM572" s="1" t="s">
        <v>82</v>
      </c>
      <c r="AN572" s="1">
        <v>108</v>
      </c>
      <c r="AO572" s="1">
        <v>5</v>
      </c>
      <c r="AP572" s="1">
        <v>5</v>
      </c>
      <c r="AQ572" s="1">
        <v>7</v>
      </c>
      <c r="AR572" s="1">
        <v>23</v>
      </c>
      <c r="AS572" s="1" t="s">
        <v>1002</v>
      </c>
      <c r="AT572" s="1" t="s">
        <v>1003</v>
      </c>
      <c r="AU572" s="1" t="s">
        <v>1004</v>
      </c>
      <c r="AV572" s="1" t="s">
        <v>10959</v>
      </c>
      <c r="AW572" s="1" t="s">
        <v>10960</v>
      </c>
      <c r="AX572" s="1" t="s">
        <v>82</v>
      </c>
      <c r="AY572" s="1" t="s">
        <v>10946</v>
      </c>
      <c r="AZ572" s="1" t="s">
        <v>10961</v>
      </c>
      <c r="BA572" s="1" t="s">
        <v>397</v>
      </c>
      <c r="BB572" s="1">
        <v>2022</v>
      </c>
      <c r="BC572" s="1">
        <v>71</v>
      </c>
      <c r="BD572" s="1">
        <v>1</v>
      </c>
      <c r="BE572" s="1" t="s">
        <v>82</v>
      </c>
      <c r="BF572" s="1" t="s">
        <v>82</v>
      </c>
      <c r="BG572" s="1" t="s">
        <v>82</v>
      </c>
      <c r="BH572" s="1" t="s">
        <v>82</v>
      </c>
      <c r="BI572" s="1">
        <v>25</v>
      </c>
      <c r="BJ572" s="1">
        <v>51</v>
      </c>
      <c r="BK572" s="1" t="s">
        <v>82</v>
      </c>
      <c r="BL572" s="1" t="s">
        <v>10978</v>
      </c>
      <c r="BM572" s="1" t="str">
        <f>HYPERLINK("http://dx.doi.org/10.1002/tax.12597","http://dx.doi.org/10.1002/tax.12597")</f>
        <v>http://dx.doi.org/10.1002/tax.12597</v>
      </c>
      <c r="BN572" s="1" t="s">
        <v>82</v>
      </c>
      <c r="BO572" s="1" t="s">
        <v>904</v>
      </c>
      <c r="BP572" s="1">
        <v>27</v>
      </c>
      <c r="BQ572" s="1" t="s">
        <v>10963</v>
      </c>
      <c r="BR572" s="1" t="s">
        <v>104</v>
      </c>
      <c r="BS572" s="1" t="s">
        <v>10963</v>
      </c>
      <c r="BT572" s="1" t="s">
        <v>10979</v>
      </c>
      <c r="BU572" s="1" t="s">
        <v>82</v>
      </c>
      <c r="BV572" s="1" t="s">
        <v>82</v>
      </c>
      <c r="BW572" s="1" t="s">
        <v>82</v>
      </c>
      <c r="BX572" s="1" t="s">
        <v>82</v>
      </c>
      <c r="BY572" s="1" t="s">
        <v>108</v>
      </c>
      <c r="BZ572" s="1" t="s">
        <v>10980</v>
      </c>
      <c r="CA572" s="1" t="str">
        <f>HYPERLINK("https%3A%2F%2Fwww.webofscience.com%2Fwos%2Fwoscc%2Ffull-record%2FWOS:000714977200001","View Full Record in Web of Science")</f>
        <v>View Full Record in Web of Science</v>
      </c>
    </row>
    <row r="573" s="1" customFormat="1" ht="14.4" spans="1:79">
      <c r="A573">
        <v>572</v>
      </c>
      <c r="B573" s="2" t="s">
        <v>110</v>
      </c>
      <c r="C573" s="1" t="s">
        <v>80</v>
      </c>
      <c r="D573" s="1" t="s">
        <v>10981</v>
      </c>
      <c r="E573" s="1" t="s">
        <v>82</v>
      </c>
      <c r="F573" s="1" t="s">
        <v>82</v>
      </c>
      <c r="G573" s="1" t="s">
        <v>82</v>
      </c>
      <c r="H573" s="1" t="s">
        <v>10982</v>
      </c>
      <c r="I573" s="1" t="s">
        <v>82</v>
      </c>
      <c r="J573" s="1" t="s">
        <v>82</v>
      </c>
      <c r="K573" s="1" t="s">
        <v>10983</v>
      </c>
      <c r="L573" s="1" t="s">
        <v>10984</v>
      </c>
      <c r="M573" s="1">
        <v>2.544</v>
      </c>
      <c r="O573" s="1" t="s">
        <v>82</v>
      </c>
      <c r="P573" s="1" t="s">
        <v>82</v>
      </c>
      <c r="Q573" s="1" t="s">
        <v>87</v>
      </c>
      <c r="R573" s="1" t="s">
        <v>115</v>
      </c>
      <c r="S573" s="1" t="s">
        <v>82</v>
      </c>
      <c r="T573" s="1" t="s">
        <v>82</v>
      </c>
      <c r="U573" s="1" t="s">
        <v>82</v>
      </c>
      <c r="V573" s="1" t="s">
        <v>82</v>
      </c>
      <c r="W573" s="1" t="s">
        <v>82</v>
      </c>
      <c r="X573" s="1" t="s">
        <v>10985</v>
      </c>
      <c r="Y573" s="1" t="s">
        <v>10986</v>
      </c>
      <c r="Z573" s="1" t="s">
        <v>10987</v>
      </c>
      <c r="AB573" s="1" t="s">
        <v>10988</v>
      </c>
      <c r="AC573" s="1" t="s">
        <v>10989</v>
      </c>
      <c r="AD573" s="1" t="s">
        <v>120</v>
      </c>
      <c r="AE573" s="1" t="s">
        <v>10990</v>
      </c>
      <c r="AF573" s="1" t="s">
        <v>10991</v>
      </c>
      <c r="AG573" s="1" t="s">
        <v>10992</v>
      </c>
      <c r="AH573" s="1" t="s">
        <v>10993</v>
      </c>
      <c r="AI573" s="1" t="s">
        <v>82</v>
      </c>
      <c r="AJ573" s="1" t="s">
        <v>10994</v>
      </c>
      <c r="AK573" s="1" t="s">
        <v>10995</v>
      </c>
      <c r="AL573" s="1" t="s">
        <v>10996</v>
      </c>
      <c r="AM573" s="1" t="s">
        <v>82</v>
      </c>
      <c r="AN573" s="1">
        <v>24</v>
      </c>
      <c r="AO573" s="1">
        <v>0</v>
      </c>
      <c r="AP573" s="1">
        <v>0</v>
      </c>
      <c r="AQ573" s="1">
        <v>1</v>
      </c>
      <c r="AR573" s="1">
        <v>1</v>
      </c>
      <c r="AS573" s="1" t="s">
        <v>10997</v>
      </c>
      <c r="AT573" s="1" t="s">
        <v>10998</v>
      </c>
      <c r="AU573" s="1" t="s">
        <v>10999</v>
      </c>
      <c r="AV573" s="1" t="s">
        <v>11000</v>
      </c>
      <c r="AW573" s="1" t="s">
        <v>82</v>
      </c>
      <c r="AX573" s="1" t="s">
        <v>82</v>
      </c>
      <c r="AY573" s="1" t="s">
        <v>11001</v>
      </c>
      <c r="AZ573" s="1" t="s">
        <v>11002</v>
      </c>
      <c r="BA573" s="1" t="s">
        <v>3137</v>
      </c>
      <c r="BB573" s="1">
        <v>2022</v>
      </c>
      <c r="BC573" s="1">
        <v>18</v>
      </c>
      <c r="BD573" s="1" t="s">
        <v>82</v>
      </c>
      <c r="BE573" s="1" t="s">
        <v>82</v>
      </c>
      <c r="BF573" s="1" t="s">
        <v>82</v>
      </c>
      <c r="BG573" s="1" t="s">
        <v>82</v>
      </c>
      <c r="BH573" s="1" t="s">
        <v>82</v>
      </c>
      <c r="BI573" s="1">
        <v>1410</v>
      </c>
      <c r="BJ573" s="1">
        <v>1415</v>
      </c>
      <c r="BK573" s="1" t="s">
        <v>82</v>
      </c>
      <c r="BL573" s="1" t="s">
        <v>11003</v>
      </c>
      <c r="BM573" s="1" t="str">
        <f>HYPERLINK("http://dx.doi.org/10.3762/bjoc.18.146","http://dx.doi.org/10.3762/bjoc.18.146")</f>
        <v>http://dx.doi.org/10.3762/bjoc.18.146</v>
      </c>
      <c r="BN573" s="1" t="s">
        <v>82</v>
      </c>
      <c r="BO573" s="1" t="s">
        <v>82</v>
      </c>
      <c r="BP573" s="1">
        <v>6</v>
      </c>
      <c r="BQ573" s="1" t="s">
        <v>4190</v>
      </c>
      <c r="BR573" s="1" t="s">
        <v>104</v>
      </c>
      <c r="BS573" s="1" t="s">
        <v>706</v>
      </c>
      <c r="BT573" s="1" t="s">
        <v>11004</v>
      </c>
      <c r="BU573" s="1">
        <v>36262670</v>
      </c>
      <c r="BV573" s="1" t="s">
        <v>635</v>
      </c>
      <c r="BW573" s="1" t="s">
        <v>82</v>
      </c>
      <c r="BX573" s="1" t="s">
        <v>82</v>
      </c>
      <c r="BY573" s="1" t="s">
        <v>108</v>
      </c>
      <c r="BZ573" s="1" t="s">
        <v>11005</v>
      </c>
      <c r="CA573" s="1" t="str">
        <f>HYPERLINK("https%3A%2F%2Fwww.webofscience.com%2Fwos%2Fwoscc%2Ffull-record%2FWOS:000874529200001","View Full Record in Web of Science")</f>
        <v>View Full Record in Web of Science</v>
      </c>
    </row>
    <row r="574" s="1" customFormat="1" ht="14.4" spans="1:79">
      <c r="A574">
        <v>573</v>
      </c>
      <c r="B574" s="2" t="s">
        <v>79</v>
      </c>
      <c r="C574" s="1" t="s">
        <v>80</v>
      </c>
      <c r="D574" s="1" t="s">
        <v>11006</v>
      </c>
      <c r="E574" s="1" t="s">
        <v>82</v>
      </c>
      <c r="F574" s="1" t="s">
        <v>82</v>
      </c>
      <c r="G574" s="1" t="s">
        <v>82</v>
      </c>
      <c r="H574" s="1" t="s">
        <v>11007</v>
      </c>
      <c r="I574" s="1" t="s">
        <v>82</v>
      </c>
      <c r="J574" s="1" t="s">
        <v>82</v>
      </c>
      <c r="K574" s="1" t="s">
        <v>11008</v>
      </c>
      <c r="L574" s="1" t="s">
        <v>10984</v>
      </c>
      <c r="M574" s="1">
        <v>2.544</v>
      </c>
      <c r="O574" s="1" t="s">
        <v>82</v>
      </c>
      <c r="P574" s="1" t="s">
        <v>82</v>
      </c>
      <c r="Q574" s="1" t="s">
        <v>87</v>
      </c>
      <c r="R574" s="1" t="s">
        <v>115</v>
      </c>
      <c r="S574" s="1" t="s">
        <v>82</v>
      </c>
      <c r="T574" s="1" t="s">
        <v>82</v>
      </c>
      <c r="U574" s="1" t="s">
        <v>82</v>
      </c>
      <c r="V574" s="1" t="s">
        <v>82</v>
      </c>
      <c r="W574" s="1" t="s">
        <v>82</v>
      </c>
      <c r="X574" s="1" t="s">
        <v>11009</v>
      </c>
      <c r="Y574" s="1" t="s">
        <v>11010</v>
      </c>
      <c r="Z574" s="1" t="s">
        <v>11011</v>
      </c>
      <c r="AB574" s="1" t="s">
        <v>11012</v>
      </c>
      <c r="AC574" s="1" t="s">
        <v>11013</v>
      </c>
      <c r="AD574" s="1" t="s">
        <v>206</v>
      </c>
      <c r="AE574" s="1" t="s">
        <v>11014</v>
      </c>
      <c r="AF574" s="1" t="s">
        <v>11015</v>
      </c>
      <c r="AG574" s="1" t="s">
        <v>11016</v>
      </c>
      <c r="AH574" s="1" t="s">
        <v>82</v>
      </c>
      <c r="AI574" s="1" t="s">
        <v>82</v>
      </c>
      <c r="AJ574" s="1" t="s">
        <v>11017</v>
      </c>
      <c r="AK574" s="1" t="s">
        <v>11018</v>
      </c>
      <c r="AL574" s="1" t="s">
        <v>11019</v>
      </c>
      <c r="AM574" s="1" t="s">
        <v>82</v>
      </c>
      <c r="AN574" s="1">
        <v>27</v>
      </c>
      <c r="AO574" s="1">
        <v>0</v>
      </c>
      <c r="AP574" s="1">
        <v>0</v>
      </c>
      <c r="AQ574" s="1">
        <v>5</v>
      </c>
      <c r="AR574" s="1">
        <v>5</v>
      </c>
      <c r="AS574" s="1" t="s">
        <v>10997</v>
      </c>
      <c r="AT574" s="1" t="s">
        <v>10998</v>
      </c>
      <c r="AU574" s="1" t="s">
        <v>10999</v>
      </c>
      <c r="AV574" s="1" t="s">
        <v>11000</v>
      </c>
      <c r="AW574" s="1" t="s">
        <v>82</v>
      </c>
      <c r="AX574" s="1" t="s">
        <v>82</v>
      </c>
      <c r="AY574" s="1" t="s">
        <v>11001</v>
      </c>
      <c r="AZ574" s="1" t="s">
        <v>11002</v>
      </c>
      <c r="BA574" s="1" t="s">
        <v>11020</v>
      </c>
      <c r="BB574" s="1">
        <v>2022</v>
      </c>
      <c r="BC574" s="1">
        <v>18</v>
      </c>
      <c r="BD574" s="1" t="s">
        <v>82</v>
      </c>
      <c r="BE574" s="1" t="s">
        <v>82</v>
      </c>
      <c r="BF574" s="1" t="s">
        <v>82</v>
      </c>
      <c r="BG574" s="1" t="s">
        <v>82</v>
      </c>
      <c r="BH574" s="1" t="s">
        <v>82</v>
      </c>
      <c r="BI574" s="1">
        <v>1009</v>
      </c>
      <c r="BJ574" s="1">
        <v>1016</v>
      </c>
      <c r="BK574" s="1" t="s">
        <v>82</v>
      </c>
      <c r="BL574" s="1" t="s">
        <v>11021</v>
      </c>
      <c r="BM574" s="1" t="str">
        <f>HYPERLINK("http://dx.doi.org/10.3762/bjoc.18.101","http://dx.doi.org/10.3762/bjoc.18.101")</f>
        <v>http://dx.doi.org/10.3762/bjoc.18.101</v>
      </c>
      <c r="BN574" s="1" t="s">
        <v>82</v>
      </c>
      <c r="BO574" s="1" t="s">
        <v>82</v>
      </c>
      <c r="BP574" s="1">
        <v>8</v>
      </c>
      <c r="BQ574" s="1" t="s">
        <v>4190</v>
      </c>
      <c r="BR574" s="1" t="s">
        <v>104</v>
      </c>
      <c r="BS574" s="1" t="s">
        <v>706</v>
      </c>
      <c r="BT574" s="1" t="s">
        <v>11022</v>
      </c>
      <c r="BU574" s="1">
        <v>36051563</v>
      </c>
      <c r="BV574" s="1" t="s">
        <v>635</v>
      </c>
      <c r="BW574" s="1" t="s">
        <v>82</v>
      </c>
      <c r="BX574" s="1" t="s">
        <v>82</v>
      </c>
      <c r="BY574" s="1" t="s">
        <v>108</v>
      </c>
      <c r="BZ574" s="1" t="s">
        <v>11023</v>
      </c>
      <c r="CA574" s="1" t="str">
        <f>HYPERLINK("https%3A%2F%2Fwww.webofscience.com%2Fwos%2Fwoscc%2Ffull-record%2FWOS:000856837900001","View Full Record in Web of Science")</f>
        <v>View Full Record in Web of Science</v>
      </c>
    </row>
    <row r="575" s="1" customFormat="1" ht="14.4" spans="1:79">
      <c r="A575">
        <v>574</v>
      </c>
      <c r="B575" s="2" t="s">
        <v>79</v>
      </c>
      <c r="C575" s="1" t="s">
        <v>80</v>
      </c>
      <c r="D575" s="1" t="s">
        <v>11024</v>
      </c>
      <c r="E575" s="1" t="s">
        <v>82</v>
      </c>
      <c r="F575" s="1" t="s">
        <v>82</v>
      </c>
      <c r="G575" s="1" t="s">
        <v>82</v>
      </c>
      <c r="H575" s="1" t="s">
        <v>11025</v>
      </c>
      <c r="I575" s="1" t="s">
        <v>82</v>
      </c>
      <c r="J575" s="1" t="s">
        <v>82</v>
      </c>
      <c r="K575" s="1" t="s">
        <v>11026</v>
      </c>
      <c r="L575" s="1" t="s">
        <v>11027</v>
      </c>
      <c r="M575" s="1">
        <v>2.538</v>
      </c>
      <c r="O575" s="1" t="s">
        <v>82</v>
      </c>
      <c r="P575" s="1" t="s">
        <v>82</v>
      </c>
      <c r="Q575" s="1" t="s">
        <v>87</v>
      </c>
      <c r="R575" s="1" t="s">
        <v>115</v>
      </c>
      <c r="S575" s="1" t="s">
        <v>82</v>
      </c>
      <c r="T575" s="1" t="s">
        <v>82</v>
      </c>
      <c r="U575" s="1" t="s">
        <v>82</v>
      </c>
      <c r="V575" s="1" t="s">
        <v>82</v>
      </c>
      <c r="W575" s="1" t="s">
        <v>82</v>
      </c>
      <c r="X575" s="1" t="s">
        <v>11028</v>
      </c>
      <c r="Y575" s="1" t="s">
        <v>11029</v>
      </c>
      <c r="Z575" s="1" t="s">
        <v>11030</v>
      </c>
      <c r="AB575" s="1" t="s">
        <v>11031</v>
      </c>
      <c r="AC575" s="1" t="s">
        <v>11032</v>
      </c>
      <c r="AD575" s="1" t="s">
        <v>206</v>
      </c>
      <c r="AE575" s="1" t="s">
        <v>11033</v>
      </c>
      <c r="AF575" s="1" t="s">
        <v>11034</v>
      </c>
      <c r="AG575" s="1" t="s">
        <v>11035</v>
      </c>
      <c r="AH575" s="1" t="s">
        <v>82</v>
      </c>
      <c r="AI575" s="1" t="s">
        <v>82</v>
      </c>
      <c r="AJ575" s="1" t="s">
        <v>11036</v>
      </c>
      <c r="AK575" s="1" t="s">
        <v>11037</v>
      </c>
      <c r="AL575" s="1" t="s">
        <v>11038</v>
      </c>
      <c r="AM575" s="1" t="s">
        <v>82</v>
      </c>
      <c r="AN575" s="1">
        <v>48</v>
      </c>
      <c r="AO575" s="1">
        <v>0</v>
      </c>
      <c r="AP575" s="1">
        <v>0</v>
      </c>
      <c r="AQ575" s="1">
        <v>7</v>
      </c>
      <c r="AR575" s="1">
        <v>7</v>
      </c>
      <c r="AS575" s="1" t="s">
        <v>11039</v>
      </c>
      <c r="AT575" s="1" t="s">
        <v>11040</v>
      </c>
      <c r="AU575" s="1" t="s">
        <v>11041</v>
      </c>
      <c r="AV575" s="1" t="s">
        <v>11042</v>
      </c>
      <c r="AW575" s="1" t="s">
        <v>11043</v>
      </c>
      <c r="AX575" s="1" t="s">
        <v>82</v>
      </c>
      <c r="AY575" s="1" t="s">
        <v>11044</v>
      </c>
      <c r="AZ575" s="1" t="s">
        <v>11045</v>
      </c>
      <c r="BA575" s="1" t="s">
        <v>222</v>
      </c>
      <c r="BB575" s="1">
        <v>2022</v>
      </c>
      <c r="BC575" s="1">
        <v>21</v>
      </c>
      <c r="BD575" s="1">
        <v>9</v>
      </c>
      <c r="BE575" s="1" t="s">
        <v>82</v>
      </c>
      <c r="BF575" s="1" t="s">
        <v>82</v>
      </c>
      <c r="BG575" s="1" t="s">
        <v>82</v>
      </c>
      <c r="BH575" s="1" t="s">
        <v>82</v>
      </c>
      <c r="BI575" s="1" t="s">
        <v>82</v>
      </c>
      <c r="BJ575" s="1" t="s">
        <v>82</v>
      </c>
      <c r="BK575" s="1">
        <v>78</v>
      </c>
      <c r="BL575" s="1" t="s">
        <v>11046</v>
      </c>
      <c r="BM575" s="1" t="str">
        <f>HYPERLINK("http://dx.doi.org/10.1007/s11557-022-01828-7","http://dx.doi.org/10.1007/s11557-022-01828-7")</f>
        <v>http://dx.doi.org/10.1007/s11557-022-01828-7</v>
      </c>
      <c r="BN575" s="1" t="s">
        <v>82</v>
      </c>
      <c r="BO575" s="1" t="s">
        <v>82</v>
      </c>
      <c r="BP575" s="1">
        <v>10</v>
      </c>
      <c r="BQ575" s="1" t="s">
        <v>225</v>
      </c>
      <c r="BR575" s="1" t="s">
        <v>104</v>
      </c>
      <c r="BS575" s="1" t="s">
        <v>225</v>
      </c>
      <c r="BT575" s="1" t="s">
        <v>11047</v>
      </c>
      <c r="BU575" s="1" t="s">
        <v>82</v>
      </c>
      <c r="BV575" s="1" t="s">
        <v>82</v>
      </c>
      <c r="BW575" s="1" t="s">
        <v>82</v>
      </c>
      <c r="BX575" s="1" t="s">
        <v>82</v>
      </c>
      <c r="BY575" s="1" t="s">
        <v>108</v>
      </c>
      <c r="BZ575" s="1" t="s">
        <v>11048</v>
      </c>
      <c r="CA575" s="1" t="str">
        <f>HYPERLINK("https%3A%2F%2Fwww.webofscience.com%2Fwos%2Fwoscc%2Ffull-record%2FWOS:000841784200001","View Full Record in Web of Science")</f>
        <v>View Full Record in Web of Science</v>
      </c>
    </row>
    <row r="576" s="1" customFormat="1" ht="14.4" spans="1:79">
      <c r="A576">
        <v>575</v>
      </c>
      <c r="B576" s="2" t="s">
        <v>79</v>
      </c>
      <c r="C576" s="1" t="s">
        <v>80</v>
      </c>
      <c r="D576" s="1" t="s">
        <v>11049</v>
      </c>
      <c r="E576" s="1" t="s">
        <v>82</v>
      </c>
      <c r="F576" s="1" t="s">
        <v>82</v>
      </c>
      <c r="G576" s="1" t="s">
        <v>82</v>
      </c>
      <c r="H576" s="1" t="s">
        <v>11050</v>
      </c>
      <c r="I576" s="1" t="s">
        <v>82</v>
      </c>
      <c r="J576" s="1" t="s">
        <v>82</v>
      </c>
      <c r="K576" s="1" t="s">
        <v>11051</v>
      </c>
      <c r="L576" s="1" t="s">
        <v>11027</v>
      </c>
      <c r="M576" s="1">
        <v>2.538</v>
      </c>
      <c r="O576" s="1" t="s">
        <v>82</v>
      </c>
      <c r="P576" s="1" t="s">
        <v>82</v>
      </c>
      <c r="Q576" s="1" t="s">
        <v>87</v>
      </c>
      <c r="R576" s="1" t="s">
        <v>115</v>
      </c>
      <c r="S576" s="1" t="s">
        <v>82</v>
      </c>
      <c r="T576" s="1" t="s">
        <v>82</v>
      </c>
      <c r="U576" s="1" t="s">
        <v>82</v>
      </c>
      <c r="V576" s="1" t="s">
        <v>82</v>
      </c>
      <c r="W576" s="1" t="s">
        <v>82</v>
      </c>
      <c r="X576" s="1" t="s">
        <v>11052</v>
      </c>
      <c r="Y576" s="1" t="s">
        <v>11053</v>
      </c>
      <c r="Z576" s="1" t="s">
        <v>11054</v>
      </c>
      <c r="AA576" s="1">
        <v>1</v>
      </c>
      <c r="AB576" s="1" t="s">
        <v>11055</v>
      </c>
      <c r="AC576" s="1" t="s">
        <v>11056</v>
      </c>
      <c r="AD576" s="1" t="s">
        <v>93</v>
      </c>
      <c r="AE576" s="1" t="s">
        <v>11057</v>
      </c>
      <c r="AF576" s="1" t="s">
        <v>11058</v>
      </c>
      <c r="AG576" s="1" t="s">
        <v>11059</v>
      </c>
      <c r="AH576" s="1" t="s">
        <v>11060</v>
      </c>
      <c r="AI576" s="1" t="s">
        <v>11061</v>
      </c>
      <c r="AJ576" s="1" t="s">
        <v>11062</v>
      </c>
      <c r="AK576" s="1" t="s">
        <v>11063</v>
      </c>
      <c r="AL576" s="1" t="s">
        <v>11064</v>
      </c>
      <c r="AM576" s="1" t="s">
        <v>82</v>
      </c>
      <c r="AN576" s="1">
        <v>78</v>
      </c>
      <c r="AO576" s="1">
        <v>3</v>
      </c>
      <c r="AP576" s="1">
        <v>3</v>
      </c>
      <c r="AQ576" s="1">
        <v>5</v>
      </c>
      <c r="AR576" s="1">
        <v>7</v>
      </c>
      <c r="AS576" s="1" t="s">
        <v>11039</v>
      </c>
      <c r="AT576" s="1" t="s">
        <v>11040</v>
      </c>
      <c r="AU576" s="1" t="s">
        <v>11041</v>
      </c>
      <c r="AV576" s="1" t="s">
        <v>11042</v>
      </c>
      <c r="AW576" s="1" t="s">
        <v>11043</v>
      </c>
      <c r="AX576" s="1" t="s">
        <v>82</v>
      </c>
      <c r="AY576" s="1" t="s">
        <v>11044</v>
      </c>
      <c r="AZ576" s="1" t="s">
        <v>11045</v>
      </c>
      <c r="BA576" s="1" t="s">
        <v>2145</v>
      </c>
      <c r="BB576" s="1">
        <v>2022</v>
      </c>
      <c r="BC576" s="1">
        <v>21</v>
      </c>
      <c r="BD576" s="1">
        <v>3</v>
      </c>
      <c r="BE576" s="1" t="s">
        <v>82</v>
      </c>
      <c r="BF576" s="1" t="s">
        <v>82</v>
      </c>
      <c r="BG576" s="1" t="s">
        <v>82</v>
      </c>
      <c r="BH576" s="1" t="s">
        <v>82</v>
      </c>
      <c r="BI576" s="1" t="s">
        <v>82</v>
      </c>
      <c r="BJ576" s="1" t="s">
        <v>82</v>
      </c>
      <c r="BK576" s="1">
        <v>39</v>
      </c>
      <c r="BL576" s="1" t="s">
        <v>11065</v>
      </c>
      <c r="BM576" s="1" t="str">
        <f>HYPERLINK("http://dx.doi.org/10.1007/s11557-022-01778-0","http://dx.doi.org/10.1007/s11557-022-01778-0")</f>
        <v>http://dx.doi.org/10.1007/s11557-022-01778-0</v>
      </c>
      <c r="BN576" s="1" t="s">
        <v>82</v>
      </c>
      <c r="BO576" s="1" t="s">
        <v>82</v>
      </c>
      <c r="BP576" s="1">
        <v>15</v>
      </c>
      <c r="BQ576" s="1" t="s">
        <v>225</v>
      </c>
      <c r="BR576" s="1" t="s">
        <v>104</v>
      </c>
      <c r="BS576" s="1" t="s">
        <v>225</v>
      </c>
      <c r="BT576" s="1" t="s">
        <v>11066</v>
      </c>
      <c r="BU576" s="1" t="s">
        <v>82</v>
      </c>
      <c r="BV576" s="1" t="s">
        <v>427</v>
      </c>
      <c r="BW576" s="1" t="s">
        <v>82</v>
      </c>
      <c r="BX576" s="1" t="s">
        <v>82</v>
      </c>
      <c r="BY576" s="1" t="s">
        <v>108</v>
      </c>
      <c r="BZ576" s="1" t="s">
        <v>11067</v>
      </c>
      <c r="CA576" s="1" t="str">
        <f>HYPERLINK("https%3A%2F%2Fwww.webofscience.com%2Fwos%2Fwoscc%2Ffull-record%2FWOS:000778135900007","View Full Record in Web of Science")</f>
        <v>View Full Record in Web of Science</v>
      </c>
    </row>
    <row r="577" s="1" customFormat="1" ht="14.4" spans="1:79">
      <c r="A577">
        <v>576</v>
      </c>
      <c r="B577" s="2" t="s">
        <v>79</v>
      </c>
      <c r="C577" s="1" t="s">
        <v>80</v>
      </c>
      <c r="D577" s="1" t="s">
        <v>11068</v>
      </c>
      <c r="E577" s="1" t="s">
        <v>82</v>
      </c>
      <c r="F577" s="1" t="s">
        <v>82</v>
      </c>
      <c r="G577" s="1" t="s">
        <v>82</v>
      </c>
      <c r="H577" s="1" t="s">
        <v>11069</v>
      </c>
      <c r="I577" s="1" t="s">
        <v>82</v>
      </c>
      <c r="J577" s="1" t="s">
        <v>82</v>
      </c>
      <c r="K577" s="1" t="s">
        <v>11070</v>
      </c>
      <c r="L577" s="1" t="s">
        <v>11027</v>
      </c>
      <c r="M577" s="1">
        <v>2.538</v>
      </c>
      <c r="O577" s="1" t="s">
        <v>82</v>
      </c>
      <c r="P577" s="1" t="s">
        <v>82</v>
      </c>
      <c r="Q577" s="1" t="s">
        <v>87</v>
      </c>
      <c r="R577" s="1" t="s">
        <v>115</v>
      </c>
      <c r="S577" s="1" t="s">
        <v>82</v>
      </c>
      <c r="T577" s="1" t="s">
        <v>82</v>
      </c>
      <c r="U577" s="1" t="s">
        <v>82</v>
      </c>
      <c r="V577" s="1" t="s">
        <v>82</v>
      </c>
      <c r="W577" s="1" t="s">
        <v>82</v>
      </c>
      <c r="X577" s="1" t="s">
        <v>11071</v>
      </c>
      <c r="Y577" s="1" t="s">
        <v>11072</v>
      </c>
      <c r="Z577" s="1" t="s">
        <v>11073</v>
      </c>
      <c r="AA577" s="1">
        <v>1</v>
      </c>
      <c r="AB577" s="1" t="s">
        <v>11074</v>
      </c>
      <c r="AC577" s="1" t="s">
        <v>11075</v>
      </c>
      <c r="AD577" s="1" t="s">
        <v>93</v>
      </c>
      <c r="AE577" s="1" t="s">
        <v>11076</v>
      </c>
      <c r="AF577" s="1" t="s">
        <v>11077</v>
      </c>
      <c r="AG577" s="1" t="s">
        <v>11078</v>
      </c>
      <c r="AH577" s="1" t="s">
        <v>82</v>
      </c>
      <c r="AI577" s="1" t="s">
        <v>82</v>
      </c>
      <c r="AJ577" s="1" t="s">
        <v>11079</v>
      </c>
      <c r="AK577" s="1" t="s">
        <v>11080</v>
      </c>
      <c r="AL577" s="1" t="s">
        <v>11081</v>
      </c>
      <c r="AM577" s="1" t="s">
        <v>82</v>
      </c>
      <c r="AN577" s="1">
        <v>56</v>
      </c>
      <c r="AO577" s="1">
        <v>0</v>
      </c>
      <c r="AP577" s="1">
        <v>0</v>
      </c>
      <c r="AQ577" s="1">
        <v>3</v>
      </c>
      <c r="AR577" s="1">
        <v>3</v>
      </c>
      <c r="AS577" s="1" t="s">
        <v>11039</v>
      </c>
      <c r="AT577" s="1" t="s">
        <v>11040</v>
      </c>
      <c r="AU577" s="1" t="s">
        <v>11041</v>
      </c>
      <c r="AV577" s="1" t="s">
        <v>11042</v>
      </c>
      <c r="AW577" s="1" t="s">
        <v>11043</v>
      </c>
      <c r="AX577" s="1" t="s">
        <v>82</v>
      </c>
      <c r="AY577" s="1" t="s">
        <v>11044</v>
      </c>
      <c r="AZ577" s="1" t="s">
        <v>11045</v>
      </c>
      <c r="BA577" s="1" t="s">
        <v>2145</v>
      </c>
      <c r="BB577" s="1">
        <v>2022</v>
      </c>
      <c r="BC577" s="1">
        <v>21</v>
      </c>
      <c r="BD577" s="1">
        <v>3</v>
      </c>
      <c r="BE577" s="1" t="s">
        <v>82</v>
      </c>
      <c r="BF577" s="1" t="s">
        <v>82</v>
      </c>
      <c r="BG577" s="1" t="s">
        <v>82</v>
      </c>
      <c r="BH577" s="1" t="s">
        <v>82</v>
      </c>
      <c r="BI577" s="1" t="s">
        <v>82</v>
      </c>
      <c r="BJ577" s="1" t="s">
        <v>82</v>
      </c>
      <c r="BK577" s="1">
        <v>35</v>
      </c>
      <c r="BL577" s="1" t="s">
        <v>11082</v>
      </c>
      <c r="BM577" s="1" t="str">
        <f>HYPERLINK("http://dx.doi.org/10.1007/s11557-022-01788-y","http://dx.doi.org/10.1007/s11557-022-01788-y")</f>
        <v>http://dx.doi.org/10.1007/s11557-022-01788-y</v>
      </c>
      <c r="BN577" s="1" t="s">
        <v>82</v>
      </c>
      <c r="BO577" s="1" t="s">
        <v>82</v>
      </c>
      <c r="BP577" s="1">
        <v>15</v>
      </c>
      <c r="BQ577" s="1" t="s">
        <v>225</v>
      </c>
      <c r="BR577" s="1" t="s">
        <v>104</v>
      </c>
      <c r="BS577" s="1" t="s">
        <v>225</v>
      </c>
      <c r="BT577" s="1" t="s">
        <v>11066</v>
      </c>
      <c r="BU577" s="1" t="s">
        <v>82</v>
      </c>
      <c r="BV577" s="1" t="s">
        <v>82</v>
      </c>
      <c r="BW577" s="1" t="s">
        <v>82</v>
      </c>
      <c r="BX577" s="1" t="s">
        <v>82</v>
      </c>
      <c r="BY577" s="1" t="s">
        <v>108</v>
      </c>
      <c r="BZ577" s="1" t="s">
        <v>11083</v>
      </c>
      <c r="CA577" s="1" t="str">
        <f>HYPERLINK("https%3A%2F%2Fwww.webofscience.com%2Fwos%2Fwoscc%2Ffull-record%2FWOS:000778135900001","View Full Record in Web of Science")</f>
        <v>View Full Record in Web of Science</v>
      </c>
    </row>
    <row r="578" s="1" customFormat="1" ht="14.4" spans="1:79">
      <c r="A578">
        <v>577</v>
      </c>
      <c r="B578" s="2" t="s">
        <v>79</v>
      </c>
      <c r="C578" s="1" t="s">
        <v>80</v>
      </c>
      <c r="D578" s="1" t="s">
        <v>11084</v>
      </c>
      <c r="E578" s="1" t="s">
        <v>82</v>
      </c>
      <c r="F578" s="1" t="s">
        <v>82</v>
      </c>
      <c r="G578" s="1" t="s">
        <v>82</v>
      </c>
      <c r="H578" s="1" t="s">
        <v>11085</v>
      </c>
      <c r="I578" s="1" t="s">
        <v>82</v>
      </c>
      <c r="J578" s="1" t="s">
        <v>82</v>
      </c>
      <c r="K578" s="1" t="s">
        <v>11086</v>
      </c>
      <c r="L578" s="1" t="s">
        <v>11027</v>
      </c>
      <c r="M578" s="1">
        <v>2.538</v>
      </c>
      <c r="O578" s="1" t="s">
        <v>82</v>
      </c>
      <c r="P578" s="1" t="s">
        <v>82</v>
      </c>
      <c r="Q578" s="1" t="s">
        <v>87</v>
      </c>
      <c r="R578" s="1" t="s">
        <v>115</v>
      </c>
      <c r="S578" s="1" t="s">
        <v>82</v>
      </c>
      <c r="T578" s="1" t="s">
        <v>82</v>
      </c>
      <c r="U578" s="1" t="s">
        <v>82</v>
      </c>
      <c r="V578" s="1" t="s">
        <v>82</v>
      </c>
      <c r="W578" s="1" t="s">
        <v>82</v>
      </c>
      <c r="X578" s="1" t="s">
        <v>11087</v>
      </c>
      <c r="Y578" s="1" t="s">
        <v>82</v>
      </c>
      <c r="Z578" s="1" t="s">
        <v>11088</v>
      </c>
      <c r="AA578" s="1">
        <v>1</v>
      </c>
      <c r="AB578" s="1" t="s">
        <v>11089</v>
      </c>
      <c r="AC578" s="1" t="s">
        <v>11090</v>
      </c>
      <c r="AD578" s="1" t="s">
        <v>93</v>
      </c>
      <c r="AE578" s="1" t="s">
        <v>1630</v>
      </c>
      <c r="AF578" s="1" t="s">
        <v>11091</v>
      </c>
      <c r="AG578" s="1" t="s">
        <v>11078</v>
      </c>
      <c r="AH578" s="1" t="s">
        <v>82</v>
      </c>
      <c r="AI578" s="1" t="s">
        <v>82</v>
      </c>
      <c r="AJ578" s="1" t="s">
        <v>11092</v>
      </c>
      <c r="AK578" s="1" t="s">
        <v>11093</v>
      </c>
      <c r="AL578" s="1" t="s">
        <v>11094</v>
      </c>
      <c r="AM578" s="1" t="s">
        <v>82</v>
      </c>
      <c r="AN578" s="1">
        <v>35</v>
      </c>
      <c r="AO578" s="1">
        <v>0</v>
      </c>
      <c r="AP578" s="1">
        <v>0</v>
      </c>
      <c r="AQ578" s="1">
        <v>1</v>
      </c>
      <c r="AR578" s="1">
        <v>6</v>
      </c>
      <c r="AS578" s="1" t="s">
        <v>11039</v>
      </c>
      <c r="AT578" s="1" t="s">
        <v>11040</v>
      </c>
      <c r="AU578" s="1" t="s">
        <v>11041</v>
      </c>
      <c r="AV578" s="1" t="s">
        <v>11042</v>
      </c>
      <c r="AW578" s="1" t="s">
        <v>11043</v>
      </c>
      <c r="AX578" s="1" t="s">
        <v>82</v>
      </c>
      <c r="AY578" s="1" t="s">
        <v>11044</v>
      </c>
      <c r="AZ578" s="1" t="s">
        <v>11045</v>
      </c>
      <c r="BA578" s="1" t="s">
        <v>2145</v>
      </c>
      <c r="BB578" s="1">
        <v>2022</v>
      </c>
      <c r="BC578" s="1">
        <v>21</v>
      </c>
      <c r="BD578" s="1">
        <v>3</v>
      </c>
      <c r="BE578" s="1" t="s">
        <v>82</v>
      </c>
      <c r="BF578" s="1" t="s">
        <v>82</v>
      </c>
      <c r="BG578" s="1" t="s">
        <v>82</v>
      </c>
      <c r="BH578" s="1" t="s">
        <v>82</v>
      </c>
      <c r="BI578" s="1" t="s">
        <v>82</v>
      </c>
      <c r="BJ578" s="1" t="s">
        <v>82</v>
      </c>
      <c r="BK578" s="1">
        <v>37</v>
      </c>
      <c r="BL578" s="1" t="s">
        <v>11095</v>
      </c>
      <c r="BM578" s="1" t="str">
        <f>HYPERLINK("http://dx.doi.org/10.1007/s11557-022-01797-x","http://dx.doi.org/10.1007/s11557-022-01797-x")</f>
        <v>http://dx.doi.org/10.1007/s11557-022-01797-x</v>
      </c>
      <c r="BN578" s="1" t="s">
        <v>82</v>
      </c>
      <c r="BO578" s="1" t="s">
        <v>82</v>
      </c>
      <c r="BP578" s="1">
        <v>12</v>
      </c>
      <c r="BQ578" s="1" t="s">
        <v>225</v>
      </c>
      <c r="BR578" s="1" t="s">
        <v>104</v>
      </c>
      <c r="BS578" s="1" t="s">
        <v>225</v>
      </c>
      <c r="BT578" s="1" t="s">
        <v>11066</v>
      </c>
      <c r="BU578" s="1" t="s">
        <v>82</v>
      </c>
      <c r="BV578" s="1" t="s">
        <v>82</v>
      </c>
      <c r="BW578" s="1" t="s">
        <v>82</v>
      </c>
      <c r="BX578" s="1" t="s">
        <v>82</v>
      </c>
      <c r="BY578" s="1" t="s">
        <v>108</v>
      </c>
      <c r="BZ578" s="1" t="s">
        <v>11096</v>
      </c>
      <c r="CA578" s="1" t="str">
        <f>HYPERLINK("https%3A%2F%2Fwww.webofscience.com%2Fwos%2Fwoscc%2Ffull-record%2FWOS:000778135900002","View Full Record in Web of Science")</f>
        <v>View Full Record in Web of Science</v>
      </c>
    </row>
    <row r="579" s="1" customFormat="1" ht="14.4" spans="1:79">
      <c r="A579">
        <v>578</v>
      </c>
      <c r="B579" s="2" t="s">
        <v>79</v>
      </c>
      <c r="C579" s="1" t="s">
        <v>80</v>
      </c>
      <c r="D579" s="1" t="s">
        <v>11097</v>
      </c>
      <c r="E579" s="1" t="s">
        <v>82</v>
      </c>
      <c r="F579" s="1" t="s">
        <v>82</v>
      </c>
      <c r="G579" s="1" t="s">
        <v>82</v>
      </c>
      <c r="H579" s="1" t="s">
        <v>11098</v>
      </c>
      <c r="I579" s="1" t="s">
        <v>82</v>
      </c>
      <c r="J579" s="1" t="s">
        <v>82</v>
      </c>
      <c r="K579" s="1" t="s">
        <v>11099</v>
      </c>
      <c r="L579" s="1" t="s">
        <v>11027</v>
      </c>
      <c r="M579" s="1">
        <v>2.538</v>
      </c>
      <c r="O579" s="1" t="s">
        <v>82</v>
      </c>
      <c r="P579" s="1" t="s">
        <v>82</v>
      </c>
      <c r="Q579" s="1" t="s">
        <v>87</v>
      </c>
      <c r="R579" s="1" t="s">
        <v>115</v>
      </c>
      <c r="S579" s="1" t="s">
        <v>82</v>
      </c>
      <c r="T579" s="1" t="s">
        <v>82</v>
      </c>
      <c r="U579" s="1" t="s">
        <v>82</v>
      </c>
      <c r="V579" s="1" t="s">
        <v>82</v>
      </c>
      <c r="W579" s="1" t="s">
        <v>82</v>
      </c>
      <c r="X579" s="1" t="s">
        <v>11100</v>
      </c>
      <c r="Y579" s="1" t="s">
        <v>11101</v>
      </c>
      <c r="Z579" s="1" t="s">
        <v>11102</v>
      </c>
      <c r="AA579" s="1">
        <v>1</v>
      </c>
      <c r="AB579" s="1" t="s">
        <v>11103</v>
      </c>
      <c r="AC579" s="1" t="s">
        <v>11104</v>
      </c>
      <c r="AD579" s="1" t="s">
        <v>93</v>
      </c>
      <c r="AE579" s="1" t="s">
        <v>1959</v>
      </c>
      <c r="AF579" s="1" t="s">
        <v>11105</v>
      </c>
      <c r="AG579" s="1" t="s">
        <v>11078</v>
      </c>
      <c r="AH579" s="1" t="s">
        <v>82</v>
      </c>
      <c r="AI579" s="1" t="s">
        <v>11106</v>
      </c>
      <c r="AJ579" s="1" t="s">
        <v>11107</v>
      </c>
      <c r="AK579" s="1" t="s">
        <v>11108</v>
      </c>
      <c r="AL579" s="1" t="s">
        <v>11109</v>
      </c>
      <c r="AM579" s="1" t="s">
        <v>82</v>
      </c>
      <c r="AN579" s="1">
        <v>46</v>
      </c>
      <c r="AO579" s="1">
        <v>1</v>
      </c>
      <c r="AP579" s="1">
        <v>1</v>
      </c>
      <c r="AQ579" s="1">
        <v>3</v>
      </c>
      <c r="AR579" s="1">
        <v>3</v>
      </c>
      <c r="AS579" s="1" t="s">
        <v>11039</v>
      </c>
      <c r="AT579" s="1" t="s">
        <v>11040</v>
      </c>
      <c r="AU579" s="1" t="s">
        <v>11041</v>
      </c>
      <c r="AV579" s="1" t="s">
        <v>11042</v>
      </c>
      <c r="AW579" s="1" t="s">
        <v>11043</v>
      </c>
      <c r="AX579" s="1" t="s">
        <v>82</v>
      </c>
      <c r="AY579" s="1" t="s">
        <v>11044</v>
      </c>
      <c r="AZ579" s="1" t="s">
        <v>11045</v>
      </c>
      <c r="BA579" s="1" t="s">
        <v>397</v>
      </c>
      <c r="BB579" s="1">
        <v>2022</v>
      </c>
      <c r="BC579" s="1">
        <v>21</v>
      </c>
      <c r="BD579" s="1">
        <v>2</v>
      </c>
      <c r="BE579" s="1" t="s">
        <v>82</v>
      </c>
      <c r="BF579" s="1" t="s">
        <v>82</v>
      </c>
      <c r="BG579" s="1" t="s">
        <v>82</v>
      </c>
      <c r="BH579" s="1" t="s">
        <v>82</v>
      </c>
      <c r="BI579" s="1" t="s">
        <v>82</v>
      </c>
      <c r="BJ579" s="1" t="s">
        <v>82</v>
      </c>
      <c r="BK579" s="1">
        <v>26</v>
      </c>
      <c r="BL579" s="1" t="s">
        <v>11110</v>
      </c>
      <c r="BM579" s="1" t="str">
        <f>HYPERLINK("http://dx.doi.org/10.1007/s11557-022-01786-0","http://dx.doi.org/10.1007/s11557-022-01786-0")</f>
        <v>http://dx.doi.org/10.1007/s11557-022-01786-0</v>
      </c>
      <c r="BN579" s="1" t="s">
        <v>82</v>
      </c>
      <c r="BO579" s="1" t="s">
        <v>82</v>
      </c>
      <c r="BP579" s="1">
        <v>16</v>
      </c>
      <c r="BQ579" s="1" t="s">
        <v>225</v>
      </c>
      <c r="BR579" s="1" t="s">
        <v>104</v>
      </c>
      <c r="BS579" s="1" t="s">
        <v>225</v>
      </c>
      <c r="BT579" s="1" t="s">
        <v>11111</v>
      </c>
      <c r="BU579" s="1" t="s">
        <v>82</v>
      </c>
      <c r="BV579" s="1" t="s">
        <v>82</v>
      </c>
      <c r="BW579" s="1" t="s">
        <v>82</v>
      </c>
      <c r="BX579" s="1" t="s">
        <v>82</v>
      </c>
      <c r="BY579" s="1" t="s">
        <v>108</v>
      </c>
      <c r="BZ579" s="1" t="s">
        <v>11112</v>
      </c>
      <c r="CA579" s="1" t="str">
        <f>HYPERLINK("https%3A%2F%2Fwww.webofscience.com%2Fwos%2Fwoscc%2Ffull-record%2FWOS:000772811800001","View Full Record in Web of Science")</f>
        <v>View Full Record in Web of Science</v>
      </c>
    </row>
    <row r="580" s="1" customFormat="1" ht="14.4" spans="1:79">
      <c r="A580">
        <v>579</v>
      </c>
      <c r="B580" s="2" t="s">
        <v>79</v>
      </c>
      <c r="C580" s="1" t="s">
        <v>80</v>
      </c>
      <c r="D580" s="1" t="s">
        <v>11113</v>
      </c>
      <c r="E580" s="1" t="s">
        <v>82</v>
      </c>
      <c r="F580" s="1" t="s">
        <v>82</v>
      </c>
      <c r="G580" s="1" t="s">
        <v>82</v>
      </c>
      <c r="H580" s="1" t="s">
        <v>11114</v>
      </c>
      <c r="I580" s="1" t="s">
        <v>82</v>
      </c>
      <c r="J580" s="1" t="s">
        <v>82</v>
      </c>
      <c r="K580" s="1" t="s">
        <v>11115</v>
      </c>
      <c r="L580" s="1" t="s">
        <v>11027</v>
      </c>
      <c r="M580" s="1">
        <v>2.538</v>
      </c>
      <c r="O580" s="1" t="s">
        <v>82</v>
      </c>
      <c r="P580" s="1" t="s">
        <v>82</v>
      </c>
      <c r="Q580" s="1" t="s">
        <v>87</v>
      </c>
      <c r="R580" s="1" t="s">
        <v>115</v>
      </c>
      <c r="S580" s="1" t="s">
        <v>82</v>
      </c>
      <c r="T580" s="1" t="s">
        <v>82</v>
      </c>
      <c r="U580" s="1" t="s">
        <v>82</v>
      </c>
      <c r="V580" s="1" t="s">
        <v>82</v>
      </c>
      <c r="W580" s="1" t="s">
        <v>82</v>
      </c>
      <c r="X580" s="1" t="s">
        <v>11116</v>
      </c>
      <c r="Y580" s="1" t="s">
        <v>11117</v>
      </c>
      <c r="Z580" s="1" t="s">
        <v>11118</v>
      </c>
      <c r="AB580" s="1" t="s">
        <v>11119</v>
      </c>
      <c r="AC580" s="1" t="s">
        <v>11120</v>
      </c>
      <c r="AD580" s="1" t="s">
        <v>120</v>
      </c>
      <c r="AE580" s="1" t="s">
        <v>11121</v>
      </c>
      <c r="AF580" s="1" t="s">
        <v>11122</v>
      </c>
      <c r="AG580" s="1" t="s">
        <v>11123</v>
      </c>
      <c r="AH580" s="1" t="s">
        <v>11124</v>
      </c>
      <c r="AI580" s="1" t="s">
        <v>11125</v>
      </c>
      <c r="AJ580" s="1" t="s">
        <v>11126</v>
      </c>
      <c r="AK580" s="1" t="s">
        <v>11127</v>
      </c>
      <c r="AL580" s="1" t="s">
        <v>11128</v>
      </c>
      <c r="AM580" s="1" t="s">
        <v>82</v>
      </c>
      <c r="AN580" s="1">
        <v>52</v>
      </c>
      <c r="AO580" s="1">
        <v>0</v>
      </c>
      <c r="AP580" s="1">
        <v>0</v>
      </c>
      <c r="AQ580" s="1">
        <v>1</v>
      </c>
      <c r="AR580" s="1">
        <v>1</v>
      </c>
      <c r="AS580" s="1" t="s">
        <v>11039</v>
      </c>
      <c r="AT580" s="1" t="s">
        <v>11040</v>
      </c>
      <c r="AU580" s="1" t="s">
        <v>11041</v>
      </c>
      <c r="AV580" s="1" t="s">
        <v>11042</v>
      </c>
      <c r="AW580" s="1" t="s">
        <v>11043</v>
      </c>
      <c r="AX580" s="1" t="s">
        <v>82</v>
      </c>
      <c r="AY580" s="1" t="s">
        <v>11044</v>
      </c>
      <c r="AZ580" s="1" t="s">
        <v>11045</v>
      </c>
      <c r="BA580" s="1" t="s">
        <v>1826</v>
      </c>
      <c r="BB580" s="1">
        <v>2022</v>
      </c>
      <c r="BC580" s="1">
        <v>21</v>
      </c>
      <c r="BD580" s="1">
        <v>1</v>
      </c>
      <c r="BE580" s="1" t="s">
        <v>82</v>
      </c>
      <c r="BF580" s="1" t="s">
        <v>82</v>
      </c>
      <c r="BG580" s="1" t="s">
        <v>82</v>
      </c>
      <c r="BH580" s="1" t="s">
        <v>82</v>
      </c>
      <c r="BI580" s="1">
        <v>279</v>
      </c>
      <c r="BJ580" s="1">
        <v>295</v>
      </c>
      <c r="BK580" s="1" t="s">
        <v>82</v>
      </c>
      <c r="BL580" s="1" t="s">
        <v>11129</v>
      </c>
      <c r="BM580" s="1" t="str">
        <f>HYPERLINK("http://dx.doi.org/10.1007/s11557-021-01767-9","http://dx.doi.org/10.1007/s11557-021-01767-9")</f>
        <v>http://dx.doi.org/10.1007/s11557-021-01767-9</v>
      </c>
      <c r="BN580" s="1" t="s">
        <v>82</v>
      </c>
      <c r="BO580" s="1" t="s">
        <v>82</v>
      </c>
      <c r="BP580" s="1">
        <v>17</v>
      </c>
      <c r="BQ580" s="1" t="s">
        <v>225</v>
      </c>
      <c r="BR580" s="1" t="s">
        <v>104</v>
      </c>
      <c r="BS580" s="1" t="s">
        <v>225</v>
      </c>
      <c r="BT580" s="1" t="s">
        <v>11130</v>
      </c>
      <c r="BU580" s="1" t="s">
        <v>82</v>
      </c>
      <c r="BV580" s="1" t="s">
        <v>82</v>
      </c>
      <c r="BW580" s="1" t="s">
        <v>82</v>
      </c>
      <c r="BX580" s="1" t="s">
        <v>82</v>
      </c>
      <c r="BY580" s="1" t="s">
        <v>108</v>
      </c>
      <c r="BZ580" s="1" t="s">
        <v>11131</v>
      </c>
      <c r="CA580" s="1" t="str">
        <f>HYPERLINK("https%3A%2F%2Fwww.webofscience.com%2Fwos%2Fwoscc%2Ffull-record%2FWOS:000764882000017","View Full Record in Web of Science")</f>
        <v>View Full Record in Web of Science</v>
      </c>
    </row>
    <row r="581" s="1" customFormat="1" ht="14.4" spans="1:79">
      <c r="A581">
        <v>580</v>
      </c>
      <c r="B581" s="2" t="s">
        <v>110</v>
      </c>
      <c r="C581" s="1" t="s">
        <v>80</v>
      </c>
      <c r="D581" s="1" t="s">
        <v>11132</v>
      </c>
      <c r="E581" s="1" t="s">
        <v>82</v>
      </c>
      <c r="F581" s="1" t="s">
        <v>82</v>
      </c>
      <c r="G581" s="1" t="s">
        <v>82</v>
      </c>
      <c r="H581" s="1" t="s">
        <v>11133</v>
      </c>
      <c r="I581" s="1" t="s">
        <v>82</v>
      </c>
      <c r="J581" s="1" t="s">
        <v>82</v>
      </c>
      <c r="K581" s="1" t="s">
        <v>11134</v>
      </c>
      <c r="L581" s="1" t="s">
        <v>11135</v>
      </c>
      <c r="M581" s="1">
        <v>2.506</v>
      </c>
      <c r="O581" s="1" t="s">
        <v>82</v>
      </c>
      <c r="P581" s="1" t="s">
        <v>82</v>
      </c>
      <c r="Q581" s="1" t="s">
        <v>87</v>
      </c>
      <c r="R581" s="1" t="s">
        <v>115</v>
      </c>
      <c r="S581" s="1" t="s">
        <v>82</v>
      </c>
      <c r="T581" s="1" t="s">
        <v>82</v>
      </c>
      <c r="U581" s="1" t="s">
        <v>82</v>
      </c>
      <c r="V581" s="1" t="s">
        <v>82</v>
      </c>
      <c r="W581" s="1" t="s">
        <v>82</v>
      </c>
      <c r="X581" s="1" t="s">
        <v>11136</v>
      </c>
      <c r="Y581" s="1" t="s">
        <v>11137</v>
      </c>
      <c r="Z581" s="1" t="s">
        <v>11138</v>
      </c>
      <c r="AB581" s="1" t="s">
        <v>11139</v>
      </c>
      <c r="AC581" s="1" t="s">
        <v>11140</v>
      </c>
      <c r="AD581" s="1" t="s">
        <v>206</v>
      </c>
      <c r="AE581" s="1" t="s">
        <v>4752</v>
      </c>
      <c r="AF581" s="1" t="s">
        <v>11141</v>
      </c>
      <c r="AG581" s="1" t="s">
        <v>11142</v>
      </c>
      <c r="AH581" s="1" t="s">
        <v>82</v>
      </c>
      <c r="AI581" s="1" t="s">
        <v>2672</v>
      </c>
      <c r="AJ581" s="1" t="s">
        <v>11143</v>
      </c>
      <c r="AK581" s="1" t="s">
        <v>11144</v>
      </c>
      <c r="AL581" s="1" t="s">
        <v>11145</v>
      </c>
      <c r="AM581" s="1" t="s">
        <v>82</v>
      </c>
      <c r="AN581" s="1">
        <v>32</v>
      </c>
      <c r="AO581" s="1">
        <v>2</v>
      </c>
      <c r="AP581" s="1">
        <v>2</v>
      </c>
      <c r="AQ581" s="1">
        <v>5</v>
      </c>
      <c r="AR581" s="1">
        <v>9</v>
      </c>
      <c r="AS581" s="1" t="s">
        <v>6097</v>
      </c>
      <c r="AT581" s="1" t="s">
        <v>6098</v>
      </c>
      <c r="AU581" s="1" t="s">
        <v>6099</v>
      </c>
      <c r="AV581" s="1" t="s">
        <v>11146</v>
      </c>
      <c r="AW581" s="1" t="s">
        <v>11147</v>
      </c>
      <c r="AX581" s="1" t="s">
        <v>82</v>
      </c>
      <c r="AY581" s="1" t="s">
        <v>11148</v>
      </c>
      <c r="AZ581" s="1" t="s">
        <v>11149</v>
      </c>
      <c r="BA581" s="1" t="s">
        <v>3375</v>
      </c>
      <c r="BB581" s="1">
        <v>2022</v>
      </c>
      <c r="BC581" s="1">
        <v>57</v>
      </c>
      <c r="BD581" s="1">
        <v>1</v>
      </c>
      <c r="BE581" s="1" t="s">
        <v>82</v>
      </c>
      <c r="BF581" s="1" t="s">
        <v>82</v>
      </c>
      <c r="BG581" s="1" t="s">
        <v>82</v>
      </c>
      <c r="BH581" s="1" t="s">
        <v>82</v>
      </c>
      <c r="BI581" s="1">
        <v>54</v>
      </c>
      <c r="BJ581" s="1">
        <v>61</v>
      </c>
      <c r="BK581" s="1" t="s">
        <v>82</v>
      </c>
      <c r="BL581" s="1" t="s">
        <v>11150</v>
      </c>
      <c r="BM581" s="1" t="str">
        <f>HYPERLINK("http://dx.doi.org/10.1080/03601234.2021.2022945","http://dx.doi.org/10.1080/03601234.2021.2022945")</f>
        <v>http://dx.doi.org/10.1080/03601234.2021.2022945</v>
      </c>
      <c r="BN581" s="1" t="s">
        <v>82</v>
      </c>
      <c r="BO581" s="1" t="s">
        <v>1462</v>
      </c>
      <c r="BP581" s="1">
        <v>8</v>
      </c>
      <c r="BQ581" s="1" t="s">
        <v>11151</v>
      </c>
      <c r="BR581" s="1" t="s">
        <v>104</v>
      </c>
      <c r="BS581" s="1" t="s">
        <v>11152</v>
      </c>
      <c r="BT581" s="1" t="s">
        <v>11153</v>
      </c>
      <c r="BU581" s="1">
        <v>34983315</v>
      </c>
      <c r="BV581" s="1" t="s">
        <v>82</v>
      </c>
      <c r="BW581" s="1" t="s">
        <v>82</v>
      </c>
      <c r="BX581" s="1" t="s">
        <v>82</v>
      </c>
      <c r="BY581" s="1" t="s">
        <v>108</v>
      </c>
      <c r="BZ581" s="1" t="s">
        <v>11154</v>
      </c>
      <c r="CA581" s="1" t="str">
        <f>HYPERLINK("https%3A%2F%2Fwww.webofscience.com%2Fwos%2Fwoscc%2Ffull-record%2FWOS:000739127300001","View Full Record in Web of Science")</f>
        <v>View Full Record in Web of Science</v>
      </c>
    </row>
    <row r="582" s="1" customFormat="1" ht="14.4" spans="1:79">
      <c r="A582">
        <v>581</v>
      </c>
      <c r="B582" s="2" t="s">
        <v>79</v>
      </c>
      <c r="C582" s="1" t="s">
        <v>80</v>
      </c>
      <c r="D582" s="1" t="s">
        <v>11155</v>
      </c>
      <c r="E582" s="1" t="s">
        <v>82</v>
      </c>
      <c r="F582" s="1" t="s">
        <v>82</v>
      </c>
      <c r="G582" s="1" t="s">
        <v>82</v>
      </c>
      <c r="H582" s="1" t="s">
        <v>11156</v>
      </c>
      <c r="I582" s="1" t="s">
        <v>82</v>
      </c>
      <c r="J582" s="1" t="s">
        <v>82</v>
      </c>
      <c r="K582" s="1" t="s">
        <v>11157</v>
      </c>
      <c r="L582" s="1" t="s">
        <v>11158</v>
      </c>
      <c r="M582" s="1">
        <v>2.493</v>
      </c>
      <c r="O582" s="1" t="s">
        <v>82</v>
      </c>
      <c r="P582" s="1" t="s">
        <v>82</v>
      </c>
      <c r="Q582" s="1" t="s">
        <v>87</v>
      </c>
      <c r="R582" s="1" t="s">
        <v>115</v>
      </c>
      <c r="S582" s="1" t="s">
        <v>82</v>
      </c>
      <c r="T582" s="1" t="s">
        <v>82</v>
      </c>
      <c r="U582" s="1" t="s">
        <v>82</v>
      </c>
      <c r="V582" s="1" t="s">
        <v>82</v>
      </c>
      <c r="W582" s="1" t="s">
        <v>82</v>
      </c>
      <c r="X582" s="1" t="s">
        <v>11159</v>
      </c>
      <c r="Y582" s="1" t="s">
        <v>11160</v>
      </c>
      <c r="Z582" s="1" t="s">
        <v>11161</v>
      </c>
      <c r="AB582" s="1" t="s">
        <v>11162</v>
      </c>
      <c r="AC582" s="1" t="s">
        <v>11163</v>
      </c>
      <c r="AD582" s="1" t="s">
        <v>120</v>
      </c>
      <c r="AE582" s="1" t="s">
        <v>11164</v>
      </c>
      <c r="AF582" s="1" t="s">
        <v>11165</v>
      </c>
      <c r="AG582" s="1" t="s">
        <v>11166</v>
      </c>
      <c r="AH582" s="1" t="s">
        <v>82</v>
      </c>
      <c r="AI582" s="1" t="s">
        <v>11167</v>
      </c>
      <c r="AJ582" s="1" t="s">
        <v>11168</v>
      </c>
      <c r="AK582" s="1" t="s">
        <v>11169</v>
      </c>
      <c r="AL582" s="1" t="s">
        <v>11170</v>
      </c>
      <c r="AM582" s="1" t="s">
        <v>82</v>
      </c>
      <c r="AN582" s="1">
        <v>17</v>
      </c>
      <c r="AO582" s="1">
        <v>0</v>
      </c>
      <c r="AP582" s="1">
        <v>0</v>
      </c>
      <c r="AQ582" s="1">
        <v>15</v>
      </c>
      <c r="AR582" s="1">
        <v>19</v>
      </c>
      <c r="AS582" s="1" t="s">
        <v>479</v>
      </c>
      <c r="AT582" s="1" t="s">
        <v>480</v>
      </c>
      <c r="AU582" s="1" t="s">
        <v>481</v>
      </c>
      <c r="AV582" s="1" t="s">
        <v>11171</v>
      </c>
      <c r="AW582" s="1" t="s">
        <v>11172</v>
      </c>
      <c r="AX582" s="1" t="s">
        <v>82</v>
      </c>
      <c r="AY582" s="1" t="s">
        <v>11173</v>
      </c>
      <c r="AZ582" s="1" t="s">
        <v>11174</v>
      </c>
      <c r="BA582" s="1" t="s">
        <v>1146</v>
      </c>
      <c r="BB582" s="1">
        <v>2022</v>
      </c>
      <c r="BC582" s="1">
        <v>301</v>
      </c>
      <c r="BD582" s="1" t="s">
        <v>82</v>
      </c>
      <c r="BE582" s="1" t="s">
        <v>82</v>
      </c>
      <c r="BF582" s="1" t="s">
        <v>82</v>
      </c>
      <c r="BG582" s="1" t="s">
        <v>82</v>
      </c>
      <c r="BH582" s="1" t="s">
        <v>82</v>
      </c>
      <c r="BI582" s="1" t="s">
        <v>82</v>
      </c>
      <c r="BJ582" s="1" t="s">
        <v>82</v>
      </c>
      <c r="BK582" s="1">
        <v>104646</v>
      </c>
      <c r="BL582" s="1" t="s">
        <v>11175</v>
      </c>
      <c r="BM582" s="1" t="str">
        <f>HYPERLINK("http://dx.doi.org/10.1016/j.revpalbo.2022.104646","http://dx.doi.org/10.1016/j.revpalbo.2022.104646")</f>
        <v>http://dx.doi.org/10.1016/j.revpalbo.2022.104646</v>
      </c>
      <c r="BN582" s="1" t="s">
        <v>82</v>
      </c>
      <c r="BO582" s="1" t="s">
        <v>282</v>
      </c>
      <c r="BP582" s="1">
        <v>6</v>
      </c>
      <c r="BQ582" s="1" t="s">
        <v>11176</v>
      </c>
      <c r="BR582" s="1" t="s">
        <v>104</v>
      </c>
      <c r="BS582" s="1" t="s">
        <v>11176</v>
      </c>
      <c r="BT582" s="1" t="s">
        <v>11177</v>
      </c>
      <c r="BU582" s="1" t="s">
        <v>82</v>
      </c>
      <c r="BV582" s="1" t="s">
        <v>82</v>
      </c>
      <c r="BW582" s="1" t="s">
        <v>82</v>
      </c>
      <c r="BX582" s="1" t="s">
        <v>82</v>
      </c>
      <c r="BY582" s="1" t="s">
        <v>108</v>
      </c>
      <c r="BZ582" s="1" t="s">
        <v>11178</v>
      </c>
      <c r="CA582" s="1" t="str">
        <f>HYPERLINK("https%3A%2F%2Fwww.webofscience.com%2Fwos%2Fwoscc%2Ffull-record%2FWOS:000789696900001","View Full Record in Web of Science")</f>
        <v>View Full Record in Web of Science</v>
      </c>
    </row>
    <row r="583" s="1" customFormat="1" ht="14.4" spans="1:79">
      <c r="A583">
        <v>582</v>
      </c>
      <c r="B583" s="2" t="s">
        <v>79</v>
      </c>
      <c r="C583" s="1" t="s">
        <v>80</v>
      </c>
      <c r="D583" s="1" t="s">
        <v>11179</v>
      </c>
      <c r="E583" s="1" t="s">
        <v>82</v>
      </c>
      <c r="F583" s="1" t="s">
        <v>82</v>
      </c>
      <c r="G583" s="1" t="s">
        <v>82</v>
      </c>
      <c r="H583" s="1" t="s">
        <v>11180</v>
      </c>
      <c r="I583" s="1" t="s">
        <v>82</v>
      </c>
      <c r="J583" s="1" t="s">
        <v>82</v>
      </c>
      <c r="K583" s="1" t="s">
        <v>11181</v>
      </c>
      <c r="L583" s="1" t="s">
        <v>11158</v>
      </c>
      <c r="M583" s="1">
        <v>2.493</v>
      </c>
      <c r="O583" s="1" t="s">
        <v>82</v>
      </c>
      <c r="P583" s="1" t="s">
        <v>82</v>
      </c>
      <c r="Q583" s="1" t="s">
        <v>87</v>
      </c>
      <c r="R583" s="1" t="s">
        <v>115</v>
      </c>
      <c r="S583" s="1" t="s">
        <v>82</v>
      </c>
      <c r="T583" s="1" t="s">
        <v>82</v>
      </c>
      <c r="U583" s="1" t="s">
        <v>82</v>
      </c>
      <c r="V583" s="1" t="s">
        <v>82</v>
      </c>
      <c r="W583" s="1" t="s">
        <v>82</v>
      </c>
      <c r="X583" s="1" t="s">
        <v>11182</v>
      </c>
      <c r="Y583" s="1" t="s">
        <v>11183</v>
      </c>
      <c r="Z583" s="1" t="s">
        <v>11184</v>
      </c>
      <c r="AB583" s="1" t="s">
        <v>11185</v>
      </c>
      <c r="AC583" s="1" t="s">
        <v>11186</v>
      </c>
      <c r="AD583" s="1" t="s">
        <v>120</v>
      </c>
      <c r="AE583" s="1" t="s">
        <v>11187</v>
      </c>
      <c r="AF583" s="1" t="s">
        <v>11188</v>
      </c>
      <c r="AG583" s="1" t="s">
        <v>8742</v>
      </c>
      <c r="AH583" s="1" t="s">
        <v>5585</v>
      </c>
      <c r="AI583" s="1" t="s">
        <v>5586</v>
      </c>
      <c r="AJ583" s="1" t="s">
        <v>11189</v>
      </c>
      <c r="AK583" s="1" t="s">
        <v>11190</v>
      </c>
      <c r="AL583" s="1" t="s">
        <v>11191</v>
      </c>
      <c r="AM583" s="1" t="s">
        <v>82</v>
      </c>
      <c r="AN583" s="1">
        <v>56</v>
      </c>
      <c r="AO583" s="1">
        <v>1</v>
      </c>
      <c r="AP583" s="1">
        <v>1</v>
      </c>
      <c r="AQ583" s="1">
        <v>4</v>
      </c>
      <c r="AR583" s="1">
        <v>8</v>
      </c>
      <c r="AS583" s="1" t="s">
        <v>479</v>
      </c>
      <c r="AT583" s="1" t="s">
        <v>480</v>
      </c>
      <c r="AU583" s="1" t="s">
        <v>481</v>
      </c>
      <c r="AV583" s="1" t="s">
        <v>11171</v>
      </c>
      <c r="AW583" s="1" t="s">
        <v>11172</v>
      </c>
      <c r="AX583" s="1" t="s">
        <v>82</v>
      </c>
      <c r="AY583" s="1" t="s">
        <v>11173</v>
      </c>
      <c r="AZ583" s="1" t="s">
        <v>11174</v>
      </c>
      <c r="BA583" s="1" t="s">
        <v>2145</v>
      </c>
      <c r="BB583" s="1">
        <v>2022</v>
      </c>
      <c r="BC583" s="1">
        <v>298</v>
      </c>
      <c r="BD583" s="1" t="s">
        <v>82</v>
      </c>
      <c r="BE583" s="1" t="s">
        <v>82</v>
      </c>
      <c r="BF583" s="1" t="s">
        <v>82</v>
      </c>
      <c r="BG583" s="1" t="s">
        <v>82</v>
      </c>
      <c r="BH583" s="1" t="s">
        <v>82</v>
      </c>
      <c r="BI583" s="1" t="s">
        <v>82</v>
      </c>
      <c r="BJ583" s="1" t="s">
        <v>82</v>
      </c>
      <c r="BK583" s="1">
        <v>104592</v>
      </c>
      <c r="BL583" s="1" t="s">
        <v>11192</v>
      </c>
      <c r="BM583" s="1" t="str">
        <f>HYPERLINK("http://dx.doi.org/10.1016/j.revpalbo.2021.104592","http://dx.doi.org/10.1016/j.revpalbo.2021.104592")</f>
        <v>http://dx.doi.org/10.1016/j.revpalbo.2021.104592</v>
      </c>
      <c r="BN583" s="1" t="s">
        <v>82</v>
      </c>
      <c r="BO583" s="1" t="s">
        <v>1462</v>
      </c>
      <c r="BP583" s="1">
        <v>11</v>
      </c>
      <c r="BQ583" s="1" t="s">
        <v>11176</v>
      </c>
      <c r="BR583" s="1" t="s">
        <v>104</v>
      </c>
      <c r="BS583" s="1" t="s">
        <v>11176</v>
      </c>
      <c r="BT583" s="1" t="s">
        <v>11193</v>
      </c>
      <c r="BU583" s="1" t="s">
        <v>82</v>
      </c>
      <c r="BV583" s="1" t="s">
        <v>82</v>
      </c>
      <c r="BW583" s="1" t="s">
        <v>82</v>
      </c>
      <c r="BX583" s="1" t="s">
        <v>82</v>
      </c>
      <c r="BY583" s="1" t="s">
        <v>108</v>
      </c>
      <c r="BZ583" s="1" t="s">
        <v>11194</v>
      </c>
      <c r="CA583" s="1" t="str">
        <f>HYPERLINK("https%3A%2F%2Fwww.webofscience.com%2Fwos%2Fwoscc%2Ffull-record%2FWOS:000751834300006","View Full Record in Web of Science")</f>
        <v>View Full Record in Web of Science</v>
      </c>
    </row>
    <row r="584" s="1" customFormat="1" ht="14.4" spans="1:79">
      <c r="A584">
        <v>583</v>
      </c>
      <c r="B584" s="2" t="s">
        <v>110</v>
      </c>
      <c r="C584" s="1" t="s">
        <v>80</v>
      </c>
      <c r="D584" s="1" t="s">
        <v>11195</v>
      </c>
      <c r="E584" s="1" t="s">
        <v>82</v>
      </c>
      <c r="F584" s="1" t="s">
        <v>82</v>
      </c>
      <c r="G584" s="1" t="s">
        <v>82</v>
      </c>
      <c r="H584" s="1" t="s">
        <v>11196</v>
      </c>
      <c r="I584" s="1" t="s">
        <v>82</v>
      </c>
      <c r="J584" s="1" t="s">
        <v>82</v>
      </c>
      <c r="K584" s="1" t="s">
        <v>11197</v>
      </c>
      <c r="L584" s="1" t="s">
        <v>11198</v>
      </c>
      <c r="M584" s="1">
        <v>2.488</v>
      </c>
      <c r="O584" s="1" t="s">
        <v>82</v>
      </c>
      <c r="P584" s="1" t="s">
        <v>82</v>
      </c>
      <c r="Q584" s="1" t="s">
        <v>87</v>
      </c>
      <c r="R584" s="1" t="s">
        <v>1624</v>
      </c>
      <c r="S584" s="1" t="s">
        <v>82</v>
      </c>
      <c r="T584" s="1" t="s">
        <v>82</v>
      </c>
      <c r="U584" s="1" t="s">
        <v>82</v>
      </c>
      <c r="V584" s="1" t="s">
        <v>82</v>
      </c>
      <c r="W584" s="1" t="s">
        <v>82</v>
      </c>
      <c r="X584" s="1" t="s">
        <v>11199</v>
      </c>
      <c r="Y584" s="1" t="s">
        <v>11200</v>
      </c>
      <c r="Z584" s="1" t="s">
        <v>11201</v>
      </c>
      <c r="AB584" s="1" t="s">
        <v>11202</v>
      </c>
      <c r="AC584" s="1" t="s">
        <v>11203</v>
      </c>
      <c r="AD584" s="1" t="s">
        <v>120</v>
      </c>
      <c r="AE584" s="1" t="s">
        <v>11204</v>
      </c>
      <c r="AF584" s="1" t="s">
        <v>11205</v>
      </c>
      <c r="AG584" s="1" t="s">
        <v>11206</v>
      </c>
      <c r="AH584" s="1" t="s">
        <v>82</v>
      </c>
      <c r="AI584" s="1" t="s">
        <v>82</v>
      </c>
      <c r="AJ584" s="1" t="s">
        <v>11207</v>
      </c>
      <c r="AK584" s="1" t="s">
        <v>11208</v>
      </c>
      <c r="AL584" s="1" t="s">
        <v>11209</v>
      </c>
      <c r="AM584" s="1" t="s">
        <v>82</v>
      </c>
      <c r="AN584" s="1">
        <v>26</v>
      </c>
      <c r="AO584" s="1">
        <v>0</v>
      </c>
      <c r="AP584" s="1">
        <v>0</v>
      </c>
      <c r="AQ584" s="1">
        <v>2</v>
      </c>
      <c r="AR584" s="1">
        <v>2</v>
      </c>
      <c r="AS584" s="1" t="s">
        <v>8333</v>
      </c>
      <c r="AT584" s="1" t="s">
        <v>8334</v>
      </c>
      <c r="AU584" s="1" t="s">
        <v>8335</v>
      </c>
      <c r="AV584" s="1" t="s">
        <v>11210</v>
      </c>
      <c r="AW584" s="1" t="s">
        <v>11211</v>
      </c>
      <c r="AX584" s="1" t="s">
        <v>82</v>
      </c>
      <c r="AY584" s="1" t="s">
        <v>11212</v>
      </c>
      <c r="AZ584" s="1" t="s">
        <v>11213</v>
      </c>
      <c r="BA584" s="1" t="s">
        <v>82</v>
      </c>
      <c r="BB584" s="1" t="s">
        <v>82</v>
      </c>
      <c r="BC584" s="1" t="s">
        <v>82</v>
      </c>
      <c r="BD584" s="1" t="s">
        <v>82</v>
      </c>
      <c r="BE584" s="1" t="s">
        <v>82</v>
      </c>
      <c r="BF584" s="1" t="s">
        <v>82</v>
      </c>
      <c r="BG584" s="1" t="s">
        <v>82</v>
      </c>
      <c r="BH584" s="1" t="s">
        <v>82</v>
      </c>
      <c r="BI584" s="1" t="s">
        <v>82</v>
      </c>
      <c r="BJ584" s="1" t="s">
        <v>82</v>
      </c>
      <c r="BK584" s="1" t="s">
        <v>82</v>
      </c>
      <c r="BL584" s="1" t="s">
        <v>11214</v>
      </c>
      <c r="BM584" s="1" t="str">
        <f>HYPERLINK("http://dx.doi.org/10.1080/14786419.2022.2155645","http://dx.doi.org/10.1080/14786419.2022.2155645")</f>
        <v>http://dx.doi.org/10.1080/14786419.2022.2155645</v>
      </c>
      <c r="BN584" s="1" t="s">
        <v>82</v>
      </c>
      <c r="BO584" s="1" t="s">
        <v>1618</v>
      </c>
      <c r="BP584" s="1">
        <v>7</v>
      </c>
      <c r="BQ584" s="1" t="s">
        <v>11215</v>
      </c>
      <c r="BR584" s="1" t="s">
        <v>104</v>
      </c>
      <c r="BS584" s="1" t="s">
        <v>2480</v>
      </c>
      <c r="BT584" s="1" t="s">
        <v>11216</v>
      </c>
      <c r="BU584" s="1">
        <v>36484597</v>
      </c>
      <c r="BV584" s="1" t="s">
        <v>427</v>
      </c>
      <c r="BW584" s="1" t="s">
        <v>82</v>
      </c>
      <c r="BX584" s="1" t="s">
        <v>82</v>
      </c>
      <c r="BY584" s="1" t="s">
        <v>108</v>
      </c>
      <c r="BZ584" s="1" t="s">
        <v>11217</v>
      </c>
      <c r="CA584" s="1" t="str">
        <f>HYPERLINK("https%3A%2F%2Fwww.webofscience.com%2Fwos%2Fwoscc%2Ffull-record%2FWOS:000895839300001","View Full Record in Web of Science")</f>
        <v>View Full Record in Web of Science</v>
      </c>
    </row>
    <row r="585" s="1" customFormat="1" ht="14.4" spans="1:79">
      <c r="A585">
        <v>584</v>
      </c>
      <c r="B585" s="2" t="s">
        <v>110</v>
      </c>
      <c r="C585" s="1" t="s">
        <v>80</v>
      </c>
      <c r="D585" s="1" t="s">
        <v>11218</v>
      </c>
      <c r="E585" s="1" t="s">
        <v>82</v>
      </c>
      <c r="F585" s="1" t="s">
        <v>82</v>
      </c>
      <c r="G585" s="1" t="s">
        <v>82</v>
      </c>
      <c r="H585" s="1" t="s">
        <v>11219</v>
      </c>
      <c r="I585" s="1" t="s">
        <v>82</v>
      </c>
      <c r="J585" s="1" t="s">
        <v>82</v>
      </c>
      <c r="K585" s="1" t="s">
        <v>11220</v>
      </c>
      <c r="L585" s="1" t="s">
        <v>11198</v>
      </c>
      <c r="M585" s="1">
        <v>2.488</v>
      </c>
      <c r="O585" s="1" t="s">
        <v>82</v>
      </c>
      <c r="P585" s="1" t="s">
        <v>82</v>
      </c>
      <c r="Q585" s="1" t="s">
        <v>87</v>
      </c>
      <c r="R585" s="1" t="s">
        <v>1624</v>
      </c>
      <c r="S585" s="1" t="s">
        <v>82</v>
      </c>
      <c r="T585" s="1" t="s">
        <v>82</v>
      </c>
      <c r="U585" s="1" t="s">
        <v>82</v>
      </c>
      <c r="V585" s="1" t="s">
        <v>82</v>
      </c>
      <c r="W585" s="1" t="s">
        <v>82</v>
      </c>
      <c r="X585" s="1" t="s">
        <v>11221</v>
      </c>
      <c r="Y585" s="1" t="s">
        <v>11222</v>
      </c>
      <c r="Z585" s="1" t="s">
        <v>11223</v>
      </c>
      <c r="AA585" s="1">
        <v>1</v>
      </c>
      <c r="AB585" s="1" t="s">
        <v>11224</v>
      </c>
      <c r="AC585" s="1" t="s">
        <v>11225</v>
      </c>
      <c r="AD585" s="1" t="s">
        <v>93</v>
      </c>
      <c r="AE585" s="1" t="s">
        <v>1630</v>
      </c>
      <c r="AF585" s="1" t="s">
        <v>11226</v>
      </c>
      <c r="AG585" s="1" t="s">
        <v>4504</v>
      </c>
      <c r="AH585" s="1" t="s">
        <v>11227</v>
      </c>
      <c r="AI585" s="1" t="s">
        <v>11228</v>
      </c>
      <c r="AJ585" s="1" t="s">
        <v>11229</v>
      </c>
      <c r="AK585" s="1" t="s">
        <v>11230</v>
      </c>
      <c r="AL585" s="1" t="s">
        <v>11231</v>
      </c>
      <c r="AM585" s="1" t="s">
        <v>82</v>
      </c>
      <c r="AN585" s="1">
        <v>19</v>
      </c>
      <c r="AO585" s="1">
        <v>1</v>
      </c>
      <c r="AP585" s="1">
        <v>1</v>
      </c>
      <c r="AQ585" s="1">
        <v>4</v>
      </c>
      <c r="AR585" s="1">
        <v>5</v>
      </c>
      <c r="AS585" s="1" t="s">
        <v>8333</v>
      </c>
      <c r="AT585" s="1" t="s">
        <v>8334</v>
      </c>
      <c r="AU585" s="1" t="s">
        <v>8335</v>
      </c>
      <c r="AV585" s="1" t="s">
        <v>11210</v>
      </c>
      <c r="AW585" s="1" t="s">
        <v>11211</v>
      </c>
      <c r="AX585" s="1" t="s">
        <v>82</v>
      </c>
      <c r="AY585" s="1" t="s">
        <v>11212</v>
      </c>
      <c r="AZ585" s="1" t="s">
        <v>11213</v>
      </c>
      <c r="BA585" s="1" t="s">
        <v>82</v>
      </c>
      <c r="BB585" s="1" t="s">
        <v>82</v>
      </c>
      <c r="BC585" s="1" t="s">
        <v>82</v>
      </c>
      <c r="BD585" s="1" t="s">
        <v>82</v>
      </c>
      <c r="BE585" s="1" t="s">
        <v>82</v>
      </c>
      <c r="BF585" s="1" t="s">
        <v>82</v>
      </c>
      <c r="BG585" s="1" t="s">
        <v>82</v>
      </c>
      <c r="BH585" s="1" t="s">
        <v>82</v>
      </c>
      <c r="BI585" s="1" t="s">
        <v>82</v>
      </c>
      <c r="BJ585" s="1" t="s">
        <v>82</v>
      </c>
      <c r="BK585" s="1" t="s">
        <v>82</v>
      </c>
      <c r="BL585" s="1" t="s">
        <v>11232</v>
      </c>
      <c r="BM585" s="1" t="str">
        <f>HYPERLINK("http://dx.doi.org/10.1080/14786419.2022.2116704","http://dx.doi.org/10.1080/14786419.2022.2116704")</f>
        <v>http://dx.doi.org/10.1080/14786419.2022.2116704</v>
      </c>
      <c r="BN585" s="1" t="s">
        <v>82</v>
      </c>
      <c r="BO585" s="1" t="s">
        <v>424</v>
      </c>
      <c r="BP585" s="1">
        <v>7</v>
      </c>
      <c r="BQ585" s="1" t="s">
        <v>11215</v>
      </c>
      <c r="BR585" s="1" t="s">
        <v>104</v>
      </c>
      <c r="BS585" s="1" t="s">
        <v>2480</v>
      </c>
      <c r="BT585" s="1" t="s">
        <v>11233</v>
      </c>
      <c r="BU585" s="1">
        <v>36008870</v>
      </c>
      <c r="BV585" s="1" t="s">
        <v>427</v>
      </c>
      <c r="BW585" s="1" t="s">
        <v>82</v>
      </c>
      <c r="BX585" s="1" t="s">
        <v>82</v>
      </c>
      <c r="BY585" s="1" t="s">
        <v>108</v>
      </c>
      <c r="BZ585" s="1" t="s">
        <v>11234</v>
      </c>
      <c r="CA585" s="1" t="str">
        <f>HYPERLINK("https%3A%2F%2Fwww.webofscience.com%2Fwos%2Fwoscc%2Ffull-record%2FWOS:000844729100001","View Full Record in Web of Science")</f>
        <v>View Full Record in Web of Science</v>
      </c>
    </row>
    <row r="586" s="1" customFormat="1" ht="14.4" spans="1:79">
      <c r="A586">
        <v>585</v>
      </c>
      <c r="B586" s="2" t="s">
        <v>110</v>
      </c>
      <c r="C586" s="1" t="s">
        <v>80</v>
      </c>
      <c r="D586" s="1" t="s">
        <v>11235</v>
      </c>
      <c r="E586" s="1" t="s">
        <v>82</v>
      </c>
      <c r="F586" s="1" t="s">
        <v>82</v>
      </c>
      <c r="G586" s="1" t="s">
        <v>82</v>
      </c>
      <c r="H586" s="1" t="s">
        <v>11236</v>
      </c>
      <c r="I586" s="1" t="s">
        <v>82</v>
      </c>
      <c r="J586" s="1" t="s">
        <v>82</v>
      </c>
      <c r="K586" s="1" t="s">
        <v>11237</v>
      </c>
      <c r="L586" s="1" t="s">
        <v>11198</v>
      </c>
      <c r="M586" s="1">
        <v>2.488</v>
      </c>
      <c r="O586" s="1" t="s">
        <v>82</v>
      </c>
      <c r="P586" s="1" t="s">
        <v>82</v>
      </c>
      <c r="Q586" s="1" t="s">
        <v>87</v>
      </c>
      <c r="R586" s="1" t="s">
        <v>1624</v>
      </c>
      <c r="S586" s="1" t="s">
        <v>82</v>
      </c>
      <c r="T586" s="1" t="s">
        <v>82</v>
      </c>
      <c r="U586" s="1" t="s">
        <v>82</v>
      </c>
      <c r="V586" s="1" t="s">
        <v>82</v>
      </c>
      <c r="W586" s="1" t="s">
        <v>82</v>
      </c>
      <c r="X586" s="1" t="s">
        <v>11238</v>
      </c>
      <c r="Y586" s="1" t="s">
        <v>11239</v>
      </c>
      <c r="Z586" s="1" t="s">
        <v>11240</v>
      </c>
      <c r="AB586" s="1" t="s">
        <v>11241</v>
      </c>
      <c r="AC586" s="1" t="s">
        <v>11242</v>
      </c>
      <c r="AD586" s="1" t="s">
        <v>206</v>
      </c>
      <c r="AE586" s="1" t="s">
        <v>11243</v>
      </c>
      <c r="AF586" s="1" t="s">
        <v>11244</v>
      </c>
      <c r="AG586" s="1" t="s">
        <v>11245</v>
      </c>
      <c r="AH586" s="1" t="s">
        <v>11246</v>
      </c>
      <c r="AI586" s="1" t="s">
        <v>1503</v>
      </c>
      <c r="AJ586" s="1" t="s">
        <v>11247</v>
      </c>
      <c r="AK586" s="1" t="s">
        <v>11248</v>
      </c>
      <c r="AL586" s="1" t="s">
        <v>11249</v>
      </c>
      <c r="AM586" s="1" t="s">
        <v>82</v>
      </c>
      <c r="AN586" s="1">
        <v>19</v>
      </c>
      <c r="AO586" s="1">
        <v>0</v>
      </c>
      <c r="AP586" s="1">
        <v>0</v>
      </c>
      <c r="AQ586" s="1">
        <v>10</v>
      </c>
      <c r="AR586" s="1">
        <v>10</v>
      </c>
      <c r="AS586" s="1" t="s">
        <v>8333</v>
      </c>
      <c r="AT586" s="1" t="s">
        <v>8334</v>
      </c>
      <c r="AU586" s="1" t="s">
        <v>8335</v>
      </c>
      <c r="AV586" s="1" t="s">
        <v>11210</v>
      </c>
      <c r="AW586" s="1" t="s">
        <v>11211</v>
      </c>
      <c r="AX586" s="1" t="s">
        <v>82</v>
      </c>
      <c r="AY586" s="1" t="s">
        <v>11212</v>
      </c>
      <c r="AZ586" s="1" t="s">
        <v>11213</v>
      </c>
      <c r="BA586" s="1" t="s">
        <v>82</v>
      </c>
      <c r="BB586" s="1" t="s">
        <v>82</v>
      </c>
      <c r="BC586" s="1" t="s">
        <v>82</v>
      </c>
      <c r="BD586" s="1" t="s">
        <v>82</v>
      </c>
      <c r="BE586" s="1" t="s">
        <v>82</v>
      </c>
      <c r="BF586" s="1" t="s">
        <v>82</v>
      </c>
      <c r="BG586" s="1" t="s">
        <v>82</v>
      </c>
      <c r="BH586" s="1" t="s">
        <v>82</v>
      </c>
      <c r="BI586" s="1" t="s">
        <v>82</v>
      </c>
      <c r="BJ586" s="1" t="s">
        <v>82</v>
      </c>
      <c r="BK586" s="1" t="s">
        <v>82</v>
      </c>
      <c r="BL586" s="1" t="s">
        <v>11250</v>
      </c>
      <c r="BM586" s="1" t="str">
        <f>HYPERLINK("http://dx.doi.org/10.1080/14786419.2022.2097228","http://dx.doi.org/10.1080/14786419.2022.2097228")</f>
        <v>http://dx.doi.org/10.1080/14786419.2022.2097228</v>
      </c>
      <c r="BN586" s="1" t="s">
        <v>82</v>
      </c>
      <c r="BO586" s="1" t="s">
        <v>1298</v>
      </c>
      <c r="BP586" s="1">
        <v>7</v>
      </c>
      <c r="BQ586" s="1" t="s">
        <v>11215</v>
      </c>
      <c r="BR586" s="1" t="s">
        <v>104</v>
      </c>
      <c r="BS586" s="1" t="s">
        <v>2480</v>
      </c>
      <c r="BT586" s="1" t="s">
        <v>11251</v>
      </c>
      <c r="BU586" s="1">
        <v>35793443</v>
      </c>
      <c r="BV586" s="1" t="s">
        <v>82</v>
      </c>
      <c r="BW586" s="1" t="s">
        <v>82</v>
      </c>
      <c r="BX586" s="1" t="s">
        <v>82</v>
      </c>
      <c r="BY586" s="1" t="s">
        <v>108</v>
      </c>
      <c r="BZ586" s="1" t="s">
        <v>11252</v>
      </c>
      <c r="CA586" s="1" t="str">
        <f>HYPERLINK("https%3A%2F%2Fwww.webofscience.com%2Fwos%2Fwoscc%2Ffull-record%2FWOS:000825248400001","View Full Record in Web of Science")</f>
        <v>View Full Record in Web of Science</v>
      </c>
    </row>
    <row r="587" s="1" customFormat="1" ht="14.4" spans="1:79">
      <c r="A587">
        <v>586</v>
      </c>
      <c r="B587" s="2" t="s">
        <v>79</v>
      </c>
      <c r="C587" s="1" t="s">
        <v>80</v>
      </c>
      <c r="D587" s="1" t="s">
        <v>11253</v>
      </c>
      <c r="E587" s="1" t="s">
        <v>82</v>
      </c>
      <c r="F587" s="1" t="s">
        <v>82</v>
      </c>
      <c r="G587" s="1" t="s">
        <v>82</v>
      </c>
      <c r="H587" s="1" t="s">
        <v>11254</v>
      </c>
      <c r="I587" s="1" t="s">
        <v>82</v>
      </c>
      <c r="J587" s="1" t="s">
        <v>82</v>
      </c>
      <c r="K587" s="1" t="s">
        <v>11255</v>
      </c>
      <c r="L587" s="1" t="s">
        <v>11198</v>
      </c>
      <c r="M587" s="1">
        <v>2.488</v>
      </c>
      <c r="O587" s="1" t="s">
        <v>82</v>
      </c>
      <c r="P587" s="1" t="s">
        <v>82</v>
      </c>
      <c r="Q587" s="1" t="s">
        <v>87</v>
      </c>
      <c r="R587" s="1" t="s">
        <v>115</v>
      </c>
      <c r="S587" s="1" t="s">
        <v>82</v>
      </c>
      <c r="T587" s="1" t="s">
        <v>82</v>
      </c>
      <c r="U587" s="1" t="s">
        <v>82</v>
      </c>
      <c r="V587" s="1" t="s">
        <v>82</v>
      </c>
      <c r="W587" s="1" t="s">
        <v>82</v>
      </c>
      <c r="X587" s="1" t="s">
        <v>11256</v>
      </c>
      <c r="Y587" s="1" t="s">
        <v>11257</v>
      </c>
      <c r="Z587" s="1" t="s">
        <v>11258</v>
      </c>
      <c r="AB587" s="1" t="s">
        <v>11259</v>
      </c>
      <c r="AC587" s="1" t="s">
        <v>11260</v>
      </c>
      <c r="AD587" s="1" t="s">
        <v>206</v>
      </c>
      <c r="AE587" s="1" t="s">
        <v>11261</v>
      </c>
      <c r="AF587" s="1" t="s">
        <v>11262</v>
      </c>
      <c r="AG587" s="1" t="s">
        <v>11263</v>
      </c>
      <c r="AH587" s="1" t="s">
        <v>82</v>
      </c>
      <c r="AI587" s="1" t="s">
        <v>82</v>
      </c>
      <c r="AJ587" s="1" t="s">
        <v>11264</v>
      </c>
      <c r="AK587" s="1" t="s">
        <v>11265</v>
      </c>
      <c r="AL587" s="1" t="s">
        <v>11266</v>
      </c>
      <c r="AM587" s="1" t="s">
        <v>82</v>
      </c>
      <c r="AN587" s="1">
        <v>25</v>
      </c>
      <c r="AO587" s="1">
        <v>0</v>
      </c>
      <c r="AP587" s="1">
        <v>0</v>
      </c>
      <c r="AQ587" s="1">
        <v>3</v>
      </c>
      <c r="AR587" s="1">
        <v>13</v>
      </c>
      <c r="AS587" s="1" t="s">
        <v>8333</v>
      </c>
      <c r="AT587" s="1" t="s">
        <v>8334</v>
      </c>
      <c r="AU587" s="1" t="s">
        <v>8335</v>
      </c>
      <c r="AV587" s="1" t="s">
        <v>11210</v>
      </c>
      <c r="AW587" s="1" t="s">
        <v>11211</v>
      </c>
      <c r="AX587" s="1" t="s">
        <v>82</v>
      </c>
      <c r="AY587" s="1" t="s">
        <v>11212</v>
      </c>
      <c r="AZ587" s="1" t="s">
        <v>11213</v>
      </c>
      <c r="BA587" s="1" t="s">
        <v>1276</v>
      </c>
      <c r="BB587" s="1">
        <v>2022</v>
      </c>
      <c r="BC587" s="1">
        <v>36</v>
      </c>
      <c r="BD587" s="1">
        <v>21</v>
      </c>
      <c r="BE587" s="1" t="s">
        <v>82</v>
      </c>
      <c r="BF587" s="1" t="s">
        <v>82</v>
      </c>
      <c r="BG587" s="1" t="s">
        <v>82</v>
      </c>
      <c r="BH587" s="1" t="s">
        <v>82</v>
      </c>
      <c r="BI587" s="1">
        <v>5470</v>
      </c>
      <c r="BJ587" s="1">
        <v>5475</v>
      </c>
      <c r="BK587" s="1" t="s">
        <v>82</v>
      </c>
      <c r="BL587" s="1" t="s">
        <v>11267</v>
      </c>
      <c r="BM587" s="1" t="str">
        <f>HYPERLINK("http://dx.doi.org/10.1080/14786419.2021.2015596","http://dx.doi.org/10.1080/14786419.2021.2015596")</f>
        <v>http://dx.doi.org/10.1080/14786419.2021.2015596</v>
      </c>
      <c r="BN587" s="1" t="s">
        <v>82</v>
      </c>
      <c r="BO587" s="1" t="s">
        <v>1462</v>
      </c>
      <c r="BP587" s="1">
        <v>6</v>
      </c>
      <c r="BQ587" s="1" t="s">
        <v>11215</v>
      </c>
      <c r="BR587" s="1" t="s">
        <v>104</v>
      </c>
      <c r="BS587" s="1" t="s">
        <v>2480</v>
      </c>
      <c r="BT587" s="1" t="s">
        <v>11268</v>
      </c>
      <c r="BU587" s="1">
        <v>34933610</v>
      </c>
      <c r="BV587" s="1" t="s">
        <v>427</v>
      </c>
      <c r="BW587" s="1" t="s">
        <v>82</v>
      </c>
      <c r="BX587" s="1" t="s">
        <v>82</v>
      </c>
      <c r="BY587" s="1" t="s">
        <v>108</v>
      </c>
      <c r="BZ587" s="1" t="s">
        <v>11269</v>
      </c>
      <c r="CA587" s="1" t="str">
        <f>HYPERLINK("https%3A%2F%2Fwww.webofscience.com%2Fwos%2Fwoscc%2Ffull-record%2FWOS:000734241700001","View Full Record in Web of Science")</f>
        <v>View Full Record in Web of Science</v>
      </c>
    </row>
    <row r="588" s="1" customFormat="1" ht="14.4" spans="1:79">
      <c r="A588">
        <v>587</v>
      </c>
      <c r="B588" s="2" t="s">
        <v>110</v>
      </c>
      <c r="C588" s="1" t="s">
        <v>80</v>
      </c>
      <c r="D588" s="1" t="s">
        <v>11270</v>
      </c>
      <c r="E588" s="1" t="s">
        <v>82</v>
      </c>
      <c r="F588" s="1" t="s">
        <v>82</v>
      </c>
      <c r="G588" s="1" t="s">
        <v>82</v>
      </c>
      <c r="H588" s="1" t="s">
        <v>11271</v>
      </c>
      <c r="I588" s="1" t="s">
        <v>82</v>
      </c>
      <c r="J588" s="1" t="s">
        <v>82</v>
      </c>
      <c r="K588" s="1" t="s">
        <v>11272</v>
      </c>
      <c r="L588" s="1" t="s">
        <v>11198</v>
      </c>
      <c r="M588" s="1">
        <v>2.488</v>
      </c>
      <c r="O588" s="1" t="s">
        <v>82</v>
      </c>
      <c r="P588" s="1" t="s">
        <v>82</v>
      </c>
      <c r="Q588" s="1" t="s">
        <v>87</v>
      </c>
      <c r="R588" s="1" t="s">
        <v>115</v>
      </c>
      <c r="S588" s="1" t="s">
        <v>82</v>
      </c>
      <c r="T588" s="1" t="s">
        <v>82</v>
      </c>
      <c r="U588" s="1" t="s">
        <v>82</v>
      </c>
      <c r="V588" s="1" t="s">
        <v>82</v>
      </c>
      <c r="W588" s="1" t="s">
        <v>82</v>
      </c>
      <c r="X588" s="1" t="s">
        <v>11273</v>
      </c>
      <c r="Y588" s="1" t="s">
        <v>11274</v>
      </c>
      <c r="Z588" s="1" t="s">
        <v>11275</v>
      </c>
      <c r="AB588" s="1" t="s">
        <v>11276</v>
      </c>
      <c r="AC588" s="1" t="s">
        <v>11277</v>
      </c>
      <c r="AD588" s="1" t="s">
        <v>120</v>
      </c>
      <c r="AE588" s="1" t="s">
        <v>94</v>
      </c>
      <c r="AF588" s="1" t="s">
        <v>11278</v>
      </c>
      <c r="AG588" s="1" t="s">
        <v>11279</v>
      </c>
      <c r="AH588" s="1" t="s">
        <v>82</v>
      </c>
      <c r="AI588" s="1" t="s">
        <v>11280</v>
      </c>
      <c r="AJ588" s="1" t="s">
        <v>82</v>
      </c>
      <c r="AK588" s="1" t="s">
        <v>82</v>
      </c>
      <c r="AL588" s="1" t="s">
        <v>82</v>
      </c>
      <c r="AM588" s="1" t="s">
        <v>82</v>
      </c>
      <c r="AN588" s="1">
        <v>42</v>
      </c>
      <c r="AO588" s="1">
        <v>2</v>
      </c>
      <c r="AP588" s="1">
        <v>2</v>
      </c>
      <c r="AQ588" s="1">
        <v>3</v>
      </c>
      <c r="AR588" s="1">
        <v>4</v>
      </c>
      <c r="AS588" s="1" t="s">
        <v>8333</v>
      </c>
      <c r="AT588" s="1" t="s">
        <v>8334</v>
      </c>
      <c r="AU588" s="1" t="s">
        <v>8335</v>
      </c>
      <c r="AV588" s="1" t="s">
        <v>11210</v>
      </c>
      <c r="AW588" s="1" t="s">
        <v>11211</v>
      </c>
      <c r="AX588" s="1" t="s">
        <v>82</v>
      </c>
      <c r="AY588" s="1" t="s">
        <v>11212</v>
      </c>
      <c r="AZ588" s="1" t="s">
        <v>11213</v>
      </c>
      <c r="BA588" s="1" t="s">
        <v>3225</v>
      </c>
      <c r="BB588" s="1">
        <v>2022</v>
      </c>
      <c r="BC588" s="1">
        <v>36</v>
      </c>
      <c r="BD588" s="1">
        <v>18</v>
      </c>
      <c r="BE588" s="1" t="s">
        <v>82</v>
      </c>
      <c r="BF588" s="1" t="s">
        <v>82</v>
      </c>
      <c r="BG588" s="1" t="s">
        <v>82</v>
      </c>
      <c r="BH588" s="1" t="s">
        <v>82</v>
      </c>
      <c r="BI588" s="1">
        <v>4587</v>
      </c>
      <c r="BJ588" s="1">
        <v>4596</v>
      </c>
      <c r="BK588" s="1" t="s">
        <v>82</v>
      </c>
      <c r="BL588" s="1" t="s">
        <v>11281</v>
      </c>
      <c r="BM588" s="1" t="str">
        <f>HYPERLINK("http://dx.doi.org/10.1080/14786419.2021.1999946","http://dx.doi.org/10.1080/14786419.2021.1999946")</f>
        <v>http://dx.doi.org/10.1080/14786419.2021.1999946</v>
      </c>
      <c r="BN588" s="1" t="s">
        <v>82</v>
      </c>
      <c r="BO588" s="1" t="s">
        <v>1233</v>
      </c>
      <c r="BP588" s="1">
        <v>10</v>
      </c>
      <c r="BQ588" s="1" t="s">
        <v>11215</v>
      </c>
      <c r="BR588" s="1" t="s">
        <v>104</v>
      </c>
      <c r="BS588" s="1" t="s">
        <v>2480</v>
      </c>
      <c r="BT588" s="1" t="s">
        <v>11282</v>
      </c>
      <c r="BU588" s="1">
        <v>34727811</v>
      </c>
      <c r="BV588" s="1" t="s">
        <v>427</v>
      </c>
      <c r="BW588" s="1" t="s">
        <v>82</v>
      </c>
      <c r="BX588" s="1" t="s">
        <v>82</v>
      </c>
      <c r="BY588" s="1" t="s">
        <v>108</v>
      </c>
      <c r="BZ588" s="1" t="s">
        <v>11283</v>
      </c>
      <c r="CA588" s="1" t="str">
        <f>HYPERLINK("https%3A%2F%2Fwww.webofscience.com%2Fwos%2Fwoscc%2Ffull-record%2FWOS:000714260500001","View Full Record in Web of Science")</f>
        <v>View Full Record in Web of Science</v>
      </c>
    </row>
    <row r="589" s="1" customFormat="1" ht="14.4" spans="1:79">
      <c r="A589">
        <v>588</v>
      </c>
      <c r="B589" s="2" t="s">
        <v>110</v>
      </c>
      <c r="C589" s="1" t="s">
        <v>80</v>
      </c>
      <c r="D589" s="1" t="s">
        <v>11284</v>
      </c>
      <c r="E589" s="1" t="s">
        <v>82</v>
      </c>
      <c r="F589" s="1" t="s">
        <v>82</v>
      </c>
      <c r="G589" s="1" t="s">
        <v>82</v>
      </c>
      <c r="H589" s="1" t="s">
        <v>11285</v>
      </c>
      <c r="I589" s="1" t="s">
        <v>82</v>
      </c>
      <c r="J589" s="1" t="s">
        <v>82</v>
      </c>
      <c r="K589" s="1" t="s">
        <v>11286</v>
      </c>
      <c r="L589" s="1" t="s">
        <v>11198</v>
      </c>
      <c r="M589" s="1">
        <v>2.488</v>
      </c>
      <c r="O589" s="1" t="s">
        <v>82</v>
      </c>
      <c r="P589" s="1" t="s">
        <v>82</v>
      </c>
      <c r="Q589" s="1" t="s">
        <v>87</v>
      </c>
      <c r="R589" s="1" t="s">
        <v>115</v>
      </c>
      <c r="S589" s="1" t="s">
        <v>82</v>
      </c>
      <c r="T589" s="1" t="s">
        <v>82</v>
      </c>
      <c r="U589" s="1" t="s">
        <v>82</v>
      </c>
      <c r="V589" s="1" t="s">
        <v>82</v>
      </c>
      <c r="W589" s="1" t="s">
        <v>82</v>
      </c>
      <c r="X589" s="1" t="s">
        <v>11287</v>
      </c>
      <c r="Y589" s="1" t="s">
        <v>82</v>
      </c>
      <c r="Z589" s="1" t="s">
        <v>11288</v>
      </c>
      <c r="AA589" s="1">
        <v>1</v>
      </c>
      <c r="AB589" s="1" t="s">
        <v>11289</v>
      </c>
      <c r="AC589" s="1" t="s">
        <v>11290</v>
      </c>
      <c r="AD589" s="1" t="s">
        <v>93</v>
      </c>
      <c r="AE589" s="1" t="s">
        <v>8161</v>
      </c>
      <c r="AF589" s="1" t="s">
        <v>11291</v>
      </c>
      <c r="AG589" s="1" t="s">
        <v>11292</v>
      </c>
      <c r="AH589" s="1" t="s">
        <v>82</v>
      </c>
      <c r="AI589" s="1" t="s">
        <v>2672</v>
      </c>
      <c r="AJ589" s="1" t="s">
        <v>11293</v>
      </c>
      <c r="AK589" s="1" t="s">
        <v>442</v>
      </c>
      <c r="AL589" s="1" t="s">
        <v>11294</v>
      </c>
      <c r="AM589" s="1" t="s">
        <v>82</v>
      </c>
      <c r="AN589" s="1">
        <v>17</v>
      </c>
      <c r="AO589" s="1">
        <v>2</v>
      </c>
      <c r="AP589" s="1">
        <v>2</v>
      </c>
      <c r="AQ589" s="1">
        <v>10</v>
      </c>
      <c r="AR589" s="1">
        <v>32</v>
      </c>
      <c r="AS589" s="1" t="s">
        <v>8333</v>
      </c>
      <c r="AT589" s="1" t="s">
        <v>8334</v>
      </c>
      <c r="AU589" s="1" t="s">
        <v>8335</v>
      </c>
      <c r="AV589" s="1" t="s">
        <v>11210</v>
      </c>
      <c r="AW589" s="1" t="s">
        <v>11211</v>
      </c>
      <c r="AX589" s="1" t="s">
        <v>82</v>
      </c>
      <c r="AY589" s="1" t="s">
        <v>11212</v>
      </c>
      <c r="AZ589" s="1" t="s">
        <v>11213</v>
      </c>
      <c r="BA589" s="1" t="s">
        <v>589</v>
      </c>
      <c r="BB589" s="1">
        <v>2022</v>
      </c>
      <c r="BC589" s="1">
        <v>36</v>
      </c>
      <c r="BD589" s="1">
        <v>12</v>
      </c>
      <c r="BE589" s="1" t="s">
        <v>82</v>
      </c>
      <c r="BF589" s="1" t="s">
        <v>82</v>
      </c>
      <c r="BG589" s="1" t="s">
        <v>82</v>
      </c>
      <c r="BH589" s="1" t="s">
        <v>82</v>
      </c>
      <c r="BI589" s="1">
        <v>3207</v>
      </c>
      <c r="BJ589" s="1">
        <v>3210</v>
      </c>
      <c r="BK589" s="1" t="s">
        <v>82</v>
      </c>
      <c r="BL589" s="1" t="s">
        <v>11295</v>
      </c>
      <c r="BM589" s="1" t="str">
        <f>HYPERLINK("http://dx.doi.org/10.1080/14786419.2021.1955881","http://dx.doi.org/10.1080/14786419.2021.1955881")</f>
        <v>http://dx.doi.org/10.1080/14786419.2021.1955881</v>
      </c>
      <c r="BN589" s="1" t="s">
        <v>82</v>
      </c>
      <c r="BO589" s="1" t="s">
        <v>8711</v>
      </c>
      <c r="BP589" s="1">
        <v>4</v>
      </c>
      <c r="BQ589" s="1" t="s">
        <v>11215</v>
      </c>
      <c r="BR589" s="1" t="s">
        <v>104</v>
      </c>
      <c r="BS589" s="1" t="s">
        <v>2480</v>
      </c>
      <c r="BT589" s="1" t="s">
        <v>11296</v>
      </c>
      <c r="BU589" s="1">
        <v>34498970</v>
      </c>
      <c r="BV589" s="1" t="s">
        <v>82</v>
      </c>
      <c r="BW589" s="1" t="s">
        <v>82</v>
      </c>
      <c r="BX589" s="1" t="s">
        <v>82</v>
      </c>
      <c r="BY589" s="1" t="s">
        <v>108</v>
      </c>
      <c r="BZ589" s="1" t="s">
        <v>11297</v>
      </c>
      <c r="CA589" s="1" t="str">
        <f>HYPERLINK("https%3A%2F%2Fwww.webofscience.com%2Fwos%2Fwoscc%2Ffull-record%2FWOS:000675701600001","View Full Record in Web of Science")</f>
        <v>View Full Record in Web of Science</v>
      </c>
    </row>
    <row r="590" s="1" customFormat="1" ht="14.4" spans="1:79">
      <c r="A590">
        <v>589</v>
      </c>
      <c r="B590" s="2" t="s">
        <v>110</v>
      </c>
      <c r="C590" s="1" t="s">
        <v>80</v>
      </c>
      <c r="D590" s="1" t="s">
        <v>11298</v>
      </c>
      <c r="E590" s="1" t="s">
        <v>82</v>
      </c>
      <c r="F590" s="1" t="s">
        <v>82</v>
      </c>
      <c r="G590" s="1" t="s">
        <v>82</v>
      </c>
      <c r="H590" s="1" t="s">
        <v>11299</v>
      </c>
      <c r="I590" s="1" t="s">
        <v>82</v>
      </c>
      <c r="J590" s="1" t="s">
        <v>82</v>
      </c>
      <c r="K590" s="1" t="s">
        <v>11300</v>
      </c>
      <c r="L590" s="1" t="s">
        <v>11198</v>
      </c>
      <c r="M590" s="1">
        <v>2.488</v>
      </c>
      <c r="O590" s="1" t="s">
        <v>82</v>
      </c>
      <c r="P590" s="1" t="s">
        <v>82</v>
      </c>
      <c r="Q590" s="1" t="s">
        <v>87</v>
      </c>
      <c r="R590" s="1" t="s">
        <v>115</v>
      </c>
      <c r="S590" s="1" t="s">
        <v>82</v>
      </c>
      <c r="T590" s="1" t="s">
        <v>82</v>
      </c>
      <c r="U590" s="1" t="s">
        <v>82</v>
      </c>
      <c r="V590" s="1" t="s">
        <v>82</v>
      </c>
      <c r="W590" s="1" t="s">
        <v>82</v>
      </c>
      <c r="X590" s="1" t="s">
        <v>11301</v>
      </c>
      <c r="Y590" s="1" t="s">
        <v>11302</v>
      </c>
      <c r="Z590" s="1" t="s">
        <v>11303</v>
      </c>
      <c r="AA590" s="1">
        <v>1</v>
      </c>
      <c r="AB590" s="1" t="s">
        <v>11304</v>
      </c>
      <c r="AC590" s="1" t="s">
        <v>11305</v>
      </c>
      <c r="AD590" s="1" t="s">
        <v>93</v>
      </c>
      <c r="AE590" s="1" t="s">
        <v>11306</v>
      </c>
      <c r="AF590" s="1" t="s">
        <v>11307</v>
      </c>
      <c r="AG590" s="1" t="s">
        <v>5967</v>
      </c>
      <c r="AH590" s="1" t="s">
        <v>82</v>
      </c>
      <c r="AI590" s="1" t="s">
        <v>82</v>
      </c>
      <c r="AJ590" s="1" t="s">
        <v>11308</v>
      </c>
      <c r="AK590" s="1" t="s">
        <v>11309</v>
      </c>
      <c r="AL590" s="1" t="s">
        <v>11310</v>
      </c>
      <c r="AM590" s="1" t="s">
        <v>82</v>
      </c>
      <c r="AN590" s="1">
        <v>15</v>
      </c>
      <c r="AO590" s="1">
        <v>0</v>
      </c>
      <c r="AP590" s="1">
        <v>0</v>
      </c>
      <c r="AQ590" s="1">
        <v>2</v>
      </c>
      <c r="AR590" s="1">
        <v>11</v>
      </c>
      <c r="AS590" s="1" t="s">
        <v>8333</v>
      </c>
      <c r="AT590" s="1" t="s">
        <v>8334</v>
      </c>
      <c r="AU590" s="1" t="s">
        <v>8335</v>
      </c>
      <c r="AV590" s="1" t="s">
        <v>11210</v>
      </c>
      <c r="AW590" s="1" t="s">
        <v>11211</v>
      </c>
      <c r="AX590" s="1" t="s">
        <v>82</v>
      </c>
      <c r="AY590" s="1" t="s">
        <v>11212</v>
      </c>
      <c r="AZ590" s="1" t="s">
        <v>11213</v>
      </c>
      <c r="BA590" s="1" t="s">
        <v>6126</v>
      </c>
      <c r="BB590" s="1">
        <v>2022</v>
      </c>
      <c r="BC590" s="1">
        <v>36</v>
      </c>
      <c r="BD590" s="1">
        <v>10</v>
      </c>
      <c r="BE590" s="1" t="s">
        <v>82</v>
      </c>
      <c r="BF590" s="1" t="s">
        <v>82</v>
      </c>
      <c r="BG590" s="1" t="s">
        <v>82</v>
      </c>
      <c r="BH590" s="1" t="s">
        <v>82</v>
      </c>
      <c r="BI590" s="1">
        <v>2473</v>
      </c>
      <c r="BJ590" s="1">
        <v>2478</v>
      </c>
      <c r="BK590" s="1" t="s">
        <v>82</v>
      </c>
      <c r="BL590" s="1" t="s">
        <v>11311</v>
      </c>
      <c r="BM590" s="1" t="str">
        <f>HYPERLINK("http://dx.doi.org/10.1080/14786419.2021.1906242","http://dx.doi.org/10.1080/14786419.2021.1906242")</f>
        <v>http://dx.doi.org/10.1080/14786419.2021.1906242</v>
      </c>
      <c r="BN590" s="1" t="s">
        <v>82</v>
      </c>
      <c r="BO590" s="1" t="s">
        <v>2497</v>
      </c>
      <c r="BP590" s="1">
        <v>6</v>
      </c>
      <c r="BQ590" s="1" t="s">
        <v>11215</v>
      </c>
      <c r="BR590" s="1" t="s">
        <v>104</v>
      </c>
      <c r="BS590" s="1" t="s">
        <v>2480</v>
      </c>
      <c r="BT590" s="1" t="s">
        <v>11312</v>
      </c>
      <c r="BU590" s="1">
        <v>34100676</v>
      </c>
      <c r="BV590" s="1" t="s">
        <v>82</v>
      </c>
      <c r="BW590" s="1" t="s">
        <v>82</v>
      </c>
      <c r="BX590" s="1" t="s">
        <v>82</v>
      </c>
      <c r="BY590" s="1" t="s">
        <v>108</v>
      </c>
      <c r="BZ590" s="1" t="s">
        <v>11313</v>
      </c>
      <c r="CA590" s="1" t="str">
        <f>HYPERLINK("https%3A%2F%2Fwww.webofscience.com%2Fwos%2Fwoscc%2Ffull-record%2FWOS:000658923000001","View Full Record in Web of Science")</f>
        <v>View Full Record in Web of Science</v>
      </c>
    </row>
    <row r="591" s="1" customFormat="1" ht="14.4" spans="1:79">
      <c r="A591">
        <v>590</v>
      </c>
      <c r="B591" s="2" t="s">
        <v>110</v>
      </c>
      <c r="C591" s="1" t="s">
        <v>80</v>
      </c>
      <c r="D591" s="1" t="s">
        <v>11314</v>
      </c>
      <c r="E591" s="1" t="s">
        <v>82</v>
      </c>
      <c r="F591" s="1" t="s">
        <v>82</v>
      </c>
      <c r="G591" s="1" t="s">
        <v>82</v>
      </c>
      <c r="H591" s="1" t="s">
        <v>11315</v>
      </c>
      <c r="I591" s="1" t="s">
        <v>82</v>
      </c>
      <c r="J591" s="1" t="s">
        <v>82</v>
      </c>
      <c r="K591" s="1" t="s">
        <v>11316</v>
      </c>
      <c r="L591" s="1" t="s">
        <v>11198</v>
      </c>
      <c r="M591" s="1">
        <v>2.488</v>
      </c>
      <c r="O591" s="1" t="s">
        <v>82</v>
      </c>
      <c r="P591" s="1" t="s">
        <v>82</v>
      </c>
      <c r="Q591" s="1" t="s">
        <v>87</v>
      </c>
      <c r="R591" s="1" t="s">
        <v>115</v>
      </c>
      <c r="S591" s="1" t="s">
        <v>82</v>
      </c>
      <c r="T591" s="1" t="s">
        <v>82</v>
      </c>
      <c r="U591" s="1" t="s">
        <v>82</v>
      </c>
      <c r="V591" s="1" t="s">
        <v>82</v>
      </c>
      <c r="W591" s="1" t="s">
        <v>82</v>
      </c>
      <c r="X591" s="1" t="s">
        <v>11317</v>
      </c>
      <c r="Y591" s="1" t="s">
        <v>82</v>
      </c>
      <c r="Z591" s="1" t="s">
        <v>11318</v>
      </c>
      <c r="AA591" s="1">
        <v>1</v>
      </c>
      <c r="AB591" s="1" t="s">
        <v>11319</v>
      </c>
      <c r="AC591" s="1" t="s">
        <v>11320</v>
      </c>
      <c r="AD591" s="1" t="s">
        <v>93</v>
      </c>
      <c r="AE591" s="1" t="s">
        <v>9330</v>
      </c>
      <c r="AF591" s="1" t="s">
        <v>11226</v>
      </c>
      <c r="AG591" s="1" t="s">
        <v>4504</v>
      </c>
      <c r="AH591" s="1" t="s">
        <v>4505</v>
      </c>
      <c r="AI591" s="1" t="s">
        <v>82</v>
      </c>
      <c r="AJ591" s="1" t="s">
        <v>9647</v>
      </c>
      <c r="AK591" s="1" t="s">
        <v>9648</v>
      </c>
      <c r="AL591" s="1" t="s">
        <v>11321</v>
      </c>
      <c r="AM591" s="1" t="s">
        <v>82</v>
      </c>
      <c r="AN591" s="1">
        <v>13</v>
      </c>
      <c r="AO591" s="1">
        <v>0</v>
      </c>
      <c r="AP591" s="1">
        <v>0</v>
      </c>
      <c r="AQ591" s="1">
        <v>2</v>
      </c>
      <c r="AR591" s="1">
        <v>11</v>
      </c>
      <c r="AS591" s="1" t="s">
        <v>8333</v>
      </c>
      <c r="AT591" s="1" t="s">
        <v>8334</v>
      </c>
      <c r="AU591" s="1" t="s">
        <v>8335</v>
      </c>
      <c r="AV591" s="1" t="s">
        <v>11210</v>
      </c>
      <c r="AW591" s="1" t="s">
        <v>11211</v>
      </c>
      <c r="AX591" s="1" t="s">
        <v>82</v>
      </c>
      <c r="AY591" s="1" t="s">
        <v>11212</v>
      </c>
      <c r="AZ591" s="1" t="s">
        <v>11213</v>
      </c>
      <c r="BA591" s="1" t="s">
        <v>11322</v>
      </c>
      <c r="BB591" s="1">
        <v>2022</v>
      </c>
      <c r="BC591" s="1">
        <v>36</v>
      </c>
      <c r="BD591" s="1">
        <v>20</v>
      </c>
      <c r="BE591" s="1" t="s">
        <v>82</v>
      </c>
      <c r="BF591" s="1" t="s">
        <v>82</v>
      </c>
      <c r="BG591" s="1" t="s">
        <v>82</v>
      </c>
      <c r="BH591" s="1" t="s">
        <v>82</v>
      </c>
      <c r="BI591" s="1">
        <v>5241</v>
      </c>
      <c r="BJ591" s="1">
        <v>5246</v>
      </c>
      <c r="BK591" s="1" t="s">
        <v>82</v>
      </c>
      <c r="BL591" s="1" t="s">
        <v>11323</v>
      </c>
      <c r="BM591" s="1" t="str">
        <f>HYPERLINK("http://dx.doi.org/10.1080/14786419.2021.1929971","http://dx.doi.org/10.1080/14786419.2021.1929971")</f>
        <v>http://dx.doi.org/10.1080/14786419.2021.1929971</v>
      </c>
      <c r="BN591" s="1" t="s">
        <v>82</v>
      </c>
      <c r="BO591" s="1" t="s">
        <v>2478</v>
      </c>
      <c r="BP591" s="1">
        <v>6</v>
      </c>
      <c r="BQ591" s="1" t="s">
        <v>11215</v>
      </c>
      <c r="BR591" s="1" t="s">
        <v>104</v>
      </c>
      <c r="BS591" s="1" t="s">
        <v>2480</v>
      </c>
      <c r="BT591" s="1" t="s">
        <v>11324</v>
      </c>
      <c r="BU591" s="1">
        <v>34074201</v>
      </c>
      <c r="BV591" s="1" t="s">
        <v>82</v>
      </c>
      <c r="BW591" s="1" t="s">
        <v>82</v>
      </c>
      <c r="BX591" s="1" t="s">
        <v>82</v>
      </c>
      <c r="BY591" s="1" t="s">
        <v>108</v>
      </c>
      <c r="BZ591" s="1" t="s">
        <v>11325</v>
      </c>
      <c r="CA591" s="1" t="str">
        <f>HYPERLINK("https%3A%2F%2Fwww.webofscience.com%2Fwos%2Fwoscc%2Ffull-record%2FWOS:000657162400001","View Full Record in Web of Science")</f>
        <v>View Full Record in Web of Science</v>
      </c>
    </row>
    <row r="592" s="1" customFormat="1" ht="14.4" spans="1:79">
      <c r="A592">
        <v>591</v>
      </c>
      <c r="B592" s="2" t="s">
        <v>79</v>
      </c>
      <c r="C592" s="1" t="s">
        <v>80</v>
      </c>
      <c r="D592" s="1" t="s">
        <v>11326</v>
      </c>
      <c r="E592" s="1" t="s">
        <v>82</v>
      </c>
      <c r="F592" s="1" t="s">
        <v>82</v>
      </c>
      <c r="G592" s="1" t="s">
        <v>82</v>
      </c>
      <c r="H592" s="1" t="s">
        <v>11327</v>
      </c>
      <c r="I592" s="1" t="s">
        <v>82</v>
      </c>
      <c r="J592" s="1" t="s">
        <v>82</v>
      </c>
      <c r="K592" s="1" t="s">
        <v>11328</v>
      </c>
      <c r="L592" s="1" t="s">
        <v>11198</v>
      </c>
      <c r="M592" s="1">
        <v>2.488</v>
      </c>
      <c r="O592" s="1" t="s">
        <v>82</v>
      </c>
      <c r="P592" s="1" t="s">
        <v>82</v>
      </c>
      <c r="Q592" s="1" t="s">
        <v>87</v>
      </c>
      <c r="R592" s="1" t="s">
        <v>115</v>
      </c>
      <c r="S592" s="1" t="s">
        <v>82</v>
      </c>
      <c r="T592" s="1" t="s">
        <v>82</v>
      </c>
      <c r="U592" s="1" t="s">
        <v>82</v>
      </c>
      <c r="V592" s="1" t="s">
        <v>82</v>
      </c>
      <c r="W592" s="1" t="s">
        <v>82</v>
      </c>
      <c r="X592" s="1" t="s">
        <v>11329</v>
      </c>
      <c r="Y592" s="1" t="s">
        <v>82</v>
      </c>
      <c r="Z592" s="1" t="s">
        <v>11330</v>
      </c>
      <c r="AB592" s="1" t="s">
        <v>11331</v>
      </c>
      <c r="AC592" s="1" t="s">
        <v>11332</v>
      </c>
      <c r="AD592" s="1" t="s">
        <v>206</v>
      </c>
      <c r="AE592" s="1" t="s">
        <v>11333</v>
      </c>
      <c r="AF592" s="1" t="s">
        <v>11334</v>
      </c>
      <c r="AG592" s="1" t="s">
        <v>8936</v>
      </c>
      <c r="AH592" s="1" t="s">
        <v>82</v>
      </c>
      <c r="AI592" s="1" t="s">
        <v>11335</v>
      </c>
      <c r="AJ592" s="1" t="s">
        <v>11336</v>
      </c>
      <c r="AK592" s="1" t="s">
        <v>11337</v>
      </c>
      <c r="AL592" s="1" t="s">
        <v>11338</v>
      </c>
      <c r="AM592" s="1" t="s">
        <v>82</v>
      </c>
      <c r="AN592" s="1">
        <v>16</v>
      </c>
      <c r="AO592" s="1">
        <v>1</v>
      </c>
      <c r="AP592" s="1">
        <v>1</v>
      </c>
      <c r="AQ592" s="1">
        <v>1</v>
      </c>
      <c r="AR592" s="1">
        <v>3</v>
      </c>
      <c r="AS592" s="1" t="s">
        <v>8333</v>
      </c>
      <c r="AT592" s="1" t="s">
        <v>8334</v>
      </c>
      <c r="AU592" s="1" t="s">
        <v>8335</v>
      </c>
      <c r="AV592" s="1" t="s">
        <v>11210</v>
      </c>
      <c r="AW592" s="1" t="s">
        <v>11211</v>
      </c>
      <c r="AX592" s="1" t="s">
        <v>82</v>
      </c>
      <c r="AY592" s="1" t="s">
        <v>11212</v>
      </c>
      <c r="AZ592" s="1" t="s">
        <v>11213</v>
      </c>
      <c r="BA592" s="1" t="s">
        <v>11339</v>
      </c>
      <c r="BB592" s="1">
        <v>2022</v>
      </c>
      <c r="BC592" s="1">
        <v>36</v>
      </c>
      <c r="BD592" s="1">
        <v>6</v>
      </c>
      <c r="BE592" s="1" t="s">
        <v>82</v>
      </c>
      <c r="BF592" s="1" t="s">
        <v>82</v>
      </c>
      <c r="BG592" s="1" t="s">
        <v>82</v>
      </c>
      <c r="BH592" s="1" t="s">
        <v>82</v>
      </c>
      <c r="BI592" s="1">
        <v>1433</v>
      </c>
      <c r="BJ592" s="1">
        <v>1440</v>
      </c>
      <c r="BK592" s="1" t="s">
        <v>82</v>
      </c>
      <c r="BL592" s="1" t="s">
        <v>11340</v>
      </c>
      <c r="BM592" s="1" t="str">
        <f>HYPERLINK("http://dx.doi.org/10.1080/14786419.2021.1886099","http://dx.doi.org/10.1080/14786419.2021.1886099")</f>
        <v>http://dx.doi.org/10.1080/14786419.2021.1886099</v>
      </c>
      <c r="BN592" s="1" t="s">
        <v>82</v>
      </c>
      <c r="BO592" s="1" t="s">
        <v>8749</v>
      </c>
      <c r="BP592" s="1">
        <v>8</v>
      </c>
      <c r="BQ592" s="1" t="s">
        <v>11215</v>
      </c>
      <c r="BR592" s="1" t="s">
        <v>104</v>
      </c>
      <c r="BS592" s="1" t="s">
        <v>2480</v>
      </c>
      <c r="BT592" s="1" t="s">
        <v>11341</v>
      </c>
      <c r="BU592" s="1">
        <v>33576272</v>
      </c>
      <c r="BV592" s="1" t="s">
        <v>82</v>
      </c>
      <c r="BW592" s="1" t="s">
        <v>82</v>
      </c>
      <c r="BX592" s="1" t="s">
        <v>82</v>
      </c>
      <c r="BY592" s="1" t="s">
        <v>108</v>
      </c>
      <c r="BZ592" s="1" t="s">
        <v>11342</v>
      </c>
      <c r="CA592" s="1" t="str">
        <f>HYPERLINK("https%3A%2F%2Fwww.webofscience.com%2Fwos%2Fwoscc%2Ffull-record%2FWOS:000617638800001","View Full Record in Web of Science")</f>
        <v>View Full Record in Web of Science</v>
      </c>
    </row>
    <row r="593" s="1" customFormat="1" ht="14.4" spans="1:79">
      <c r="A593">
        <v>592</v>
      </c>
      <c r="B593" s="2" t="s">
        <v>110</v>
      </c>
      <c r="C593" s="1" t="s">
        <v>80</v>
      </c>
      <c r="D593" s="1" t="s">
        <v>11343</v>
      </c>
      <c r="E593" s="1" t="s">
        <v>82</v>
      </c>
      <c r="F593" s="1" t="s">
        <v>82</v>
      </c>
      <c r="G593" s="1" t="s">
        <v>82</v>
      </c>
      <c r="H593" s="1" t="s">
        <v>11344</v>
      </c>
      <c r="I593" s="1" t="s">
        <v>82</v>
      </c>
      <c r="J593" s="1" t="s">
        <v>82</v>
      </c>
      <c r="K593" s="1" t="s">
        <v>11345</v>
      </c>
      <c r="L593" s="1" t="s">
        <v>11198</v>
      </c>
      <c r="M593" s="1">
        <v>2.488</v>
      </c>
      <c r="O593" s="1" t="s">
        <v>82</v>
      </c>
      <c r="P593" s="1" t="s">
        <v>82</v>
      </c>
      <c r="Q593" s="1" t="s">
        <v>87</v>
      </c>
      <c r="R593" s="1" t="s">
        <v>115</v>
      </c>
      <c r="S593" s="1" t="s">
        <v>82</v>
      </c>
      <c r="T593" s="1" t="s">
        <v>82</v>
      </c>
      <c r="U593" s="1" t="s">
        <v>82</v>
      </c>
      <c r="V593" s="1" t="s">
        <v>82</v>
      </c>
      <c r="W593" s="1" t="s">
        <v>82</v>
      </c>
      <c r="X593" s="1" t="s">
        <v>11346</v>
      </c>
      <c r="Y593" s="1" t="s">
        <v>82</v>
      </c>
      <c r="Z593" s="1" t="s">
        <v>11347</v>
      </c>
      <c r="AB593" s="1" t="s">
        <v>11348</v>
      </c>
      <c r="AC593" s="1" t="s">
        <v>11349</v>
      </c>
      <c r="AD593" s="1" t="s">
        <v>206</v>
      </c>
      <c r="AE593" s="1" t="s">
        <v>11350</v>
      </c>
      <c r="AF593" s="1" t="s">
        <v>11351</v>
      </c>
      <c r="AG593" s="1" t="s">
        <v>11352</v>
      </c>
      <c r="AH593" s="1" t="s">
        <v>11353</v>
      </c>
      <c r="AI593" s="1" t="s">
        <v>82</v>
      </c>
      <c r="AJ593" s="1" t="s">
        <v>11354</v>
      </c>
      <c r="AK593" s="1" t="s">
        <v>11355</v>
      </c>
      <c r="AL593" s="1" t="s">
        <v>11356</v>
      </c>
      <c r="AM593" s="1" t="s">
        <v>82</v>
      </c>
      <c r="AN593" s="1">
        <v>31</v>
      </c>
      <c r="AO593" s="1">
        <v>3</v>
      </c>
      <c r="AP593" s="1">
        <v>3</v>
      </c>
      <c r="AQ593" s="1">
        <v>3</v>
      </c>
      <c r="AR593" s="1">
        <v>16</v>
      </c>
      <c r="AS593" s="1" t="s">
        <v>8333</v>
      </c>
      <c r="AT593" s="1" t="s">
        <v>8334</v>
      </c>
      <c r="AU593" s="1" t="s">
        <v>8335</v>
      </c>
      <c r="AV593" s="1" t="s">
        <v>11210</v>
      </c>
      <c r="AW593" s="1" t="s">
        <v>11211</v>
      </c>
      <c r="AX593" s="1" t="s">
        <v>82</v>
      </c>
      <c r="AY593" s="1" t="s">
        <v>11212</v>
      </c>
      <c r="AZ593" s="1" t="s">
        <v>11213</v>
      </c>
      <c r="BA593" s="1" t="s">
        <v>1903</v>
      </c>
      <c r="BB593" s="1">
        <v>2022</v>
      </c>
      <c r="BC593" s="1">
        <v>36</v>
      </c>
      <c r="BD593" s="1">
        <v>14</v>
      </c>
      <c r="BE593" s="1" t="s">
        <v>82</v>
      </c>
      <c r="BF593" s="1" t="s">
        <v>82</v>
      </c>
      <c r="BG593" s="1" t="s">
        <v>82</v>
      </c>
      <c r="BH593" s="1" t="s">
        <v>82</v>
      </c>
      <c r="BI593" s="1">
        <v>3644</v>
      </c>
      <c r="BJ593" s="1">
        <v>3650</v>
      </c>
      <c r="BK593" s="1" t="s">
        <v>82</v>
      </c>
      <c r="BL593" s="1" t="s">
        <v>11357</v>
      </c>
      <c r="BM593" s="1" t="str">
        <f>HYPERLINK("http://dx.doi.org/10.1080/14786419.2021.1876047","http://dx.doi.org/10.1080/14786419.2021.1876047")</f>
        <v>http://dx.doi.org/10.1080/14786419.2021.1876047</v>
      </c>
      <c r="BN593" s="1" t="s">
        <v>82</v>
      </c>
      <c r="BO593" s="1" t="s">
        <v>8769</v>
      </c>
      <c r="BP593" s="1">
        <v>7</v>
      </c>
      <c r="BQ593" s="1" t="s">
        <v>11215</v>
      </c>
      <c r="BR593" s="1" t="s">
        <v>104</v>
      </c>
      <c r="BS593" s="1" t="s">
        <v>2480</v>
      </c>
      <c r="BT593" s="1" t="s">
        <v>11358</v>
      </c>
      <c r="BU593" s="1">
        <v>33494636</v>
      </c>
      <c r="BV593" s="1" t="s">
        <v>427</v>
      </c>
      <c r="BW593" s="1" t="s">
        <v>82</v>
      </c>
      <c r="BX593" s="1" t="s">
        <v>82</v>
      </c>
      <c r="BY593" s="1" t="s">
        <v>108</v>
      </c>
      <c r="BZ593" s="1" t="s">
        <v>11359</v>
      </c>
      <c r="CA593" s="1" t="str">
        <f>HYPERLINK("https%3A%2F%2Fwww.webofscience.com%2Fwos%2Fwoscc%2Ffull-record%2FWOS:000611635700001","View Full Record in Web of Science")</f>
        <v>View Full Record in Web of Science</v>
      </c>
    </row>
    <row r="594" s="1" customFormat="1" ht="14.4" spans="1:79">
      <c r="A594">
        <v>593</v>
      </c>
      <c r="B594" s="2" t="s">
        <v>110</v>
      </c>
      <c r="C594" s="1" t="s">
        <v>80</v>
      </c>
      <c r="D594" s="1" t="s">
        <v>11360</v>
      </c>
      <c r="E594" s="1" t="s">
        <v>82</v>
      </c>
      <c r="F594" s="1" t="s">
        <v>82</v>
      </c>
      <c r="G594" s="1" t="s">
        <v>82</v>
      </c>
      <c r="H594" s="1" t="s">
        <v>11361</v>
      </c>
      <c r="I594" s="1" t="s">
        <v>82</v>
      </c>
      <c r="J594" s="1" t="s">
        <v>82</v>
      </c>
      <c r="K594" s="1" t="s">
        <v>11362</v>
      </c>
      <c r="L594" s="1" t="s">
        <v>11198</v>
      </c>
      <c r="M594" s="1">
        <v>2.488</v>
      </c>
      <c r="O594" s="1" t="s">
        <v>82</v>
      </c>
      <c r="P594" s="1" t="s">
        <v>82</v>
      </c>
      <c r="Q594" s="1" t="s">
        <v>87</v>
      </c>
      <c r="R594" s="1" t="s">
        <v>115</v>
      </c>
      <c r="S594" s="1" t="s">
        <v>82</v>
      </c>
      <c r="T594" s="1" t="s">
        <v>82</v>
      </c>
      <c r="U594" s="1" t="s">
        <v>82</v>
      </c>
      <c r="V594" s="1" t="s">
        <v>82</v>
      </c>
      <c r="W594" s="1" t="s">
        <v>82</v>
      </c>
      <c r="X594" s="1" t="s">
        <v>11363</v>
      </c>
      <c r="Y594" s="1" t="s">
        <v>11364</v>
      </c>
      <c r="Z594" s="1" t="s">
        <v>11365</v>
      </c>
      <c r="AB594" s="1" t="s">
        <v>11366</v>
      </c>
      <c r="AC594" s="1" t="s">
        <v>11367</v>
      </c>
      <c r="AD594" s="1" t="s">
        <v>120</v>
      </c>
      <c r="AE594" s="1" t="s">
        <v>11368</v>
      </c>
      <c r="AF594" s="1" t="s">
        <v>11369</v>
      </c>
      <c r="AG594" s="1" t="s">
        <v>11370</v>
      </c>
      <c r="AH594" s="1" t="s">
        <v>7974</v>
      </c>
      <c r="AI594" s="1" t="s">
        <v>82</v>
      </c>
      <c r="AJ594" s="1" t="s">
        <v>11371</v>
      </c>
      <c r="AK594" s="1" t="s">
        <v>11372</v>
      </c>
      <c r="AL594" s="1" t="s">
        <v>11373</v>
      </c>
      <c r="AM594" s="1" t="s">
        <v>82</v>
      </c>
      <c r="AN594" s="1">
        <v>22</v>
      </c>
      <c r="AO594" s="1">
        <v>1</v>
      </c>
      <c r="AP594" s="1">
        <v>1</v>
      </c>
      <c r="AQ594" s="1">
        <v>3</v>
      </c>
      <c r="AR594" s="1">
        <v>22</v>
      </c>
      <c r="AS594" s="1" t="s">
        <v>8333</v>
      </c>
      <c r="AT594" s="1" t="s">
        <v>8334</v>
      </c>
      <c r="AU594" s="1" t="s">
        <v>8335</v>
      </c>
      <c r="AV594" s="1" t="s">
        <v>11210</v>
      </c>
      <c r="AW594" s="1" t="s">
        <v>11211</v>
      </c>
      <c r="AX594" s="1" t="s">
        <v>82</v>
      </c>
      <c r="AY594" s="1" t="s">
        <v>11212</v>
      </c>
      <c r="AZ594" s="1" t="s">
        <v>11213</v>
      </c>
      <c r="BA594" s="1" t="s">
        <v>2060</v>
      </c>
      <c r="BB594" s="1">
        <v>2022</v>
      </c>
      <c r="BC594" s="1">
        <v>36</v>
      </c>
      <c r="BD594" s="1">
        <v>5</v>
      </c>
      <c r="BE594" s="1" t="s">
        <v>82</v>
      </c>
      <c r="BF594" s="1" t="s">
        <v>82</v>
      </c>
      <c r="BG594" s="1" t="s">
        <v>82</v>
      </c>
      <c r="BH594" s="1" t="s">
        <v>82</v>
      </c>
      <c r="BI594" s="1">
        <v>1151</v>
      </c>
      <c r="BJ594" s="1">
        <v>1160</v>
      </c>
      <c r="BK594" s="1" t="s">
        <v>82</v>
      </c>
      <c r="BL594" s="1" t="s">
        <v>11374</v>
      </c>
      <c r="BM594" s="1" t="str">
        <f>HYPERLINK("http://dx.doi.org/10.1080/14786419.2020.1861615","http://dx.doi.org/10.1080/14786419.2020.1861615")</f>
        <v>http://dx.doi.org/10.1080/14786419.2020.1861615</v>
      </c>
      <c r="BN594" s="1" t="s">
        <v>82</v>
      </c>
      <c r="BO594" s="1" t="s">
        <v>11375</v>
      </c>
      <c r="BP594" s="1">
        <v>10</v>
      </c>
      <c r="BQ594" s="1" t="s">
        <v>11215</v>
      </c>
      <c r="BR594" s="1" t="s">
        <v>104</v>
      </c>
      <c r="BS594" s="1" t="s">
        <v>2480</v>
      </c>
      <c r="BT594" s="1" t="s">
        <v>11376</v>
      </c>
      <c r="BU594" s="1">
        <v>33331176</v>
      </c>
      <c r="BV594" s="1" t="s">
        <v>82</v>
      </c>
      <c r="BW594" s="1" t="s">
        <v>82</v>
      </c>
      <c r="BX594" s="1" t="s">
        <v>82</v>
      </c>
      <c r="BY594" s="1" t="s">
        <v>108</v>
      </c>
      <c r="BZ594" s="1" t="s">
        <v>11377</v>
      </c>
      <c r="CA594" s="1" t="str">
        <f>HYPERLINK("https%3A%2F%2Fwww.webofscience.com%2Fwos%2Fwoscc%2Ffull-record%2FWOS:000599649200001","View Full Record in Web of Science")</f>
        <v>View Full Record in Web of Science</v>
      </c>
    </row>
    <row r="595" s="1" customFormat="1" ht="14.4" spans="1:79">
      <c r="A595">
        <v>594</v>
      </c>
      <c r="B595" s="2" t="s">
        <v>110</v>
      </c>
      <c r="C595" s="1" t="s">
        <v>80</v>
      </c>
      <c r="D595" s="1" t="s">
        <v>11378</v>
      </c>
      <c r="E595" s="1" t="s">
        <v>82</v>
      </c>
      <c r="F595" s="1" t="s">
        <v>82</v>
      </c>
      <c r="G595" s="1" t="s">
        <v>82</v>
      </c>
      <c r="H595" s="1" t="s">
        <v>11379</v>
      </c>
      <c r="I595" s="1" t="s">
        <v>82</v>
      </c>
      <c r="J595" s="1" t="s">
        <v>82</v>
      </c>
      <c r="K595" s="1" t="s">
        <v>11380</v>
      </c>
      <c r="L595" s="1" t="s">
        <v>11198</v>
      </c>
      <c r="M595" s="1">
        <v>2.488</v>
      </c>
      <c r="O595" s="1" t="s">
        <v>82</v>
      </c>
      <c r="P595" s="1" t="s">
        <v>82</v>
      </c>
      <c r="Q595" s="1" t="s">
        <v>87</v>
      </c>
      <c r="R595" s="1" t="s">
        <v>115</v>
      </c>
      <c r="S595" s="1" t="s">
        <v>82</v>
      </c>
      <c r="T595" s="1" t="s">
        <v>82</v>
      </c>
      <c r="U595" s="1" t="s">
        <v>82</v>
      </c>
      <c r="V595" s="1" t="s">
        <v>82</v>
      </c>
      <c r="W595" s="1" t="s">
        <v>82</v>
      </c>
      <c r="X595" s="1" t="s">
        <v>11381</v>
      </c>
      <c r="Y595" s="1" t="s">
        <v>82</v>
      </c>
      <c r="Z595" s="1" t="s">
        <v>11382</v>
      </c>
      <c r="AB595" s="1" t="s">
        <v>11383</v>
      </c>
      <c r="AC595" s="1" t="s">
        <v>11384</v>
      </c>
      <c r="AD595" s="1" t="s">
        <v>206</v>
      </c>
      <c r="AE595" s="1" t="s">
        <v>11385</v>
      </c>
      <c r="AF595" s="1" t="s">
        <v>11386</v>
      </c>
      <c r="AG595" s="1" t="s">
        <v>11387</v>
      </c>
      <c r="AH595" s="1" t="s">
        <v>82</v>
      </c>
      <c r="AI595" s="1" t="s">
        <v>82</v>
      </c>
      <c r="AJ595" s="1" t="s">
        <v>11388</v>
      </c>
      <c r="AK595" s="1" t="s">
        <v>11389</v>
      </c>
      <c r="AL595" s="1" t="s">
        <v>11390</v>
      </c>
      <c r="AM595" s="1" t="s">
        <v>82</v>
      </c>
      <c r="AN595" s="1">
        <v>16</v>
      </c>
      <c r="AO595" s="1">
        <v>2</v>
      </c>
      <c r="AP595" s="1">
        <v>2</v>
      </c>
      <c r="AQ595" s="1">
        <v>4</v>
      </c>
      <c r="AR595" s="1">
        <v>18</v>
      </c>
      <c r="AS595" s="1" t="s">
        <v>8333</v>
      </c>
      <c r="AT595" s="1" t="s">
        <v>8334</v>
      </c>
      <c r="AU595" s="1" t="s">
        <v>8335</v>
      </c>
      <c r="AV595" s="1" t="s">
        <v>11210</v>
      </c>
      <c r="AW595" s="1" t="s">
        <v>11211</v>
      </c>
      <c r="AX595" s="1" t="s">
        <v>82</v>
      </c>
      <c r="AY595" s="1" t="s">
        <v>11212</v>
      </c>
      <c r="AZ595" s="1" t="s">
        <v>11213</v>
      </c>
      <c r="BA595" s="1" t="s">
        <v>11391</v>
      </c>
      <c r="BB595" s="1">
        <v>2022</v>
      </c>
      <c r="BC595" s="1">
        <v>36</v>
      </c>
      <c r="BD595" s="1">
        <v>7</v>
      </c>
      <c r="BE595" s="1" t="s">
        <v>82</v>
      </c>
      <c r="BF595" s="1" t="s">
        <v>82</v>
      </c>
      <c r="BG595" s="1" t="s">
        <v>82</v>
      </c>
      <c r="BH595" s="1" t="s">
        <v>82</v>
      </c>
      <c r="BI595" s="1">
        <v>1827</v>
      </c>
      <c r="BJ595" s="1">
        <v>1833</v>
      </c>
      <c r="BK595" s="1" t="s">
        <v>82</v>
      </c>
      <c r="BL595" s="1" t="s">
        <v>11392</v>
      </c>
      <c r="BM595" s="1" t="str">
        <f>HYPERLINK("http://dx.doi.org/10.1080/14786419.2020.1819269","http://dx.doi.org/10.1080/14786419.2020.1819269")</f>
        <v>http://dx.doi.org/10.1080/14786419.2020.1819269</v>
      </c>
      <c r="BN595" s="1" t="s">
        <v>82</v>
      </c>
      <c r="BO595" s="1" t="s">
        <v>11393</v>
      </c>
      <c r="BP595" s="1">
        <v>7</v>
      </c>
      <c r="BQ595" s="1" t="s">
        <v>11215</v>
      </c>
      <c r="BR595" s="1" t="s">
        <v>104</v>
      </c>
      <c r="BS595" s="1" t="s">
        <v>2480</v>
      </c>
      <c r="BT595" s="1" t="s">
        <v>11394</v>
      </c>
      <c r="BU595" s="1">
        <v>32940065</v>
      </c>
      <c r="BV595" s="1" t="s">
        <v>82</v>
      </c>
      <c r="BW595" s="1" t="s">
        <v>82</v>
      </c>
      <c r="BX595" s="1" t="s">
        <v>82</v>
      </c>
      <c r="BY595" s="1" t="s">
        <v>108</v>
      </c>
      <c r="BZ595" s="1" t="s">
        <v>11395</v>
      </c>
      <c r="CA595" s="1" t="str">
        <f>HYPERLINK("https%3A%2F%2Fwww.webofscience.com%2Fwos%2Fwoscc%2Ffull-record%2FWOS:000570254700001","View Full Record in Web of Science")</f>
        <v>View Full Record in Web of Science</v>
      </c>
    </row>
    <row r="596" s="1" customFormat="1" ht="14.4" spans="1:79">
      <c r="A596">
        <v>595</v>
      </c>
      <c r="B596" s="2" t="s">
        <v>110</v>
      </c>
      <c r="C596" s="1" t="s">
        <v>80</v>
      </c>
      <c r="D596" s="1" t="s">
        <v>11396</v>
      </c>
      <c r="E596" s="1" t="s">
        <v>82</v>
      </c>
      <c r="F596" s="1" t="s">
        <v>82</v>
      </c>
      <c r="G596" s="1" t="s">
        <v>82</v>
      </c>
      <c r="H596" s="1" t="s">
        <v>11397</v>
      </c>
      <c r="I596" s="1" t="s">
        <v>82</v>
      </c>
      <c r="J596" s="1" t="s">
        <v>82</v>
      </c>
      <c r="K596" s="1" t="s">
        <v>11398</v>
      </c>
      <c r="L596" s="1" t="s">
        <v>11198</v>
      </c>
      <c r="M596" s="1">
        <v>2.488</v>
      </c>
      <c r="O596" s="1" t="s">
        <v>82</v>
      </c>
      <c r="P596" s="1" t="s">
        <v>82</v>
      </c>
      <c r="Q596" s="1" t="s">
        <v>87</v>
      </c>
      <c r="R596" s="1" t="s">
        <v>115</v>
      </c>
      <c r="S596" s="1" t="s">
        <v>82</v>
      </c>
      <c r="T596" s="1" t="s">
        <v>82</v>
      </c>
      <c r="U596" s="1" t="s">
        <v>82</v>
      </c>
      <c r="V596" s="1" t="s">
        <v>82</v>
      </c>
      <c r="W596" s="1" t="s">
        <v>82</v>
      </c>
      <c r="X596" s="1" t="s">
        <v>11399</v>
      </c>
      <c r="Y596" s="1" t="s">
        <v>82</v>
      </c>
      <c r="Z596" s="1" t="s">
        <v>11400</v>
      </c>
      <c r="AB596" s="1" t="s">
        <v>11401</v>
      </c>
      <c r="AC596" s="1" t="s">
        <v>11402</v>
      </c>
      <c r="AD596" s="1" t="s">
        <v>206</v>
      </c>
      <c r="AE596" s="1" t="s">
        <v>7053</v>
      </c>
      <c r="AF596" s="1" t="s">
        <v>11403</v>
      </c>
      <c r="AG596" s="1" t="s">
        <v>11404</v>
      </c>
      <c r="AH596" s="1" t="s">
        <v>82</v>
      </c>
      <c r="AI596" s="1" t="s">
        <v>82</v>
      </c>
      <c r="AJ596" s="1" t="s">
        <v>11405</v>
      </c>
      <c r="AK596" s="1" t="s">
        <v>11406</v>
      </c>
      <c r="AL596" s="1" t="s">
        <v>11407</v>
      </c>
      <c r="AM596" s="1" t="s">
        <v>82</v>
      </c>
      <c r="AN596" s="1">
        <v>12</v>
      </c>
      <c r="AO596" s="1">
        <v>4</v>
      </c>
      <c r="AP596" s="1">
        <v>4</v>
      </c>
      <c r="AQ596" s="1">
        <v>1</v>
      </c>
      <c r="AR596" s="1">
        <v>15</v>
      </c>
      <c r="AS596" s="1" t="s">
        <v>8333</v>
      </c>
      <c r="AT596" s="1" t="s">
        <v>8334</v>
      </c>
      <c r="AU596" s="1" t="s">
        <v>8335</v>
      </c>
      <c r="AV596" s="1" t="s">
        <v>11210</v>
      </c>
      <c r="AW596" s="1" t="s">
        <v>11211</v>
      </c>
      <c r="AX596" s="1" t="s">
        <v>82</v>
      </c>
      <c r="AY596" s="1" t="s">
        <v>11212</v>
      </c>
      <c r="AZ596" s="1" t="s">
        <v>11213</v>
      </c>
      <c r="BA596" s="1" t="s">
        <v>11391</v>
      </c>
      <c r="BB596" s="1">
        <v>2022</v>
      </c>
      <c r="BC596" s="1">
        <v>36</v>
      </c>
      <c r="BD596" s="1">
        <v>7</v>
      </c>
      <c r="BE596" s="1" t="s">
        <v>82</v>
      </c>
      <c r="BF596" s="1" t="s">
        <v>82</v>
      </c>
      <c r="BG596" s="1" t="s">
        <v>82</v>
      </c>
      <c r="BH596" s="1" t="s">
        <v>82</v>
      </c>
      <c r="BI596" s="1">
        <v>1679</v>
      </c>
      <c r="BJ596" s="1">
        <v>1685</v>
      </c>
      <c r="BK596" s="1" t="s">
        <v>82</v>
      </c>
      <c r="BL596" s="1" t="s">
        <v>11408</v>
      </c>
      <c r="BM596" s="1" t="str">
        <f>HYPERLINK("http://dx.doi.org/10.1080/14786419.2020.1809397","http://dx.doi.org/10.1080/14786419.2020.1809397")</f>
        <v>http://dx.doi.org/10.1080/14786419.2020.1809397</v>
      </c>
      <c r="BN596" s="1" t="s">
        <v>82</v>
      </c>
      <c r="BO596" s="1" t="s">
        <v>8803</v>
      </c>
      <c r="BP596" s="1">
        <v>7</v>
      </c>
      <c r="BQ596" s="1" t="s">
        <v>11215</v>
      </c>
      <c r="BR596" s="1" t="s">
        <v>104</v>
      </c>
      <c r="BS596" s="1" t="s">
        <v>2480</v>
      </c>
      <c r="BT596" s="1" t="s">
        <v>11394</v>
      </c>
      <c r="BU596" s="1">
        <v>32815422</v>
      </c>
      <c r="BV596" s="1" t="s">
        <v>82</v>
      </c>
      <c r="BW596" s="1" t="s">
        <v>82</v>
      </c>
      <c r="BX596" s="1" t="s">
        <v>82</v>
      </c>
      <c r="BY596" s="1" t="s">
        <v>108</v>
      </c>
      <c r="BZ596" s="1" t="s">
        <v>11409</v>
      </c>
      <c r="CA596" s="1" t="str">
        <f>HYPERLINK("https%3A%2F%2Fwww.webofscience.com%2Fwos%2Fwoscc%2Ffull-record%2FWOS:000560859700001","View Full Record in Web of Science")</f>
        <v>View Full Record in Web of Science</v>
      </c>
    </row>
    <row r="597" s="1" customFormat="1" ht="14.4" spans="1:79">
      <c r="A597">
        <v>596</v>
      </c>
      <c r="B597" s="2" t="s">
        <v>110</v>
      </c>
      <c r="C597" s="1" t="s">
        <v>80</v>
      </c>
      <c r="D597" s="1" t="s">
        <v>11410</v>
      </c>
      <c r="E597" s="1" t="s">
        <v>82</v>
      </c>
      <c r="F597" s="1" t="s">
        <v>82</v>
      </c>
      <c r="G597" s="1" t="s">
        <v>82</v>
      </c>
      <c r="H597" s="1" t="s">
        <v>11411</v>
      </c>
      <c r="I597" s="1" t="s">
        <v>82</v>
      </c>
      <c r="J597" s="1" t="s">
        <v>82</v>
      </c>
      <c r="K597" s="1" t="s">
        <v>11412</v>
      </c>
      <c r="L597" s="1" t="s">
        <v>11198</v>
      </c>
      <c r="M597" s="1">
        <v>2.488</v>
      </c>
      <c r="O597" s="1" t="s">
        <v>82</v>
      </c>
      <c r="P597" s="1" t="s">
        <v>82</v>
      </c>
      <c r="Q597" s="1" t="s">
        <v>87</v>
      </c>
      <c r="R597" s="1" t="s">
        <v>115</v>
      </c>
      <c r="S597" s="1" t="s">
        <v>82</v>
      </c>
      <c r="T597" s="1" t="s">
        <v>82</v>
      </c>
      <c r="U597" s="1" t="s">
        <v>82</v>
      </c>
      <c r="V597" s="1" t="s">
        <v>82</v>
      </c>
      <c r="W597" s="1" t="s">
        <v>82</v>
      </c>
      <c r="X597" s="1" t="s">
        <v>11413</v>
      </c>
      <c r="Y597" s="1" t="s">
        <v>11414</v>
      </c>
      <c r="Z597" s="1" t="s">
        <v>11415</v>
      </c>
      <c r="AA597" s="1">
        <v>1</v>
      </c>
      <c r="AB597" s="1" t="s">
        <v>11416</v>
      </c>
      <c r="AC597" s="1" t="s">
        <v>11417</v>
      </c>
      <c r="AD597" s="1" t="s">
        <v>93</v>
      </c>
      <c r="AE597" s="1" t="s">
        <v>11418</v>
      </c>
      <c r="AF597" s="1" t="s">
        <v>11419</v>
      </c>
      <c r="AG597" s="1" t="s">
        <v>898</v>
      </c>
      <c r="AH597" s="1" t="s">
        <v>82</v>
      </c>
      <c r="AI597" s="1" t="s">
        <v>82</v>
      </c>
      <c r="AJ597" s="1" t="s">
        <v>11420</v>
      </c>
      <c r="AK597" s="1" t="s">
        <v>11421</v>
      </c>
      <c r="AL597" s="1" t="s">
        <v>11422</v>
      </c>
      <c r="AM597" s="1" t="s">
        <v>82</v>
      </c>
      <c r="AN597" s="1">
        <v>26</v>
      </c>
      <c r="AO597" s="1">
        <v>2</v>
      </c>
      <c r="AP597" s="1">
        <v>2</v>
      </c>
      <c r="AQ597" s="1">
        <v>0</v>
      </c>
      <c r="AR597" s="1">
        <v>8</v>
      </c>
      <c r="AS597" s="1" t="s">
        <v>8333</v>
      </c>
      <c r="AT597" s="1" t="s">
        <v>8334</v>
      </c>
      <c r="AU597" s="1" t="s">
        <v>8335</v>
      </c>
      <c r="AV597" s="1" t="s">
        <v>11210</v>
      </c>
      <c r="AW597" s="1" t="s">
        <v>11211</v>
      </c>
      <c r="AX597" s="1" t="s">
        <v>82</v>
      </c>
      <c r="AY597" s="1" t="s">
        <v>11212</v>
      </c>
      <c r="AZ597" s="1" t="s">
        <v>11213</v>
      </c>
      <c r="BA597" s="1" t="s">
        <v>11423</v>
      </c>
      <c r="BB597" s="1">
        <v>2022</v>
      </c>
      <c r="BC597" s="1">
        <v>36</v>
      </c>
      <c r="BD597" s="1">
        <v>1</v>
      </c>
      <c r="BE597" s="1" t="s">
        <v>82</v>
      </c>
      <c r="BF597" s="1" t="s">
        <v>82</v>
      </c>
      <c r="BG597" s="1" t="s">
        <v>82</v>
      </c>
      <c r="BH597" s="1" t="s">
        <v>82</v>
      </c>
      <c r="BI597" s="1">
        <v>193</v>
      </c>
      <c r="BJ597" s="1">
        <v>199</v>
      </c>
      <c r="BK597" s="1" t="s">
        <v>82</v>
      </c>
      <c r="BL597" s="1" t="s">
        <v>11424</v>
      </c>
      <c r="BM597" s="1" t="str">
        <f>HYPERLINK("http://dx.doi.org/10.1080/14786419.2020.1775228","http://dx.doi.org/10.1080/14786419.2020.1775228")</f>
        <v>http://dx.doi.org/10.1080/14786419.2020.1775228</v>
      </c>
      <c r="BN597" s="1" t="s">
        <v>82</v>
      </c>
      <c r="BO597" s="1" t="s">
        <v>8841</v>
      </c>
      <c r="BP597" s="1">
        <v>7</v>
      </c>
      <c r="BQ597" s="1" t="s">
        <v>11215</v>
      </c>
      <c r="BR597" s="1" t="s">
        <v>104</v>
      </c>
      <c r="BS597" s="1" t="s">
        <v>2480</v>
      </c>
      <c r="BT597" s="1" t="s">
        <v>11425</v>
      </c>
      <c r="BU597" s="1">
        <v>32498562</v>
      </c>
      <c r="BV597" s="1" t="s">
        <v>427</v>
      </c>
      <c r="BW597" s="1" t="s">
        <v>82</v>
      </c>
      <c r="BX597" s="1" t="s">
        <v>82</v>
      </c>
      <c r="BY597" s="1" t="s">
        <v>108</v>
      </c>
      <c r="BZ597" s="1" t="s">
        <v>11426</v>
      </c>
      <c r="CA597" s="1" t="str">
        <f>HYPERLINK("https%3A%2F%2Fwww.webofscience.com%2Fwos%2Fwoscc%2Ffull-record%2FWOS:000542762600001","View Full Record in Web of Science")</f>
        <v>View Full Record in Web of Science</v>
      </c>
    </row>
    <row r="598" s="1" customFormat="1" ht="14.4" spans="1:79">
      <c r="A598">
        <v>597</v>
      </c>
      <c r="B598" s="2" t="s">
        <v>79</v>
      </c>
      <c r="C598" s="1" t="s">
        <v>80</v>
      </c>
      <c r="D598" s="1" t="s">
        <v>11427</v>
      </c>
      <c r="E598" s="1" t="s">
        <v>82</v>
      </c>
      <c r="F598" s="1" t="s">
        <v>82</v>
      </c>
      <c r="G598" s="1" t="s">
        <v>82</v>
      </c>
      <c r="H598" s="1" t="s">
        <v>11428</v>
      </c>
      <c r="I598" s="1" t="s">
        <v>82</v>
      </c>
      <c r="J598" s="1" t="s">
        <v>82</v>
      </c>
      <c r="K598" s="1" t="s">
        <v>11429</v>
      </c>
      <c r="L598" s="1" t="s">
        <v>11430</v>
      </c>
      <c r="M598" s="1">
        <v>2.482</v>
      </c>
      <c r="O598" s="1" t="s">
        <v>82</v>
      </c>
      <c r="P598" s="1" t="s">
        <v>82</v>
      </c>
      <c r="Q598" s="1" t="s">
        <v>87</v>
      </c>
      <c r="R598" s="1" t="s">
        <v>1624</v>
      </c>
      <c r="S598" s="1" t="s">
        <v>82</v>
      </c>
      <c r="T598" s="1" t="s">
        <v>82</v>
      </c>
      <c r="U598" s="1" t="s">
        <v>82</v>
      </c>
      <c r="V598" s="1" t="s">
        <v>82</v>
      </c>
      <c r="W598" s="1" t="s">
        <v>82</v>
      </c>
      <c r="X598" s="1" t="s">
        <v>11431</v>
      </c>
      <c r="Y598" s="1" t="s">
        <v>11432</v>
      </c>
      <c r="Z598" s="1" t="s">
        <v>11433</v>
      </c>
      <c r="AB598" s="1" t="s">
        <v>11434</v>
      </c>
      <c r="AC598" s="1" t="s">
        <v>11435</v>
      </c>
      <c r="AD598" s="1" t="s">
        <v>206</v>
      </c>
      <c r="AE598" s="1" t="s">
        <v>10535</v>
      </c>
      <c r="AF598" s="1" t="s">
        <v>11436</v>
      </c>
      <c r="AG598" s="1" t="s">
        <v>11437</v>
      </c>
      <c r="AH598" s="1" t="s">
        <v>10538</v>
      </c>
      <c r="AI598" s="1" t="s">
        <v>10539</v>
      </c>
      <c r="AJ598" s="1" t="s">
        <v>11438</v>
      </c>
      <c r="AK598" s="1" t="s">
        <v>11439</v>
      </c>
      <c r="AL598" s="1" t="s">
        <v>11440</v>
      </c>
      <c r="AM598" s="1" t="s">
        <v>82</v>
      </c>
      <c r="AN598" s="1">
        <v>75</v>
      </c>
      <c r="AO598" s="1">
        <v>0</v>
      </c>
      <c r="AP598" s="1">
        <v>0</v>
      </c>
      <c r="AQ598" s="1">
        <v>6</v>
      </c>
      <c r="AR598" s="1">
        <v>7</v>
      </c>
      <c r="AS598" s="1" t="s">
        <v>11441</v>
      </c>
      <c r="AT598" s="1" t="s">
        <v>11442</v>
      </c>
      <c r="AU598" s="1" t="s">
        <v>11443</v>
      </c>
      <c r="AV598" s="1" t="s">
        <v>11444</v>
      </c>
      <c r="AW598" s="1" t="s">
        <v>11445</v>
      </c>
      <c r="AX598" s="1" t="s">
        <v>82</v>
      </c>
      <c r="AY598" s="1" t="s">
        <v>11430</v>
      </c>
      <c r="AZ598" s="1" t="s">
        <v>11446</v>
      </c>
      <c r="BA598" s="1" t="s">
        <v>82</v>
      </c>
      <c r="BB598" s="1" t="s">
        <v>82</v>
      </c>
      <c r="BC598" s="1" t="s">
        <v>82</v>
      </c>
      <c r="BD598" s="1" t="s">
        <v>82</v>
      </c>
      <c r="BE598" s="1" t="s">
        <v>82</v>
      </c>
      <c r="BF598" s="1" t="s">
        <v>82</v>
      </c>
      <c r="BG598" s="1" t="s">
        <v>82</v>
      </c>
      <c r="BH598" s="1" t="s">
        <v>82</v>
      </c>
      <c r="BI598" s="1">
        <v>376</v>
      </c>
      <c r="BJ598" s="1">
        <v>388</v>
      </c>
      <c r="BK598" s="1" t="s">
        <v>82</v>
      </c>
      <c r="BL598" s="1" t="s">
        <v>11447</v>
      </c>
      <c r="BM598" s="1" t="str">
        <f>HYPERLINK("http://dx.doi.org/10.32615/ps.2022.024","http://dx.doi.org/10.32615/ps.2022.024")</f>
        <v>http://dx.doi.org/10.32615/ps.2022.024</v>
      </c>
      <c r="BN598" s="1" t="s">
        <v>82</v>
      </c>
      <c r="BO598" s="1" t="s">
        <v>1298</v>
      </c>
      <c r="BP598" s="1">
        <v>13</v>
      </c>
      <c r="BQ598" s="1" t="s">
        <v>378</v>
      </c>
      <c r="BR598" s="1" t="s">
        <v>104</v>
      </c>
      <c r="BS598" s="1" t="s">
        <v>378</v>
      </c>
      <c r="BT598" s="1" t="s">
        <v>11448</v>
      </c>
      <c r="BU598" s="1" t="s">
        <v>82</v>
      </c>
      <c r="BV598" s="1" t="s">
        <v>808</v>
      </c>
      <c r="BW598" s="1" t="s">
        <v>82</v>
      </c>
      <c r="BX598" s="1" t="s">
        <v>82</v>
      </c>
      <c r="BY598" s="1" t="s">
        <v>108</v>
      </c>
      <c r="BZ598" s="1" t="s">
        <v>11449</v>
      </c>
      <c r="CA598" s="1" t="str">
        <f>HYPERLINK("https%3A%2F%2Fwww.webofscience.com%2Fwos%2Fwoscc%2Ffull-record%2FWOS:000809601600001","View Full Record in Web of Science")</f>
        <v>View Full Record in Web of Science</v>
      </c>
    </row>
    <row r="599" s="1" customFormat="1" ht="14.4" spans="1:79">
      <c r="A599">
        <v>598</v>
      </c>
      <c r="B599" s="2" t="s">
        <v>79</v>
      </c>
      <c r="C599" s="1" t="s">
        <v>80</v>
      </c>
      <c r="D599" s="1" t="s">
        <v>11450</v>
      </c>
      <c r="E599" s="1" t="s">
        <v>82</v>
      </c>
      <c r="F599" s="1" t="s">
        <v>82</v>
      </c>
      <c r="G599" s="1" t="s">
        <v>82</v>
      </c>
      <c r="H599" s="1" t="s">
        <v>11451</v>
      </c>
      <c r="I599" s="1" t="s">
        <v>82</v>
      </c>
      <c r="J599" s="1" t="s">
        <v>82</v>
      </c>
      <c r="K599" s="1" t="s">
        <v>11452</v>
      </c>
      <c r="L599" s="1" t="s">
        <v>11453</v>
      </c>
      <c r="M599" s="1">
        <v>2.433</v>
      </c>
      <c r="O599" s="1" t="s">
        <v>82</v>
      </c>
      <c r="P599" s="1" t="s">
        <v>82</v>
      </c>
      <c r="Q599" s="1" t="s">
        <v>87</v>
      </c>
      <c r="R599" s="1" t="s">
        <v>115</v>
      </c>
      <c r="S599" s="1" t="s">
        <v>82</v>
      </c>
      <c r="T599" s="1" t="s">
        <v>82</v>
      </c>
      <c r="U599" s="1" t="s">
        <v>82</v>
      </c>
      <c r="V599" s="1" t="s">
        <v>82</v>
      </c>
      <c r="W599" s="1" t="s">
        <v>82</v>
      </c>
      <c r="X599" s="1" t="s">
        <v>11454</v>
      </c>
      <c r="Y599" s="1" t="s">
        <v>11455</v>
      </c>
      <c r="Z599" s="1" t="s">
        <v>11456</v>
      </c>
      <c r="AB599" s="1" t="s">
        <v>11457</v>
      </c>
      <c r="AC599" s="1" t="s">
        <v>11458</v>
      </c>
      <c r="AD599" s="1" t="s">
        <v>120</v>
      </c>
      <c r="AE599" s="1" t="s">
        <v>11459</v>
      </c>
      <c r="AF599" s="1" t="s">
        <v>11460</v>
      </c>
      <c r="AG599" s="1" t="s">
        <v>11461</v>
      </c>
      <c r="AH599" s="1" t="s">
        <v>11462</v>
      </c>
      <c r="AI599" s="1" t="s">
        <v>11463</v>
      </c>
      <c r="AJ599" s="1" t="s">
        <v>11464</v>
      </c>
      <c r="AK599" s="1" t="s">
        <v>11465</v>
      </c>
      <c r="AL599" s="1" t="s">
        <v>11464</v>
      </c>
      <c r="AM599" s="1" t="s">
        <v>82</v>
      </c>
      <c r="AN599" s="1">
        <v>61</v>
      </c>
      <c r="AO599" s="1">
        <v>1</v>
      </c>
      <c r="AP599" s="1">
        <v>1</v>
      </c>
      <c r="AQ599" s="1">
        <v>6</v>
      </c>
      <c r="AR599" s="1">
        <v>6</v>
      </c>
      <c r="AS599" s="1" t="s">
        <v>1002</v>
      </c>
      <c r="AT599" s="1" t="s">
        <v>1003</v>
      </c>
      <c r="AU599" s="1" t="s">
        <v>1004</v>
      </c>
      <c r="AV599" s="1" t="s">
        <v>11466</v>
      </c>
      <c r="AW599" s="1" t="s">
        <v>11467</v>
      </c>
      <c r="AX599" s="1" t="s">
        <v>82</v>
      </c>
      <c r="AY599" s="1" t="s">
        <v>11468</v>
      </c>
      <c r="AZ599" s="1" t="s">
        <v>11469</v>
      </c>
      <c r="BA599" s="1" t="s">
        <v>1826</v>
      </c>
      <c r="BB599" s="1">
        <v>2023</v>
      </c>
      <c r="BC599" s="1">
        <v>171</v>
      </c>
      <c r="BD599" s="1">
        <v>1</v>
      </c>
      <c r="BE599" s="1" t="s">
        <v>82</v>
      </c>
      <c r="BF599" s="1" t="s">
        <v>82</v>
      </c>
      <c r="BG599" s="1" t="s">
        <v>82</v>
      </c>
      <c r="BH599" s="1" t="s">
        <v>82</v>
      </c>
      <c r="BI599" s="1">
        <v>56</v>
      </c>
      <c r="BJ599" s="1">
        <v>67</v>
      </c>
      <c r="BK599" s="1" t="s">
        <v>82</v>
      </c>
      <c r="BL599" s="1" t="s">
        <v>11470</v>
      </c>
      <c r="BM599" s="1" t="str">
        <f>HYPERLINK("http://dx.doi.org/10.1111/eea.13249","http://dx.doi.org/10.1111/eea.13249")</f>
        <v>http://dx.doi.org/10.1111/eea.13249</v>
      </c>
      <c r="BN599" s="1" t="s">
        <v>82</v>
      </c>
      <c r="BO599" s="1" t="s">
        <v>2084</v>
      </c>
      <c r="BP599" s="1">
        <v>12</v>
      </c>
      <c r="BQ599" s="1" t="s">
        <v>3600</v>
      </c>
      <c r="BR599" s="1" t="s">
        <v>104</v>
      </c>
      <c r="BS599" s="1" t="s">
        <v>3600</v>
      </c>
      <c r="BT599" s="1" t="s">
        <v>11471</v>
      </c>
      <c r="BU599" s="1" t="s">
        <v>82</v>
      </c>
      <c r="BV599" s="1" t="s">
        <v>82</v>
      </c>
      <c r="BW599" s="1" t="s">
        <v>82</v>
      </c>
      <c r="BX599" s="1" t="s">
        <v>82</v>
      </c>
      <c r="BY599" s="1" t="s">
        <v>108</v>
      </c>
      <c r="BZ599" s="1" t="s">
        <v>11472</v>
      </c>
      <c r="CA599" s="1" t="str">
        <f>HYPERLINK("https%3A%2F%2Fwww.webofscience.com%2Fwos%2Fwoscc%2Ffull-record%2FWOS:000876540000001","View Full Record in Web of Science")</f>
        <v>View Full Record in Web of Science</v>
      </c>
    </row>
    <row r="600" s="1" customFormat="1" ht="14.4" spans="1:79">
      <c r="A600">
        <v>599</v>
      </c>
      <c r="B600" s="2" t="s">
        <v>110</v>
      </c>
      <c r="C600" s="1" t="s">
        <v>80</v>
      </c>
      <c r="D600" s="1" t="s">
        <v>11473</v>
      </c>
      <c r="E600" s="1" t="s">
        <v>82</v>
      </c>
      <c r="F600" s="1" t="s">
        <v>82</v>
      </c>
      <c r="G600" s="1" t="s">
        <v>82</v>
      </c>
      <c r="H600" s="1" t="s">
        <v>11474</v>
      </c>
      <c r="I600" s="1" t="s">
        <v>82</v>
      </c>
      <c r="J600" s="1" t="s">
        <v>82</v>
      </c>
      <c r="K600" s="1" t="s">
        <v>11475</v>
      </c>
      <c r="L600" s="1" t="s">
        <v>11476</v>
      </c>
      <c r="M600" s="1">
        <v>2.431</v>
      </c>
      <c r="O600" s="1" t="s">
        <v>82</v>
      </c>
      <c r="P600" s="1" t="s">
        <v>82</v>
      </c>
      <c r="Q600" s="1" t="s">
        <v>87</v>
      </c>
      <c r="R600" s="1" t="s">
        <v>115</v>
      </c>
      <c r="S600" s="1" t="s">
        <v>82</v>
      </c>
      <c r="T600" s="1" t="s">
        <v>82</v>
      </c>
      <c r="U600" s="1" t="s">
        <v>82</v>
      </c>
      <c r="V600" s="1" t="s">
        <v>82</v>
      </c>
      <c r="W600" s="1" t="s">
        <v>82</v>
      </c>
      <c r="X600" s="1" t="s">
        <v>11477</v>
      </c>
      <c r="Y600" s="1" t="s">
        <v>11478</v>
      </c>
      <c r="Z600" s="1" t="s">
        <v>11479</v>
      </c>
      <c r="AB600" s="1" t="s">
        <v>11480</v>
      </c>
      <c r="AC600" s="1" t="s">
        <v>11481</v>
      </c>
      <c r="AD600" s="1" t="s">
        <v>120</v>
      </c>
      <c r="AE600" s="1" t="s">
        <v>11482</v>
      </c>
      <c r="AF600" s="1" t="s">
        <v>11483</v>
      </c>
      <c r="AG600" s="1" t="s">
        <v>11484</v>
      </c>
      <c r="AH600" s="1" t="s">
        <v>11485</v>
      </c>
      <c r="AI600" s="1" t="s">
        <v>11486</v>
      </c>
      <c r="AJ600" s="1" t="s">
        <v>11487</v>
      </c>
      <c r="AK600" s="1" t="s">
        <v>11488</v>
      </c>
      <c r="AL600" s="1" t="s">
        <v>11489</v>
      </c>
      <c r="AM600" s="1" t="s">
        <v>82</v>
      </c>
      <c r="AN600" s="1">
        <v>71</v>
      </c>
      <c r="AO600" s="1">
        <v>0</v>
      </c>
      <c r="AP600" s="1">
        <v>0</v>
      </c>
      <c r="AQ600" s="1">
        <v>3</v>
      </c>
      <c r="AR600" s="1">
        <v>6</v>
      </c>
      <c r="AS600" s="1" t="s">
        <v>8333</v>
      </c>
      <c r="AT600" s="1" t="s">
        <v>8334</v>
      </c>
      <c r="AU600" s="1" t="s">
        <v>8335</v>
      </c>
      <c r="AV600" s="1" t="s">
        <v>11490</v>
      </c>
      <c r="AW600" s="1" t="s">
        <v>11491</v>
      </c>
      <c r="AX600" s="1" t="s">
        <v>82</v>
      </c>
      <c r="AY600" s="1" t="s">
        <v>11492</v>
      </c>
      <c r="AZ600" s="1" t="s">
        <v>11493</v>
      </c>
      <c r="BA600" s="1" t="s">
        <v>11494</v>
      </c>
      <c r="BB600" s="1">
        <v>2022</v>
      </c>
      <c r="BC600" s="1">
        <v>36</v>
      </c>
      <c r="BD600" s="1" t="s">
        <v>11495</v>
      </c>
      <c r="BE600" s="1" t="s">
        <v>82</v>
      </c>
      <c r="BF600" s="1" t="s">
        <v>82</v>
      </c>
      <c r="BG600" s="1" t="s">
        <v>170</v>
      </c>
      <c r="BH600" s="1" t="s">
        <v>82</v>
      </c>
      <c r="BI600" s="1">
        <v>2708</v>
      </c>
      <c r="BJ600" s="1">
        <v>2731</v>
      </c>
      <c r="BK600" s="1" t="s">
        <v>82</v>
      </c>
      <c r="BL600" s="1" t="s">
        <v>11496</v>
      </c>
      <c r="BM600" s="1" t="str">
        <f>HYPERLINK("http://dx.doi.org/10.1080/01694243.2022.2042137","http://dx.doi.org/10.1080/01694243.2022.2042137")</f>
        <v>http://dx.doi.org/10.1080/01694243.2022.2042137</v>
      </c>
      <c r="BN600" s="1" t="s">
        <v>82</v>
      </c>
      <c r="BO600" s="1" t="s">
        <v>296</v>
      </c>
      <c r="BP600" s="1">
        <v>24</v>
      </c>
      <c r="BQ600" s="1" t="s">
        <v>11497</v>
      </c>
      <c r="BR600" s="1" t="s">
        <v>104</v>
      </c>
      <c r="BS600" s="1" t="s">
        <v>11498</v>
      </c>
      <c r="BT600" s="1" t="s">
        <v>11499</v>
      </c>
      <c r="BU600" s="1" t="s">
        <v>82</v>
      </c>
      <c r="BV600" s="1" t="s">
        <v>82</v>
      </c>
      <c r="BW600" s="1" t="s">
        <v>82</v>
      </c>
      <c r="BX600" s="1" t="s">
        <v>82</v>
      </c>
      <c r="BY600" s="1" t="s">
        <v>108</v>
      </c>
      <c r="BZ600" s="1" t="s">
        <v>11500</v>
      </c>
      <c r="CA600" s="1" t="str">
        <f>HYPERLINK("https%3A%2F%2Fwww.webofscience.com%2Fwos%2Fwoscc%2Ffull-record%2FWOS:000758637600001","View Full Record in Web of Science")</f>
        <v>View Full Record in Web of Science</v>
      </c>
    </row>
    <row r="601" s="1" customFormat="1" ht="14.4" spans="1:79">
      <c r="A601">
        <v>600</v>
      </c>
      <c r="B601" s="2" t="s">
        <v>110</v>
      </c>
      <c r="C601" s="1" t="s">
        <v>80</v>
      </c>
      <c r="D601" s="1" t="s">
        <v>11501</v>
      </c>
      <c r="E601" s="1" t="s">
        <v>82</v>
      </c>
      <c r="F601" s="1" t="s">
        <v>82</v>
      </c>
      <c r="G601" s="1" t="s">
        <v>82</v>
      </c>
      <c r="H601" s="1" t="s">
        <v>11502</v>
      </c>
      <c r="I601" s="1" t="s">
        <v>82</v>
      </c>
      <c r="J601" s="1" t="s">
        <v>82</v>
      </c>
      <c r="K601" s="1" t="s">
        <v>11503</v>
      </c>
      <c r="L601" s="1" t="s">
        <v>11504</v>
      </c>
      <c r="M601" s="1">
        <v>2.371</v>
      </c>
      <c r="O601" s="1" t="s">
        <v>82</v>
      </c>
      <c r="P601" s="1" t="s">
        <v>82</v>
      </c>
      <c r="Q601" s="1" t="s">
        <v>87</v>
      </c>
      <c r="R601" s="1" t="s">
        <v>273</v>
      </c>
      <c r="S601" s="1" t="s">
        <v>82</v>
      </c>
      <c r="T601" s="1" t="s">
        <v>82</v>
      </c>
      <c r="U601" s="1" t="s">
        <v>82</v>
      </c>
      <c r="V601" s="1" t="s">
        <v>82</v>
      </c>
      <c r="W601" s="1" t="s">
        <v>82</v>
      </c>
      <c r="X601" s="1" t="s">
        <v>82</v>
      </c>
      <c r="Y601" s="1" t="s">
        <v>82</v>
      </c>
      <c r="Z601" s="1" t="s">
        <v>82</v>
      </c>
      <c r="AB601" s="1" t="s">
        <v>11505</v>
      </c>
      <c r="AC601" s="1" t="s">
        <v>11506</v>
      </c>
      <c r="AD601" s="1" t="s">
        <v>120</v>
      </c>
      <c r="AE601" s="1" t="s">
        <v>11507</v>
      </c>
      <c r="AF601" s="1" t="s">
        <v>11508</v>
      </c>
      <c r="AG601" s="1" t="s">
        <v>11509</v>
      </c>
      <c r="AH601" s="1" t="s">
        <v>82</v>
      </c>
      <c r="AI601" s="1" t="s">
        <v>82</v>
      </c>
      <c r="AJ601" s="1" t="s">
        <v>82</v>
      </c>
      <c r="AK601" s="1" t="s">
        <v>82</v>
      </c>
      <c r="AL601" s="1" t="s">
        <v>82</v>
      </c>
      <c r="AM601" s="1" t="s">
        <v>82</v>
      </c>
      <c r="AN601" s="1">
        <v>1</v>
      </c>
      <c r="AO601" s="1">
        <v>0</v>
      </c>
      <c r="AP601" s="1">
        <v>0</v>
      </c>
      <c r="AQ601" s="1">
        <v>10</v>
      </c>
      <c r="AR601" s="1">
        <v>11</v>
      </c>
      <c r="AS601" s="1" t="s">
        <v>2695</v>
      </c>
      <c r="AT601" s="1" t="s">
        <v>975</v>
      </c>
      <c r="AU601" s="1" t="s">
        <v>2696</v>
      </c>
      <c r="AV601" s="1" t="s">
        <v>11510</v>
      </c>
      <c r="AW601" s="1" t="s">
        <v>11511</v>
      </c>
      <c r="AX601" s="1" t="s">
        <v>82</v>
      </c>
      <c r="AY601" s="1" t="s">
        <v>11512</v>
      </c>
      <c r="AZ601" s="1" t="s">
        <v>11513</v>
      </c>
      <c r="BA601" s="1" t="s">
        <v>1403</v>
      </c>
      <c r="BB601" s="1">
        <v>2022</v>
      </c>
      <c r="BC601" s="1">
        <v>19</v>
      </c>
      <c r="BD601" s="1">
        <v>7</v>
      </c>
      <c r="BE601" s="1" t="s">
        <v>82</v>
      </c>
      <c r="BF601" s="1" t="s">
        <v>82</v>
      </c>
      <c r="BG601" s="1" t="s">
        <v>82</v>
      </c>
      <c r="BH601" s="1" t="s">
        <v>82</v>
      </c>
      <c r="BI601" s="1">
        <v>2136</v>
      </c>
      <c r="BJ601" s="1">
        <v>2136</v>
      </c>
      <c r="BK601" s="1" t="s">
        <v>82</v>
      </c>
      <c r="BL601" s="1" t="s">
        <v>11514</v>
      </c>
      <c r="BM601" s="1" t="str">
        <f>HYPERLINK("http://dx.doi.org/10.1007/s11629-018-4843-3","http://dx.doi.org/10.1007/s11629-018-4843-3")</f>
        <v>http://dx.doi.org/10.1007/s11629-018-4843-3</v>
      </c>
      <c r="BN601" s="1" t="s">
        <v>82</v>
      </c>
      <c r="BO601" s="1" t="s">
        <v>82</v>
      </c>
      <c r="BP601" s="1">
        <v>1</v>
      </c>
      <c r="BQ601" s="1" t="s">
        <v>1174</v>
      </c>
      <c r="BR601" s="1" t="s">
        <v>104</v>
      </c>
      <c r="BS601" s="1" t="s">
        <v>545</v>
      </c>
      <c r="BT601" s="1" t="s">
        <v>11515</v>
      </c>
      <c r="BU601" s="1" t="s">
        <v>82</v>
      </c>
      <c r="BV601" s="1" t="s">
        <v>107</v>
      </c>
      <c r="BW601" s="1" t="s">
        <v>82</v>
      </c>
      <c r="BX601" s="1" t="s">
        <v>82</v>
      </c>
      <c r="BY601" s="1" t="s">
        <v>108</v>
      </c>
      <c r="BZ601" s="1" t="s">
        <v>11516</v>
      </c>
      <c r="CA601" s="1" t="str">
        <f>HYPERLINK("https%3A%2F%2Fwww.webofscience.com%2Fwos%2Fwoscc%2Ffull-record%2FWOS:000827751600021","View Full Record in Web of Science")</f>
        <v>View Full Record in Web of Science</v>
      </c>
    </row>
    <row r="602" s="1" customFormat="1" ht="14.4" spans="1:79">
      <c r="A602">
        <v>601</v>
      </c>
      <c r="B602" s="2" t="s">
        <v>110</v>
      </c>
      <c r="C602" s="1" t="s">
        <v>80</v>
      </c>
      <c r="D602" s="1" t="s">
        <v>11517</v>
      </c>
      <c r="E602" s="1" t="s">
        <v>82</v>
      </c>
      <c r="F602" s="1" t="s">
        <v>82</v>
      </c>
      <c r="G602" s="1" t="s">
        <v>82</v>
      </c>
      <c r="H602" s="1" t="s">
        <v>11518</v>
      </c>
      <c r="I602" s="1" t="s">
        <v>82</v>
      </c>
      <c r="J602" s="1" t="s">
        <v>82</v>
      </c>
      <c r="K602" s="1" t="s">
        <v>11519</v>
      </c>
      <c r="L602" s="1" t="s">
        <v>11520</v>
      </c>
      <c r="M602" s="1">
        <v>2.351</v>
      </c>
      <c r="O602" s="1" t="s">
        <v>82</v>
      </c>
      <c r="P602" s="1" t="s">
        <v>82</v>
      </c>
      <c r="Q602" s="1" t="s">
        <v>87</v>
      </c>
      <c r="R602" s="1" t="s">
        <v>115</v>
      </c>
      <c r="S602" s="1" t="s">
        <v>82</v>
      </c>
      <c r="T602" s="1" t="s">
        <v>82</v>
      </c>
      <c r="U602" s="1" t="s">
        <v>82</v>
      </c>
      <c r="V602" s="1" t="s">
        <v>82</v>
      </c>
      <c r="W602" s="1" t="s">
        <v>82</v>
      </c>
      <c r="X602" s="1" t="s">
        <v>11521</v>
      </c>
      <c r="Y602" s="1" t="s">
        <v>82</v>
      </c>
      <c r="Z602" s="1" t="s">
        <v>11522</v>
      </c>
      <c r="AA602" s="1">
        <v>1</v>
      </c>
      <c r="AB602" s="1" t="s">
        <v>8849</v>
      </c>
      <c r="AC602" s="1" t="s">
        <v>11523</v>
      </c>
      <c r="AD602" s="1" t="s">
        <v>93</v>
      </c>
      <c r="AE602" s="1" t="s">
        <v>1630</v>
      </c>
      <c r="AF602" s="1" t="s">
        <v>11524</v>
      </c>
      <c r="AG602" s="1" t="s">
        <v>5379</v>
      </c>
      <c r="AH602" s="1" t="s">
        <v>3746</v>
      </c>
      <c r="AI602" s="1" t="s">
        <v>82</v>
      </c>
      <c r="AJ602" s="1" t="s">
        <v>11525</v>
      </c>
      <c r="AK602" s="1" t="s">
        <v>11526</v>
      </c>
      <c r="AL602" s="1" t="s">
        <v>11527</v>
      </c>
      <c r="AM602" s="1" t="s">
        <v>82</v>
      </c>
      <c r="AN602" s="1">
        <v>20</v>
      </c>
      <c r="AO602" s="1">
        <v>0</v>
      </c>
      <c r="AP602" s="1">
        <v>0</v>
      </c>
      <c r="AQ602" s="1">
        <v>1</v>
      </c>
      <c r="AR602" s="1">
        <v>1</v>
      </c>
      <c r="AS602" s="1" t="s">
        <v>11528</v>
      </c>
      <c r="AT602" s="1" t="s">
        <v>216</v>
      </c>
      <c r="AU602" s="1" t="s">
        <v>11529</v>
      </c>
      <c r="AV602" s="1" t="s">
        <v>11530</v>
      </c>
      <c r="AW602" s="1" t="s">
        <v>11531</v>
      </c>
      <c r="AX602" s="1" t="s">
        <v>82</v>
      </c>
      <c r="AY602" s="1" t="s">
        <v>11532</v>
      </c>
      <c r="AZ602" s="1" t="s">
        <v>11533</v>
      </c>
      <c r="BA602" s="1" t="s">
        <v>486</v>
      </c>
      <c r="BB602" s="1">
        <v>2022</v>
      </c>
      <c r="BC602" s="1">
        <v>31</v>
      </c>
      <c r="BD602" s="1">
        <v>11</v>
      </c>
      <c r="BE602" s="1" t="s">
        <v>82</v>
      </c>
      <c r="BF602" s="1" t="s">
        <v>82</v>
      </c>
      <c r="BG602" s="1" t="s">
        <v>82</v>
      </c>
      <c r="BH602" s="1" t="s">
        <v>82</v>
      </c>
      <c r="BI602" s="1">
        <v>2045</v>
      </c>
      <c r="BJ602" s="1">
        <v>2057</v>
      </c>
      <c r="BK602" s="1" t="s">
        <v>82</v>
      </c>
      <c r="BL602" s="1" t="s">
        <v>11534</v>
      </c>
      <c r="BM602" s="1" t="str">
        <f>HYPERLINK("http://dx.doi.org/10.1007/s00044-022-02973-0","http://dx.doi.org/10.1007/s00044-022-02973-0")</f>
        <v>http://dx.doi.org/10.1007/s00044-022-02973-0</v>
      </c>
      <c r="BN602" s="1" t="s">
        <v>82</v>
      </c>
      <c r="BO602" s="1" t="s">
        <v>224</v>
      </c>
      <c r="BP602" s="1">
        <v>13</v>
      </c>
      <c r="BQ602" s="1" t="s">
        <v>2546</v>
      </c>
      <c r="BR602" s="1" t="s">
        <v>104</v>
      </c>
      <c r="BS602" s="1" t="s">
        <v>982</v>
      </c>
      <c r="BT602" s="1" t="s">
        <v>11535</v>
      </c>
      <c r="BU602" s="1">
        <v>36159033</v>
      </c>
      <c r="BV602" s="1" t="s">
        <v>11536</v>
      </c>
      <c r="BW602" s="1" t="s">
        <v>82</v>
      </c>
      <c r="BX602" s="1" t="s">
        <v>82</v>
      </c>
      <c r="BY602" s="1" t="s">
        <v>108</v>
      </c>
      <c r="BZ602" s="1" t="s">
        <v>11537</v>
      </c>
      <c r="CA602" s="1" t="str">
        <f>HYPERLINK("https%3A%2F%2Fwww.webofscience.com%2Fwos%2Fwoscc%2Ffull-record%2FWOS:000855589000002","View Full Record in Web of Science")</f>
        <v>View Full Record in Web of Science</v>
      </c>
    </row>
    <row r="603" s="1" customFormat="1" ht="14.4" spans="1:79">
      <c r="A603">
        <v>602</v>
      </c>
      <c r="B603" s="2" t="s">
        <v>110</v>
      </c>
      <c r="C603" s="1" t="s">
        <v>80</v>
      </c>
      <c r="D603" s="1" t="s">
        <v>11538</v>
      </c>
      <c r="E603" s="1" t="s">
        <v>82</v>
      </c>
      <c r="F603" s="1" t="s">
        <v>82</v>
      </c>
      <c r="G603" s="1" t="s">
        <v>82</v>
      </c>
      <c r="H603" s="1" t="s">
        <v>11539</v>
      </c>
      <c r="I603" s="1" t="s">
        <v>82</v>
      </c>
      <c r="J603" s="1" t="s">
        <v>82</v>
      </c>
      <c r="K603" s="1" t="s">
        <v>11540</v>
      </c>
      <c r="L603" s="1" t="s">
        <v>11520</v>
      </c>
      <c r="M603" s="1">
        <v>2.351</v>
      </c>
      <c r="O603" s="1" t="s">
        <v>82</v>
      </c>
      <c r="P603" s="1" t="s">
        <v>82</v>
      </c>
      <c r="Q603" s="1" t="s">
        <v>87</v>
      </c>
      <c r="R603" s="1" t="s">
        <v>115</v>
      </c>
      <c r="S603" s="1" t="s">
        <v>82</v>
      </c>
      <c r="T603" s="1" t="s">
        <v>82</v>
      </c>
      <c r="U603" s="1" t="s">
        <v>82</v>
      </c>
      <c r="V603" s="1" t="s">
        <v>82</v>
      </c>
      <c r="W603" s="1" t="s">
        <v>82</v>
      </c>
      <c r="X603" s="1" t="s">
        <v>11541</v>
      </c>
      <c r="Y603" s="1" t="s">
        <v>11542</v>
      </c>
      <c r="Z603" s="1" t="s">
        <v>11543</v>
      </c>
      <c r="AA603" s="1">
        <v>1</v>
      </c>
      <c r="AB603" s="1" t="s">
        <v>11544</v>
      </c>
      <c r="AC603" s="1" t="s">
        <v>11545</v>
      </c>
      <c r="AD603" s="1" t="s">
        <v>93</v>
      </c>
      <c r="AE603" s="1" t="s">
        <v>11546</v>
      </c>
      <c r="AF603" s="1" t="s">
        <v>11547</v>
      </c>
      <c r="AG603" s="1" t="s">
        <v>11548</v>
      </c>
      <c r="AH603" s="1" t="s">
        <v>3746</v>
      </c>
      <c r="AI603" s="1" t="s">
        <v>82</v>
      </c>
      <c r="AJ603" s="1" t="s">
        <v>11549</v>
      </c>
      <c r="AK603" s="1" t="s">
        <v>11550</v>
      </c>
      <c r="AL603" s="1" t="s">
        <v>11551</v>
      </c>
      <c r="AM603" s="1" t="s">
        <v>82</v>
      </c>
      <c r="AN603" s="1">
        <v>37</v>
      </c>
      <c r="AO603" s="1">
        <v>1</v>
      </c>
      <c r="AP603" s="1">
        <v>1</v>
      </c>
      <c r="AQ603" s="1">
        <v>2</v>
      </c>
      <c r="AR603" s="1">
        <v>10</v>
      </c>
      <c r="AS603" s="1" t="s">
        <v>11528</v>
      </c>
      <c r="AT603" s="1" t="s">
        <v>216</v>
      </c>
      <c r="AU603" s="1" t="s">
        <v>11529</v>
      </c>
      <c r="AV603" s="1" t="s">
        <v>11530</v>
      </c>
      <c r="AW603" s="1" t="s">
        <v>11531</v>
      </c>
      <c r="AX603" s="1" t="s">
        <v>82</v>
      </c>
      <c r="AY603" s="1" t="s">
        <v>11532</v>
      </c>
      <c r="AZ603" s="1" t="s">
        <v>11533</v>
      </c>
      <c r="BA603" s="1" t="s">
        <v>1403</v>
      </c>
      <c r="BB603" s="1">
        <v>2022</v>
      </c>
      <c r="BC603" s="1">
        <v>31</v>
      </c>
      <c r="BD603" s="1">
        <v>7</v>
      </c>
      <c r="BE603" s="1" t="s">
        <v>82</v>
      </c>
      <c r="BF603" s="1" t="s">
        <v>82</v>
      </c>
      <c r="BG603" s="1" t="s">
        <v>170</v>
      </c>
      <c r="BH603" s="1" t="s">
        <v>82</v>
      </c>
      <c r="BI603" s="1">
        <v>1224</v>
      </c>
      <c r="BJ603" s="1">
        <v>1239</v>
      </c>
      <c r="BK603" s="1" t="s">
        <v>82</v>
      </c>
      <c r="BL603" s="1" t="s">
        <v>11552</v>
      </c>
      <c r="BM603" s="1" t="str">
        <f>HYPERLINK("http://dx.doi.org/10.1007/s00044-022-02890-2","http://dx.doi.org/10.1007/s00044-022-02890-2")</f>
        <v>http://dx.doi.org/10.1007/s00044-022-02890-2</v>
      </c>
      <c r="BN603" s="1" t="s">
        <v>82</v>
      </c>
      <c r="BO603" s="1" t="s">
        <v>247</v>
      </c>
      <c r="BP603" s="1">
        <v>16</v>
      </c>
      <c r="BQ603" s="1" t="s">
        <v>2546</v>
      </c>
      <c r="BR603" s="1" t="s">
        <v>104</v>
      </c>
      <c r="BS603" s="1" t="s">
        <v>982</v>
      </c>
      <c r="BT603" s="1" t="s">
        <v>11553</v>
      </c>
      <c r="BU603" s="1">
        <v>35634434</v>
      </c>
      <c r="BV603" s="1" t="s">
        <v>2678</v>
      </c>
      <c r="BW603" s="1" t="s">
        <v>82</v>
      </c>
      <c r="BX603" s="1" t="s">
        <v>82</v>
      </c>
      <c r="BY603" s="1" t="s">
        <v>108</v>
      </c>
      <c r="BZ603" s="1" t="s">
        <v>11554</v>
      </c>
      <c r="CA603" s="1" t="str">
        <f>HYPERLINK("https%3A%2F%2Fwww.webofscience.com%2Fwos%2Fwoscc%2Ffull-record%2FWOS:000801056800002","View Full Record in Web of Science")</f>
        <v>View Full Record in Web of Science</v>
      </c>
    </row>
    <row r="604" s="1" customFormat="1" ht="14.4" spans="1:79">
      <c r="A604">
        <v>603</v>
      </c>
      <c r="B604" s="2" t="s">
        <v>110</v>
      </c>
      <c r="C604" s="1" t="s">
        <v>80</v>
      </c>
      <c r="D604" s="1" t="s">
        <v>11555</v>
      </c>
      <c r="E604" s="1" t="s">
        <v>82</v>
      </c>
      <c r="F604" s="1" t="s">
        <v>82</v>
      </c>
      <c r="G604" s="1" t="s">
        <v>82</v>
      </c>
      <c r="H604" s="1" t="s">
        <v>11556</v>
      </c>
      <c r="I604" s="1" t="s">
        <v>82</v>
      </c>
      <c r="J604" s="1" t="s">
        <v>82</v>
      </c>
      <c r="K604" s="1" t="s">
        <v>11557</v>
      </c>
      <c r="L604" s="1" t="s">
        <v>11520</v>
      </c>
      <c r="M604" s="1">
        <v>2.351</v>
      </c>
      <c r="O604" s="1" t="s">
        <v>82</v>
      </c>
      <c r="P604" s="1" t="s">
        <v>82</v>
      </c>
      <c r="Q604" s="1" t="s">
        <v>87</v>
      </c>
      <c r="R604" s="1" t="s">
        <v>115</v>
      </c>
      <c r="S604" s="1" t="s">
        <v>82</v>
      </c>
      <c r="T604" s="1" t="s">
        <v>82</v>
      </c>
      <c r="U604" s="1" t="s">
        <v>82</v>
      </c>
      <c r="V604" s="1" t="s">
        <v>82</v>
      </c>
      <c r="W604" s="1" t="s">
        <v>82</v>
      </c>
      <c r="X604" s="1" t="s">
        <v>11558</v>
      </c>
      <c r="Y604" s="1" t="s">
        <v>11559</v>
      </c>
      <c r="Z604" s="1" t="s">
        <v>11560</v>
      </c>
      <c r="AA604" s="1">
        <v>1</v>
      </c>
      <c r="AB604" s="1" t="s">
        <v>11561</v>
      </c>
      <c r="AC604" s="1" t="s">
        <v>11562</v>
      </c>
      <c r="AD604" s="1" t="s">
        <v>93</v>
      </c>
      <c r="AE604" s="1" t="s">
        <v>1630</v>
      </c>
      <c r="AF604" s="1" t="s">
        <v>11563</v>
      </c>
      <c r="AG604" s="1" t="s">
        <v>5379</v>
      </c>
      <c r="AH604" s="1" t="s">
        <v>3746</v>
      </c>
      <c r="AI604" s="1" t="s">
        <v>82</v>
      </c>
      <c r="AJ604" s="1" t="s">
        <v>11564</v>
      </c>
      <c r="AK604" s="1" t="s">
        <v>11565</v>
      </c>
      <c r="AL604" s="1" t="s">
        <v>11566</v>
      </c>
      <c r="AM604" s="1" t="s">
        <v>82</v>
      </c>
      <c r="AN604" s="1">
        <v>30</v>
      </c>
      <c r="AO604" s="1">
        <v>0</v>
      </c>
      <c r="AP604" s="1">
        <v>0</v>
      </c>
      <c r="AQ604" s="1">
        <v>7</v>
      </c>
      <c r="AR604" s="1">
        <v>19</v>
      </c>
      <c r="AS604" s="1" t="s">
        <v>11528</v>
      </c>
      <c r="AT604" s="1" t="s">
        <v>216</v>
      </c>
      <c r="AU604" s="1" t="s">
        <v>11529</v>
      </c>
      <c r="AV604" s="1" t="s">
        <v>11530</v>
      </c>
      <c r="AW604" s="1" t="s">
        <v>11531</v>
      </c>
      <c r="AX604" s="1" t="s">
        <v>82</v>
      </c>
      <c r="AY604" s="1" t="s">
        <v>11532</v>
      </c>
      <c r="AZ604" s="1" t="s">
        <v>11533</v>
      </c>
      <c r="BA604" s="1" t="s">
        <v>397</v>
      </c>
      <c r="BB604" s="1">
        <v>2022</v>
      </c>
      <c r="BC604" s="1">
        <v>31</v>
      </c>
      <c r="BD604" s="1">
        <v>2</v>
      </c>
      <c r="BE604" s="1" t="s">
        <v>82</v>
      </c>
      <c r="BF604" s="1" t="s">
        <v>82</v>
      </c>
      <c r="BG604" s="1" t="s">
        <v>82</v>
      </c>
      <c r="BH604" s="1" t="s">
        <v>82</v>
      </c>
      <c r="BI604" s="1">
        <v>350</v>
      </c>
      <c r="BJ604" s="1">
        <v>367</v>
      </c>
      <c r="BK604" s="1" t="s">
        <v>82</v>
      </c>
      <c r="BL604" s="1" t="s">
        <v>11567</v>
      </c>
      <c r="BM604" s="1" t="str">
        <f>HYPERLINK("http://dx.doi.org/10.1007/s00044-021-02836-0","http://dx.doi.org/10.1007/s00044-021-02836-0")</f>
        <v>http://dx.doi.org/10.1007/s00044-021-02836-0</v>
      </c>
      <c r="BN604" s="1" t="s">
        <v>82</v>
      </c>
      <c r="BO604" s="1" t="s">
        <v>315</v>
      </c>
      <c r="BP604" s="1">
        <v>18</v>
      </c>
      <c r="BQ604" s="1" t="s">
        <v>2546</v>
      </c>
      <c r="BR604" s="1" t="s">
        <v>104</v>
      </c>
      <c r="BS604" s="1" t="s">
        <v>982</v>
      </c>
      <c r="BT604" s="1" t="s">
        <v>11568</v>
      </c>
      <c r="BU604" s="1">
        <v>35035203</v>
      </c>
      <c r="BV604" s="1" t="s">
        <v>2678</v>
      </c>
      <c r="BW604" s="1" t="s">
        <v>82</v>
      </c>
      <c r="BX604" s="1" t="s">
        <v>82</v>
      </c>
      <c r="BY604" s="1" t="s">
        <v>108</v>
      </c>
      <c r="BZ604" s="1" t="s">
        <v>11569</v>
      </c>
      <c r="CA604" s="1" t="str">
        <f>HYPERLINK("https%3A%2F%2Fwww.webofscience.com%2Fwos%2Fwoscc%2Ffull-record%2FWOS:000741244600001","View Full Record in Web of Science")</f>
        <v>View Full Record in Web of Science</v>
      </c>
    </row>
    <row r="605" s="1" customFormat="1" ht="14.4" spans="1:79">
      <c r="A605">
        <v>604</v>
      </c>
      <c r="B605" t="s">
        <v>79</v>
      </c>
      <c r="C605" t="s">
        <v>80</v>
      </c>
      <c r="D605" t="s">
        <v>11570</v>
      </c>
      <c r="E605" t="s">
        <v>82</v>
      </c>
      <c r="F605" t="s">
        <v>82</v>
      </c>
      <c r="G605" t="s">
        <v>82</v>
      </c>
      <c r="H605" t="s">
        <v>11571</v>
      </c>
      <c r="I605" t="s">
        <v>82</v>
      </c>
      <c r="J605" t="s">
        <v>82</v>
      </c>
      <c r="K605" t="s">
        <v>11572</v>
      </c>
      <c r="L605" t="s">
        <v>11573</v>
      </c>
      <c r="M605">
        <v>2.313</v>
      </c>
      <c r="N605"/>
      <c r="O605" t="s">
        <v>82</v>
      </c>
      <c r="P605" t="s">
        <v>82</v>
      </c>
      <c r="Q605" t="s">
        <v>87</v>
      </c>
      <c r="R605" t="s">
        <v>115</v>
      </c>
      <c r="S605" t="s">
        <v>82</v>
      </c>
      <c r="T605" t="s">
        <v>82</v>
      </c>
      <c r="U605" t="s">
        <v>82</v>
      </c>
      <c r="V605" t="s">
        <v>82</v>
      </c>
      <c r="W605" t="s">
        <v>82</v>
      </c>
      <c r="X605" t="s">
        <v>11574</v>
      </c>
      <c r="Y605" t="s">
        <v>11575</v>
      </c>
      <c r="Z605" t="s">
        <v>11576</v>
      </c>
      <c r="AA605"/>
      <c r="AB605" t="s">
        <v>11577</v>
      </c>
      <c r="AC605" t="s">
        <v>11578</v>
      </c>
      <c r="AD605" s="1" t="s">
        <v>120</v>
      </c>
      <c r="AE605" t="s">
        <v>11579</v>
      </c>
      <c r="AF605" t="s">
        <v>11580</v>
      </c>
      <c r="AG605" t="s">
        <v>11581</v>
      </c>
      <c r="AH605" t="s">
        <v>82</v>
      </c>
      <c r="AI605" t="s">
        <v>82</v>
      </c>
      <c r="AJ605" t="s">
        <v>11582</v>
      </c>
      <c r="AK605" t="s">
        <v>11583</v>
      </c>
      <c r="AL605" t="s">
        <v>11584</v>
      </c>
      <c r="AM605" t="s">
        <v>82</v>
      </c>
      <c r="AN605">
        <v>142</v>
      </c>
      <c r="AO605">
        <v>0</v>
      </c>
      <c r="AP605">
        <v>0</v>
      </c>
      <c r="AQ605">
        <v>2</v>
      </c>
      <c r="AR605">
        <v>2</v>
      </c>
      <c r="AS605" t="s">
        <v>8333</v>
      </c>
      <c r="AT605" t="s">
        <v>8334</v>
      </c>
      <c r="AU605" t="s">
        <v>8335</v>
      </c>
      <c r="AV605" t="s">
        <v>11585</v>
      </c>
      <c r="AW605" t="s">
        <v>11586</v>
      </c>
      <c r="AX605" t="s">
        <v>82</v>
      </c>
      <c r="AY605" t="s">
        <v>11587</v>
      </c>
      <c r="AZ605" t="s">
        <v>11588</v>
      </c>
      <c r="BA605" t="s">
        <v>8340</v>
      </c>
      <c r="BB605">
        <v>2022</v>
      </c>
      <c r="BC605">
        <v>20</v>
      </c>
      <c r="BD605">
        <v>1</v>
      </c>
      <c r="BE605" t="s">
        <v>82</v>
      </c>
      <c r="BF605" t="s">
        <v>82</v>
      </c>
      <c r="BG605" t="s">
        <v>82</v>
      </c>
      <c r="BH605" t="s">
        <v>82</v>
      </c>
      <c r="BI605" t="s">
        <v>82</v>
      </c>
      <c r="BJ605" t="s">
        <v>82</v>
      </c>
      <c r="BK605" t="s">
        <v>82</v>
      </c>
      <c r="BL605" t="s">
        <v>11589</v>
      </c>
      <c r="BM605" t="s">
        <v>11590</v>
      </c>
      <c r="BN605" t="s">
        <v>82</v>
      </c>
      <c r="BO605" t="s">
        <v>82</v>
      </c>
      <c r="BP605">
        <v>24</v>
      </c>
      <c r="BQ605" t="s">
        <v>11591</v>
      </c>
      <c r="BR605" t="s">
        <v>104</v>
      </c>
      <c r="BS605" t="s">
        <v>11592</v>
      </c>
      <c r="BT605" t="s">
        <v>11593</v>
      </c>
      <c r="BU605" t="s">
        <v>82</v>
      </c>
      <c r="BV605" t="s">
        <v>82</v>
      </c>
      <c r="BW605" t="s">
        <v>82</v>
      </c>
      <c r="BX605" t="s">
        <v>82</v>
      </c>
      <c r="BY605" t="s">
        <v>340</v>
      </c>
      <c r="BZ605" t="s">
        <v>11594</v>
      </c>
      <c r="CA605" t="s">
        <v>342</v>
      </c>
    </row>
    <row r="606" s="1" customFormat="1" ht="14.4" spans="1:79">
      <c r="A606">
        <v>605</v>
      </c>
      <c r="B606" s="2" t="s">
        <v>110</v>
      </c>
      <c r="C606" s="1" t="s">
        <v>80</v>
      </c>
      <c r="D606" s="1" t="s">
        <v>11595</v>
      </c>
      <c r="E606" s="1" t="s">
        <v>82</v>
      </c>
      <c r="F606" s="1" t="s">
        <v>82</v>
      </c>
      <c r="G606" s="1" t="s">
        <v>82</v>
      </c>
      <c r="H606" s="1" t="s">
        <v>11596</v>
      </c>
      <c r="I606" s="1" t="s">
        <v>82</v>
      </c>
      <c r="J606" s="1" t="s">
        <v>82</v>
      </c>
      <c r="K606" s="1" t="s">
        <v>11597</v>
      </c>
      <c r="L606" s="1" t="s">
        <v>11598</v>
      </c>
      <c r="M606" s="1">
        <v>2.17</v>
      </c>
      <c r="O606" s="1" t="s">
        <v>82</v>
      </c>
      <c r="P606" s="1" t="s">
        <v>82</v>
      </c>
      <c r="Q606" s="1" t="s">
        <v>87</v>
      </c>
      <c r="R606" s="1" t="s">
        <v>1624</v>
      </c>
      <c r="S606" s="1" t="s">
        <v>82</v>
      </c>
      <c r="T606" s="1" t="s">
        <v>82</v>
      </c>
      <c r="U606" s="1" t="s">
        <v>82</v>
      </c>
      <c r="V606" s="1" t="s">
        <v>82</v>
      </c>
      <c r="W606" s="1" t="s">
        <v>82</v>
      </c>
      <c r="X606" s="1" t="s">
        <v>11599</v>
      </c>
      <c r="Y606" s="1" t="s">
        <v>11600</v>
      </c>
      <c r="Z606" s="1" t="s">
        <v>11601</v>
      </c>
      <c r="AA606" s="1">
        <v>1</v>
      </c>
      <c r="AB606" s="1" t="s">
        <v>11602</v>
      </c>
      <c r="AC606" s="1" t="s">
        <v>11603</v>
      </c>
      <c r="AD606" s="1" t="s">
        <v>93</v>
      </c>
      <c r="AE606" s="1" t="s">
        <v>11604</v>
      </c>
      <c r="AF606" s="1" t="s">
        <v>11605</v>
      </c>
      <c r="AG606" s="1" t="s">
        <v>4202</v>
      </c>
      <c r="AH606" s="1" t="s">
        <v>82</v>
      </c>
      <c r="AI606" s="1" t="s">
        <v>8272</v>
      </c>
      <c r="AJ606" s="1" t="s">
        <v>11606</v>
      </c>
      <c r="AK606" s="1" t="s">
        <v>11607</v>
      </c>
      <c r="AL606" s="1" t="s">
        <v>11608</v>
      </c>
      <c r="AM606" s="1" t="s">
        <v>82</v>
      </c>
      <c r="AN606" s="1">
        <v>36</v>
      </c>
      <c r="AO606" s="1">
        <v>0</v>
      </c>
      <c r="AP606" s="1">
        <v>0</v>
      </c>
      <c r="AQ606" s="1">
        <v>2</v>
      </c>
      <c r="AR606" s="1">
        <v>2</v>
      </c>
      <c r="AS606" s="1" t="s">
        <v>11609</v>
      </c>
      <c r="AT606" s="1" t="s">
        <v>3593</v>
      </c>
      <c r="AU606" s="1" t="s">
        <v>11610</v>
      </c>
      <c r="AV606" s="1" t="s">
        <v>11611</v>
      </c>
      <c r="AW606" s="1" t="s">
        <v>11612</v>
      </c>
      <c r="AX606" s="1" t="s">
        <v>82</v>
      </c>
      <c r="AY606" s="1" t="s">
        <v>11598</v>
      </c>
      <c r="AZ606" s="1" t="s">
        <v>11613</v>
      </c>
      <c r="BA606" s="1" t="s">
        <v>82</v>
      </c>
      <c r="BB606" s="1" t="s">
        <v>82</v>
      </c>
      <c r="BC606" s="1" t="s">
        <v>82</v>
      </c>
      <c r="BD606" s="1" t="s">
        <v>82</v>
      </c>
      <c r="BE606" s="1" t="s">
        <v>82</v>
      </c>
      <c r="BF606" s="1" t="s">
        <v>82</v>
      </c>
      <c r="BG606" s="1" t="s">
        <v>82</v>
      </c>
      <c r="BH606" s="1" t="s">
        <v>82</v>
      </c>
      <c r="BI606" s="1" t="s">
        <v>82</v>
      </c>
      <c r="BJ606" s="1" t="s">
        <v>82</v>
      </c>
      <c r="BK606" s="1" t="s">
        <v>82</v>
      </c>
      <c r="BL606" s="1" t="s">
        <v>11614</v>
      </c>
      <c r="BM606" s="1" t="str">
        <f>HYPERLINK("http://dx.doi.org/10.1055/a-1969-3992","http://dx.doi.org/10.1055/a-1969-3992")</f>
        <v>http://dx.doi.org/10.1055/a-1969-3992</v>
      </c>
      <c r="BN606" s="1" t="s">
        <v>82</v>
      </c>
      <c r="BO606" s="1" t="s">
        <v>870</v>
      </c>
      <c r="BP606" s="1">
        <v>5</v>
      </c>
      <c r="BQ606" s="1" t="s">
        <v>4190</v>
      </c>
      <c r="BR606" s="1" t="s">
        <v>104</v>
      </c>
      <c r="BS606" s="1" t="s">
        <v>706</v>
      </c>
      <c r="BT606" s="1" t="s">
        <v>11615</v>
      </c>
      <c r="BU606" s="1" t="s">
        <v>82</v>
      </c>
      <c r="BV606" s="1" t="s">
        <v>82</v>
      </c>
      <c r="BW606" s="1" t="s">
        <v>82</v>
      </c>
      <c r="BX606" s="1" t="s">
        <v>82</v>
      </c>
      <c r="BY606" s="1" t="s">
        <v>108</v>
      </c>
      <c r="BZ606" s="1" t="s">
        <v>11616</v>
      </c>
      <c r="CA606" s="1" t="str">
        <f>HYPERLINK("https%3A%2F%2Fwww.webofscience.com%2Fwos%2Fwoscc%2Ffull-record%2FWOS:000890024400006","View Full Record in Web of Science")</f>
        <v>View Full Record in Web of Science</v>
      </c>
    </row>
    <row r="607" s="1" customFormat="1" ht="14.4" spans="1:79">
      <c r="A607">
        <v>606</v>
      </c>
      <c r="B607" s="2" t="s">
        <v>79</v>
      </c>
      <c r="C607" s="1" t="s">
        <v>80</v>
      </c>
      <c r="D607" s="1" t="s">
        <v>11617</v>
      </c>
      <c r="E607" s="1" t="s">
        <v>82</v>
      </c>
      <c r="F607" s="1" t="s">
        <v>82</v>
      </c>
      <c r="G607" s="1" t="s">
        <v>82</v>
      </c>
      <c r="H607" s="1" t="s">
        <v>11618</v>
      </c>
      <c r="I607" s="1" t="s">
        <v>82</v>
      </c>
      <c r="J607" s="1" t="s">
        <v>82</v>
      </c>
      <c r="K607" s="1" t="s">
        <v>11619</v>
      </c>
      <c r="L607" s="1" t="s">
        <v>11620</v>
      </c>
      <c r="M607" s="1">
        <v>2.083</v>
      </c>
      <c r="O607" s="1" t="s">
        <v>82</v>
      </c>
      <c r="P607" s="1" t="s">
        <v>82</v>
      </c>
      <c r="Q607" s="1" t="s">
        <v>87</v>
      </c>
      <c r="R607" s="1" t="s">
        <v>2383</v>
      </c>
      <c r="S607" s="1" t="s">
        <v>82</v>
      </c>
      <c r="T607" s="1" t="s">
        <v>82</v>
      </c>
      <c r="U607" s="1" t="s">
        <v>82</v>
      </c>
      <c r="V607" s="1" t="s">
        <v>82</v>
      </c>
      <c r="W607" s="1" t="s">
        <v>82</v>
      </c>
      <c r="X607" s="1" t="s">
        <v>82</v>
      </c>
      <c r="Y607" s="1" t="s">
        <v>11621</v>
      </c>
      <c r="Z607" s="1" t="s">
        <v>82</v>
      </c>
      <c r="AB607" s="1" t="s">
        <v>11622</v>
      </c>
      <c r="AC607" s="1" t="s">
        <v>11623</v>
      </c>
      <c r="AD607" s="1" t="s">
        <v>120</v>
      </c>
      <c r="AE607" s="1" t="s">
        <v>11624</v>
      </c>
      <c r="AF607" s="1" t="s">
        <v>11625</v>
      </c>
      <c r="AG607" s="1" t="s">
        <v>3825</v>
      </c>
      <c r="AH607" s="1" t="s">
        <v>82</v>
      </c>
      <c r="AI607" s="1" t="s">
        <v>82</v>
      </c>
      <c r="AJ607" s="1" t="s">
        <v>11626</v>
      </c>
      <c r="AK607" s="1" t="s">
        <v>11627</v>
      </c>
      <c r="AL607" s="1" t="s">
        <v>11628</v>
      </c>
      <c r="AM607" s="1" t="s">
        <v>82</v>
      </c>
      <c r="AN607" s="1">
        <v>38</v>
      </c>
      <c r="AO607" s="1">
        <v>0</v>
      </c>
      <c r="AP607" s="1">
        <v>0</v>
      </c>
      <c r="AQ607" s="1">
        <v>6</v>
      </c>
      <c r="AR607" s="1">
        <v>21</v>
      </c>
      <c r="AS607" s="1" t="s">
        <v>1002</v>
      </c>
      <c r="AT607" s="1" t="s">
        <v>1003</v>
      </c>
      <c r="AU607" s="1" t="s">
        <v>1004</v>
      </c>
      <c r="AV607" s="1" t="s">
        <v>11629</v>
      </c>
      <c r="AW607" s="1" t="s">
        <v>11630</v>
      </c>
      <c r="AX607" s="1" t="s">
        <v>82</v>
      </c>
      <c r="AY607" s="1" t="s">
        <v>11631</v>
      </c>
      <c r="AZ607" s="1" t="s">
        <v>11632</v>
      </c>
      <c r="BA607" s="1" t="s">
        <v>222</v>
      </c>
      <c r="BB607" s="1">
        <v>2022</v>
      </c>
      <c r="BC607" s="1">
        <v>17</v>
      </c>
      <c r="BD607" s="1">
        <v>5</v>
      </c>
      <c r="BE607" s="1" t="s">
        <v>82</v>
      </c>
      <c r="BF607" s="1" t="s">
        <v>82</v>
      </c>
      <c r="BG607" s="1" t="s">
        <v>82</v>
      </c>
      <c r="BH607" s="1" t="s">
        <v>82</v>
      </c>
      <c r="BI607" s="1">
        <v>953</v>
      </c>
      <c r="BJ607" s="1">
        <v>958</v>
      </c>
      <c r="BK607" s="1" t="s">
        <v>82</v>
      </c>
      <c r="BL607" s="1" t="s">
        <v>11633</v>
      </c>
      <c r="BM607" s="1" t="str">
        <f>HYPERLINK("http://dx.doi.org/10.1111/1749-4877.12606","http://dx.doi.org/10.1111/1749-4877.12606")</f>
        <v>http://dx.doi.org/10.1111/1749-4877.12606</v>
      </c>
      <c r="BN607" s="1" t="s">
        <v>82</v>
      </c>
      <c r="BO607" s="1" t="s">
        <v>1462</v>
      </c>
      <c r="BP607" s="1">
        <v>6</v>
      </c>
      <c r="BQ607" s="1" t="s">
        <v>2701</v>
      </c>
      <c r="BR607" s="1" t="s">
        <v>104</v>
      </c>
      <c r="BS607" s="1" t="s">
        <v>2701</v>
      </c>
      <c r="BT607" s="1" t="s">
        <v>11634</v>
      </c>
      <c r="BU607" s="1">
        <v>34750967</v>
      </c>
      <c r="BV607" s="1" t="s">
        <v>82</v>
      </c>
      <c r="BW607" s="1" t="s">
        <v>82</v>
      </c>
      <c r="BX607" s="1" t="s">
        <v>82</v>
      </c>
      <c r="BY607" s="1" t="s">
        <v>108</v>
      </c>
      <c r="BZ607" s="1" t="s">
        <v>11635</v>
      </c>
      <c r="CA607" s="1" t="str">
        <f>HYPERLINK("https%3A%2F%2Fwww.webofscience.com%2Fwos%2Fwoscc%2Ffull-record%2FWOS:000725960400001","View Full Record in Web of Science")</f>
        <v>View Full Record in Web of Science</v>
      </c>
    </row>
    <row r="608" s="1" customFormat="1" ht="14.4" spans="1:79">
      <c r="A608">
        <v>607</v>
      </c>
      <c r="B608" s="2" t="s">
        <v>79</v>
      </c>
      <c r="C608" s="1" t="s">
        <v>80</v>
      </c>
      <c r="D608" s="1" t="s">
        <v>11636</v>
      </c>
      <c r="E608" s="1" t="s">
        <v>82</v>
      </c>
      <c r="F608" s="1" t="s">
        <v>82</v>
      </c>
      <c r="G608" s="1" t="s">
        <v>82</v>
      </c>
      <c r="H608" s="1" t="s">
        <v>11637</v>
      </c>
      <c r="I608" s="1" t="s">
        <v>82</v>
      </c>
      <c r="J608" s="1" t="s">
        <v>82</v>
      </c>
      <c r="K608" s="1" t="s">
        <v>11638</v>
      </c>
      <c r="L608" s="1" t="s">
        <v>11639</v>
      </c>
      <c r="M608" s="1">
        <v>2.032</v>
      </c>
      <c r="O608" s="1" t="s">
        <v>82</v>
      </c>
      <c r="P608" s="1" t="s">
        <v>82</v>
      </c>
      <c r="Q608" s="1" t="s">
        <v>87</v>
      </c>
      <c r="R608" s="1" t="s">
        <v>115</v>
      </c>
      <c r="S608" s="1" t="s">
        <v>82</v>
      </c>
      <c r="T608" s="1" t="s">
        <v>82</v>
      </c>
      <c r="U608" s="1" t="s">
        <v>82</v>
      </c>
      <c r="V608" s="1" t="s">
        <v>82</v>
      </c>
      <c r="W608" s="1" t="s">
        <v>82</v>
      </c>
      <c r="X608" s="1" t="s">
        <v>11640</v>
      </c>
      <c r="Y608" s="1" t="s">
        <v>82</v>
      </c>
      <c r="Z608" s="1" t="s">
        <v>11641</v>
      </c>
      <c r="AB608" s="1" t="s">
        <v>7873</v>
      </c>
      <c r="AC608" s="1" t="s">
        <v>11642</v>
      </c>
      <c r="AD608" s="1" t="s">
        <v>120</v>
      </c>
      <c r="AE608" s="1" t="s">
        <v>7875</v>
      </c>
      <c r="AF608" s="1" t="s">
        <v>11643</v>
      </c>
      <c r="AG608" s="1" t="s">
        <v>4217</v>
      </c>
      <c r="AH608" s="1" t="s">
        <v>82</v>
      </c>
      <c r="AI608" s="1" t="s">
        <v>82</v>
      </c>
      <c r="AJ608" s="1" t="s">
        <v>11644</v>
      </c>
      <c r="AK608" s="1" t="s">
        <v>11645</v>
      </c>
      <c r="AL608" s="1" t="s">
        <v>11646</v>
      </c>
      <c r="AM608" s="1" t="s">
        <v>82</v>
      </c>
      <c r="AN608" s="1">
        <v>12</v>
      </c>
      <c r="AO608" s="1">
        <v>0</v>
      </c>
      <c r="AP608" s="1">
        <v>0</v>
      </c>
      <c r="AQ608" s="1">
        <v>6</v>
      </c>
      <c r="AR608" s="1">
        <v>6</v>
      </c>
      <c r="AS608" s="1" t="s">
        <v>1700</v>
      </c>
      <c r="AT608" s="1" t="s">
        <v>329</v>
      </c>
      <c r="AU608" s="1" t="s">
        <v>1701</v>
      </c>
      <c r="AV608" s="1" t="s">
        <v>11647</v>
      </c>
      <c r="AW608" s="1" t="s">
        <v>11648</v>
      </c>
      <c r="AX608" s="1" t="s">
        <v>82</v>
      </c>
      <c r="AY608" s="1" t="s">
        <v>11649</v>
      </c>
      <c r="AZ608" s="1" t="s">
        <v>11650</v>
      </c>
      <c r="BA608" s="1" t="s">
        <v>4442</v>
      </c>
      <c r="BB608" s="1">
        <v>2022</v>
      </c>
      <c r="BC608" s="1">
        <v>105</v>
      </c>
      <c r="BD608" s="1" t="s">
        <v>82</v>
      </c>
      <c r="BE608" s="1" t="s">
        <v>82</v>
      </c>
      <c r="BF608" s="1" t="s">
        <v>82</v>
      </c>
      <c r="BG608" s="1" t="s">
        <v>82</v>
      </c>
      <c r="BH608" s="1" t="s">
        <v>82</v>
      </c>
      <c r="BI608" s="1" t="s">
        <v>82</v>
      </c>
      <c r="BJ608" s="1" t="s">
        <v>82</v>
      </c>
      <c r="BK608" s="1">
        <v>154046</v>
      </c>
      <c r="BL608" s="1" t="s">
        <v>11651</v>
      </c>
      <c r="BM608" s="1" t="str">
        <f>HYPERLINK("http://dx.doi.org/10.1016/j.tetlet.2022.154046","http://dx.doi.org/10.1016/j.tetlet.2022.154046")</f>
        <v>http://dx.doi.org/10.1016/j.tetlet.2022.154046</v>
      </c>
      <c r="BN608" s="1" t="s">
        <v>82</v>
      </c>
      <c r="BO608" s="1" t="s">
        <v>424</v>
      </c>
      <c r="BP608" s="1">
        <v>4</v>
      </c>
      <c r="BQ608" s="1" t="s">
        <v>4190</v>
      </c>
      <c r="BR608" s="1" t="s">
        <v>745</v>
      </c>
      <c r="BS608" s="1" t="s">
        <v>706</v>
      </c>
      <c r="BT608" s="1" t="s">
        <v>11652</v>
      </c>
      <c r="BU608" s="1" t="s">
        <v>82</v>
      </c>
      <c r="BV608" s="1" t="s">
        <v>82</v>
      </c>
      <c r="BW608" s="1" t="s">
        <v>82</v>
      </c>
      <c r="BX608" s="1" t="s">
        <v>82</v>
      </c>
      <c r="BY608" s="1" t="s">
        <v>108</v>
      </c>
      <c r="BZ608" s="1" t="s">
        <v>11653</v>
      </c>
      <c r="CA608" s="1" t="str">
        <f>HYPERLINK("https%3A%2F%2Fwww.webofscience.com%2Fwos%2Fwoscc%2Ffull-record%2FWOS:000848640000008","View Full Record in Web of Science")</f>
        <v>View Full Record in Web of Science</v>
      </c>
    </row>
    <row r="609" s="1" customFormat="1" ht="14.4" spans="1:79">
      <c r="A609">
        <v>608</v>
      </c>
      <c r="B609" s="2" t="s">
        <v>79</v>
      </c>
      <c r="C609" s="1" t="s">
        <v>80</v>
      </c>
      <c r="D609" s="1" t="s">
        <v>6728</v>
      </c>
      <c r="E609" s="1" t="s">
        <v>82</v>
      </c>
      <c r="F609" s="1" t="s">
        <v>82</v>
      </c>
      <c r="G609" s="1" t="s">
        <v>82</v>
      </c>
      <c r="H609" s="1" t="s">
        <v>6729</v>
      </c>
      <c r="I609" s="1" t="s">
        <v>82</v>
      </c>
      <c r="J609" s="1" t="s">
        <v>82</v>
      </c>
      <c r="K609" s="1" t="s">
        <v>11654</v>
      </c>
      <c r="L609" s="1" t="s">
        <v>11639</v>
      </c>
      <c r="M609" s="1">
        <v>2.032</v>
      </c>
      <c r="O609" s="1" t="s">
        <v>82</v>
      </c>
      <c r="P609" s="1" t="s">
        <v>82</v>
      </c>
      <c r="Q609" s="1" t="s">
        <v>87</v>
      </c>
      <c r="R609" s="1" t="s">
        <v>115</v>
      </c>
      <c r="S609" s="1" t="s">
        <v>82</v>
      </c>
      <c r="T609" s="1" t="s">
        <v>82</v>
      </c>
      <c r="U609" s="1" t="s">
        <v>82</v>
      </c>
      <c r="V609" s="1" t="s">
        <v>82</v>
      </c>
      <c r="W609" s="1" t="s">
        <v>82</v>
      </c>
      <c r="X609" s="1" t="s">
        <v>11655</v>
      </c>
      <c r="Y609" s="1" t="s">
        <v>82</v>
      </c>
      <c r="Z609" s="1" t="s">
        <v>11656</v>
      </c>
      <c r="AB609" s="1" t="s">
        <v>6735</v>
      </c>
      <c r="AC609" s="1" t="s">
        <v>11657</v>
      </c>
      <c r="AD609" s="1" t="s">
        <v>120</v>
      </c>
      <c r="AE609" s="1" t="s">
        <v>11658</v>
      </c>
      <c r="AF609" s="1" t="s">
        <v>11659</v>
      </c>
      <c r="AG609" s="1" t="s">
        <v>6739</v>
      </c>
      <c r="AH609" s="1" t="s">
        <v>11660</v>
      </c>
      <c r="AI609" s="1" t="s">
        <v>1589</v>
      </c>
      <c r="AJ609" s="1" t="s">
        <v>11661</v>
      </c>
      <c r="AK609" s="1" t="s">
        <v>11662</v>
      </c>
      <c r="AL609" s="1" t="s">
        <v>11663</v>
      </c>
      <c r="AM609" s="1" t="s">
        <v>82</v>
      </c>
      <c r="AN609" s="1">
        <v>13</v>
      </c>
      <c r="AO609" s="1">
        <v>1</v>
      </c>
      <c r="AP609" s="1">
        <v>1</v>
      </c>
      <c r="AQ609" s="1">
        <v>3</v>
      </c>
      <c r="AR609" s="1">
        <v>3</v>
      </c>
      <c r="AS609" s="1" t="s">
        <v>1700</v>
      </c>
      <c r="AT609" s="1" t="s">
        <v>329</v>
      </c>
      <c r="AU609" s="1" t="s">
        <v>1701</v>
      </c>
      <c r="AV609" s="1" t="s">
        <v>11647</v>
      </c>
      <c r="AW609" s="1" t="s">
        <v>11648</v>
      </c>
      <c r="AX609" s="1" t="s">
        <v>82</v>
      </c>
      <c r="AY609" s="1" t="s">
        <v>11649</v>
      </c>
      <c r="AZ609" s="1" t="s">
        <v>11650</v>
      </c>
      <c r="BA609" s="1" t="s">
        <v>11664</v>
      </c>
      <c r="BB609" s="1">
        <v>2022</v>
      </c>
      <c r="BC609" s="1">
        <v>102</v>
      </c>
      <c r="BD609" s="1" t="s">
        <v>82</v>
      </c>
      <c r="BE609" s="1" t="s">
        <v>82</v>
      </c>
      <c r="BF609" s="1" t="s">
        <v>82</v>
      </c>
      <c r="BG609" s="1" t="s">
        <v>82</v>
      </c>
      <c r="BH609" s="1" t="s">
        <v>82</v>
      </c>
      <c r="BI609" s="1" t="s">
        <v>82</v>
      </c>
      <c r="BJ609" s="1" t="s">
        <v>82</v>
      </c>
      <c r="BK609" s="1">
        <v>153924</v>
      </c>
      <c r="BL609" s="1" t="s">
        <v>11665</v>
      </c>
      <c r="BM609" s="1" t="str">
        <f>HYPERLINK("http://dx.doi.org/10.1016/j.tetlet.2022.153924","http://dx.doi.org/10.1016/j.tetlet.2022.153924")</f>
        <v>http://dx.doi.org/10.1016/j.tetlet.2022.153924</v>
      </c>
      <c r="BN609" s="1" t="s">
        <v>82</v>
      </c>
      <c r="BO609" s="1" t="s">
        <v>1257</v>
      </c>
      <c r="BP609" s="1">
        <v>5</v>
      </c>
      <c r="BQ609" s="1" t="s">
        <v>4190</v>
      </c>
      <c r="BR609" s="1" t="s">
        <v>745</v>
      </c>
      <c r="BS609" s="1" t="s">
        <v>706</v>
      </c>
      <c r="BT609" s="1" t="s">
        <v>11666</v>
      </c>
      <c r="BU609" s="1" t="s">
        <v>82</v>
      </c>
      <c r="BV609" s="1" t="s">
        <v>82</v>
      </c>
      <c r="BW609" s="1" t="s">
        <v>82</v>
      </c>
      <c r="BX609" s="1" t="s">
        <v>82</v>
      </c>
      <c r="BY609" s="1" t="s">
        <v>108</v>
      </c>
      <c r="BZ609" s="1" t="s">
        <v>11667</v>
      </c>
      <c r="CA609" s="1" t="str">
        <f>HYPERLINK("https%3A%2F%2Fwww.webofscience.com%2Fwos%2Fwoscc%2Ffull-record%2FWOS:000830109800015","View Full Record in Web of Science")</f>
        <v>View Full Record in Web of Science</v>
      </c>
    </row>
    <row r="610" s="1" customFormat="1" ht="14.4" spans="1:79">
      <c r="A610">
        <v>609</v>
      </c>
      <c r="B610" s="2" t="s">
        <v>79</v>
      </c>
      <c r="C610" s="1" t="s">
        <v>80</v>
      </c>
      <c r="D610" s="1" t="s">
        <v>11668</v>
      </c>
      <c r="E610" s="1" t="s">
        <v>82</v>
      </c>
      <c r="F610" s="1" t="s">
        <v>82</v>
      </c>
      <c r="G610" s="1" t="s">
        <v>82</v>
      </c>
      <c r="H610" s="1" t="s">
        <v>11669</v>
      </c>
      <c r="I610" s="1" t="s">
        <v>82</v>
      </c>
      <c r="J610" s="1" t="s">
        <v>82</v>
      </c>
      <c r="K610" s="1" t="s">
        <v>11670</v>
      </c>
      <c r="L610" s="1" t="s">
        <v>11639</v>
      </c>
      <c r="M610" s="1">
        <v>2.032</v>
      </c>
      <c r="O610" s="1" t="s">
        <v>82</v>
      </c>
      <c r="P610" s="1" t="s">
        <v>82</v>
      </c>
      <c r="Q610" s="1" t="s">
        <v>87</v>
      </c>
      <c r="R610" s="1" t="s">
        <v>115</v>
      </c>
      <c r="S610" s="1" t="s">
        <v>82</v>
      </c>
      <c r="T610" s="1" t="s">
        <v>82</v>
      </c>
      <c r="U610" s="1" t="s">
        <v>82</v>
      </c>
      <c r="V610" s="1" t="s">
        <v>82</v>
      </c>
      <c r="W610" s="1" t="s">
        <v>82</v>
      </c>
      <c r="X610" s="1" t="s">
        <v>11671</v>
      </c>
      <c r="Y610" s="1" t="s">
        <v>11672</v>
      </c>
      <c r="Z610" s="1" t="s">
        <v>11673</v>
      </c>
      <c r="AB610" s="1" t="s">
        <v>11674</v>
      </c>
      <c r="AC610" s="1" t="s">
        <v>11675</v>
      </c>
      <c r="AD610" s="1" t="s">
        <v>120</v>
      </c>
      <c r="AE610" s="1" t="s">
        <v>11676</v>
      </c>
      <c r="AF610" s="1" t="s">
        <v>11677</v>
      </c>
      <c r="AG610" s="1" t="s">
        <v>11678</v>
      </c>
      <c r="AH610" s="1" t="s">
        <v>11679</v>
      </c>
      <c r="AI610" s="1" t="s">
        <v>82</v>
      </c>
      <c r="AJ610" s="1" t="s">
        <v>11680</v>
      </c>
      <c r="AK610" s="1" t="s">
        <v>11681</v>
      </c>
      <c r="AL610" s="1" t="s">
        <v>11682</v>
      </c>
      <c r="AM610" s="1" t="s">
        <v>82</v>
      </c>
      <c r="AN610" s="1">
        <v>20</v>
      </c>
      <c r="AO610" s="1">
        <v>1</v>
      </c>
      <c r="AP610" s="1">
        <v>1</v>
      </c>
      <c r="AQ610" s="1">
        <v>7</v>
      </c>
      <c r="AR610" s="1">
        <v>7</v>
      </c>
      <c r="AS610" s="1" t="s">
        <v>1700</v>
      </c>
      <c r="AT610" s="1" t="s">
        <v>329</v>
      </c>
      <c r="AU610" s="1" t="s">
        <v>1701</v>
      </c>
      <c r="AV610" s="1" t="s">
        <v>11647</v>
      </c>
      <c r="AW610" s="1" t="s">
        <v>11648</v>
      </c>
      <c r="AX610" s="1" t="s">
        <v>82</v>
      </c>
      <c r="AY610" s="1" t="s">
        <v>11649</v>
      </c>
      <c r="AZ610" s="1" t="s">
        <v>11650</v>
      </c>
      <c r="BA610" s="1" t="s">
        <v>11664</v>
      </c>
      <c r="BB610" s="1">
        <v>2022</v>
      </c>
      <c r="BC610" s="1">
        <v>102</v>
      </c>
      <c r="BD610" s="1" t="s">
        <v>82</v>
      </c>
      <c r="BE610" s="1" t="s">
        <v>82</v>
      </c>
      <c r="BF610" s="1" t="s">
        <v>82</v>
      </c>
      <c r="BG610" s="1" t="s">
        <v>82</v>
      </c>
      <c r="BH610" s="1" t="s">
        <v>82</v>
      </c>
      <c r="BI610" s="1" t="s">
        <v>82</v>
      </c>
      <c r="BJ610" s="1" t="s">
        <v>82</v>
      </c>
      <c r="BK610" s="1">
        <v>153943</v>
      </c>
      <c r="BL610" s="1" t="s">
        <v>11683</v>
      </c>
      <c r="BM610" s="1" t="str">
        <f>HYPERLINK("http://dx.doi.org/10.1016/j.tetlet.2022.153943","http://dx.doi.org/10.1016/j.tetlet.2022.153943")</f>
        <v>http://dx.doi.org/10.1016/j.tetlet.2022.153943</v>
      </c>
      <c r="BN610" s="1" t="s">
        <v>82</v>
      </c>
      <c r="BO610" s="1" t="s">
        <v>1257</v>
      </c>
      <c r="BP610" s="1">
        <v>4</v>
      </c>
      <c r="BQ610" s="1" t="s">
        <v>4190</v>
      </c>
      <c r="BR610" s="1" t="s">
        <v>745</v>
      </c>
      <c r="BS610" s="1" t="s">
        <v>706</v>
      </c>
      <c r="BT610" s="1" t="s">
        <v>11666</v>
      </c>
      <c r="BU610" s="1" t="s">
        <v>82</v>
      </c>
      <c r="BV610" s="1" t="s">
        <v>82</v>
      </c>
      <c r="BW610" s="1" t="s">
        <v>82</v>
      </c>
      <c r="BX610" s="1" t="s">
        <v>82</v>
      </c>
      <c r="BY610" s="1" t="s">
        <v>108</v>
      </c>
      <c r="BZ610" s="1" t="s">
        <v>11684</v>
      </c>
      <c r="CA610" s="1" t="str">
        <f>HYPERLINK("https%3A%2F%2Fwww.webofscience.com%2Fwos%2Fwoscc%2Ffull-record%2FWOS:000830109800003","View Full Record in Web of Science")</f>
        <v>View Full Record in Web of Science</v>
      </c>
    </row>
    <row r="611" s="1" customFormat="1" ht="14.4" spans="1:79">
      <c r="A611">
        <v>610</v>
      </c>
      <c r="B611" s="2" t="s">
        <v>110</v>
      </c>
      <c r="C611" s="1" t="s">
        <v>80</v>
      </c>
      <c r="D611" s="1" t="s">
        <v>11685</v>
      </c>
      <c r="E611" s="1" t="s">
        <v>82</v>
      </c>
      <c r="F611" s="1" t="s">
        <v>82</v>
      </c>
      <c r="G611" s="1" t="s">
        <v>82</v>
      </c>
      <c r="H611" s="1" t="s">
        <v>11686</v>
      </c>
      <c r="I611" s="1" t="s">
        <v>82</v>
      </c>
      <c r="J611" s="1" t="s">
        <v>82</v>
      </c>
      <c r="K611" s="1" t="s">
        <v>11687</v>
      </c>
      <c r="L611" s="1" t="s">
        <v>11639</v>
      </c>
      <c r="M611" s="1">
        <v>2.032</v>
      </c>
      <c r="O611" s="1" t="s">
        <v>82</v>
      </c>
      <c r="P611" s="1" t="s">
        <v>82</v>
      </c>
      <c r="Q611" s="1" t="s">
        <v>87</v>
      </c>
      <c r="R611" s="1" t="s">
        <v>115</v>
      </c>
      <c r="S611" s="1" t="s">
        <v>82</v>
      </c>
      <c r="T611" s="1" t="s">
        <v>82</v>
      </c>
      <c r="U611" s="1" t="s">
        <v>82</v>
      </c>
      <c r="V611" s="1" t="s">
        <v>82</v>
      </c>
      <c r="W611" s="1" t="s">
        <v>82</v>
      </c>
      <c r="X611" s="1" t="s">
        <v>11688</v>
      </c>
      <c r="Y611" s="1" t="s">
        <v>11689</v>
      </c>
      <c r="Z611" s="1" t="s">
        <v>11690</v>
      </c>
      <c r="AB611" s="1" t="s">
        <v>11691</v>
      </c>
      <c r="AC611" s="1" t="s">
        <v>11692</v>
      </c>
      <c r="AD611" s="1" t="s">
        <v>120</v>
      </c>
      <c r="AE611" s="1" t="s">
        <v>11693</v>
      </c>
      <c r="AF611" s="1" t="s">
        <v>11694</v>
      </c>
      <c r="AG611" s="1" t="s">
        <v>11695</v>
      </c>
      <c r="AH611" s="1" t="s">
        <v>11696</v>
      </c>
      <c r="AI611" s="1" t="s">
        <v>11697</v>
      </c>
      <c r="AJ611" s="1" t="s">
        <v>11698</v>
      </c>
      <c r="AK611" s="1" t="s">
        <v>11698</v>
      </c>
      <c r="AL611" s="1" t="s">
        <v>11699</v>
      </c>
      <c r="AM611" s="1" t="s">
        <v>82</v>
      </c>
      <c r="AN611" s="1">
        <v>26</v>
      </c>
      <c r="AO611" s="1">
        <v>0</v>
      </c>
      <c r="AP611" s="1">
        <v>0</v>
      </c>
      <c r="AQ611" s="1">
        <v>4</v>
      </c>
      <c r="AR611" s="1">
        <v>5</v>
      </c>
      <c r="AS611" s="1" t="s">
        <v>1700</v>
      </c>
      <c r="AT611" s="1" t="s">
        <v>329</v>
      </c>
      <c r="AU611" s="1" t="s">
        <v>1701</v>
      </c>
      <c r="AV611" s="1" t="s">
        <v>11647</v>
      </c>
      <c r="AW611" s="1" t="s">
        <v>11648</v>
      </c>
      <c r="AX611" s="1" t="s">
        <v>82</v>
      </c>
      <c r="AY611" s="1" t="s">
        <v>11649</v>
      </c>
      <c r="AZ611" s="1" t="s">
        <v>11650</v>
      </c>
      <c r="BA611" s="1" t="s">
        <v>3312</v>
      </c>
      <c r="BB611" s="1">
        <v>2022</v>
      </c>
      <c r="BC611" s="1">
        <v>100</v>
      </c>
      <c r="BD611" s="1" t="s">
        <v>82</v>
      </c>
      <c r="BE611" s="1" t="s">
        <v>82</v>
      </c>
      <c r="BF611" s="1" t="s">
        <v>82</v>
      </c>
      <c r="BG611" s="1" t="s">
        <v>82</v>
      </c>
      <c r="BH611" s="1" t="s">
        <v>82</v>
      </c>
      <c r="BI611" s="1" t="s">
        <v>82</v>
      </c>
      <c r="BJ611" s="1" t="s">
        <v>82</v>
      </c>
      <c r="BK611" s="1">
        <v>153869</v>
      </c>
      <c r="BL611" s="1" t="s">
        <v>11700</v>
      </c>
      <c r="BM611" s="1" t="str">
        <f>HYPERLINK("http://dx.doi.org/10.1016/j.tetlet.2022.153869","http://dx.doi.org/10.1016/j.tetlet.2022.153869")</f>
        <v>http://dx.doi.org/10.1016/j.tetlet.2022.153869</v>
      </c>
      <c r="BN611" s="1" t="s">
        <v>82</v>
      </c>
      <c r="BO611" s="1" t="s">
        <v>1298</v>
      </c>
      <c r="BP611" s="1">
        <v>4</v>
      </c>
      <c r="BQ611" s="1" t="s">
        <v>4190</v>
      </c>
      <c r="BR611" s="1" t="s">
        <v>745</v>
      </c>
      <c r="BS611" s="1" t="s">
        <v>706</v>
      </c>
      <c r="BT611" s="1" t="s">
        <v>11701</v>
      </c>
      <c r="BU611" s="1" t="s">
        <v>82</v>
      </c>
      <c r="BV611" s="1" t="s">
        <v>82</v>
      </c>
      <c r="BW611" s="1" t="s">
        <v>82</v>
      </c>
      <c r="BX611" s="1" t="s">
        <v>82</v>
      </c>
      <c r="BY611" s="1" t="s">
        <v>108</v>
      </c>
      <c r="BZ611" s="1" t="s">
        <v>11702</v>
      </c>
      <c r="CA611" s="1" t="str">
        <f>HYPERLINK("https%3A%2F%2Fwww.webofscience.com%2Fwos%2Fwoscc%2Ffull-record%2FWOS:000814131700008","View Full Record in Web of Science")</f>
        <v>View Full Record in Web of Science</v>
      </c>
    </row>
    <row r="612" s="1" customFormat="1" ht="14.4" spans="1:79">
      <c r="A612">
        <v>611</v>
      </c>
      <c r="B612" s="2" t="s">
        <v>110</v>
      </c>
      <c r="C612" s="1" t="s">
        <v>80</v>
      </c>
      <c r="D612" s="1" t="s">
        <v>11703</v>
      </c>
      <c r="E612" s="1" t="s">
        <v>82</v>
      </c>
      <c r="F612" s="1" t="s">
        <v>82</v>
      </c>
      <c r="G612" s="1" t="s">
        <v>82</v>
      </c>
      <c r="H612" s="1" t="s">
        <v>11704</v>
      </c>
      <c r="I612" s="1" t="s">
        <v>82</v>
      </c>
      <c r="J612" s="1" t="s">
        <v>82</v>
      </c>
      <c r="K612" s="1" t="s">
        <v>11705</v>
      </c>
      <c r="L612" s="1" t="s">
        <v>11639</v>
      </c>
      <c r="M612" s="1">
        <v>2.032</v>
      </c>
      <c r="O612" s="1" t="s">
        <v>82</v>
      </c>
      <c r="P612" s="1" t="s">
        <v>82</v>
      </c>
      <c r="Q612" s="1" t="s">
        <v>87</v>
      </c>
      <c r="R612" s="1" t="s">
        <v>115</v>
      </c>
      <c r="S612" s="1" t="s">
        <v>82</v>
      </c>
      <c r="T612" s="1" t="s">
        <v>82</v>
      </c>
      <c r="U612" s="1" t="s">
        <v>82</v>
      </c>
      <c r="V612" s="1" t="s">
        <v>82</v>
      </c>
      <c r="W612" s="1" t="s">
        <v>82</v>
      </c>
      <c r="X612" s="1" t="s">
        <v>11706</v>
      </c>
      <c r="Y612" s="1" t="s">
        <v>11707</v>
      </c>
      <c r="Z612" s="1" t="s">
        <v>11708</v>
      </c>
      <c r="AB612" s="1" t="s">
        <v>11709</v>
      </c>
      <c r="AC612" s="1" t="s">
        <v>11710</v>
      </c>
      <c r="AD612" s="1" t="s">
        <v>120</v>
      </c>
      <c r="AE612" s="1" t="s">
        <v>11711</v>
      </c>
      <c r="AF612" s="1" t="s">
        <v>11712</v>
      </c>
      <c r="AG612" s="1" t="s">
        <v>3996</v>
      </c>
      <c r="AH612" s="1" t="s">
        <v>82</v>
      </c>
      <c r="AI612" s="1" t="s">
        <v>82</v>
      </c>
      <c r="AJ612" s="1" t="s">
        <v>11713</v>
      </c>
      <c r="AK612" s="1" t="s">
        <v>11714</v>
      </c>
      <c r="AL612" s="1" t="s">
        <v>11715</v>
      </c>
      <c r="AM612" s="1" t="s">
        <v>82</v>
      </c>
      <c r="AN612" s="1">
        <v>19</v>
      </c>
      <c r="AO612" s="1">
        <v>0</v>
      </c>
      <c r="AP612" s="1">
        <v>0</v>
      </c>
      <c r="AQ612" s="1">
        <v>6</v>
      </c>
      <c r="AR612" s="1">
        <v>13</v>
      </c>
      <c r="AS612" s="1" t="s">
        <v>1700</v>
      </c>
      <c r="AT612" s="1" t="s">
        <v>329</v>
      </c>
      <c r="AU612" s="1" t="s">
        <v>1701</v>
      </c>
      <c r="AV612" s="1" t="s">
        <v>11647</v>
      </c>
      <c r="AW612" s="1" t="s">
        <v>11648</v>
      </c>
      <c r="AX612" s="1" t="s">
        <v>82</v>
      </c>
      <c r="AY612" s="1" t="s">
        <v>11649</v>
      </c>
      <c r="AZ612" s="1" t="s">
        <v>11650</v>
      </c>
      <c r="BA612" s="1" t="s">
        <v>4678</v>
      </c>
      <c r="BB612" s="1">
        <v>2022</v>
      </c>
      <c r="BC612" s="1">
        <v>92</v>
      </c>
      <c r="BD612" s="1" t="s">
        <v>82</v>
      </c>
      <c r="BE612" s="1" t="s">
        <v>82</v>
      </c>
      <c r="BF612" s="1" t="s">
        <v>82</v>
      </c>
      <c r="BG612" s="1" t="s">
        <v>82</v>
      </c>
      <c r="BH612" s="1" t="s">
        <v>82</v>
      </c>
      <c r="BI612" s="1" t="s">
        <v>82</v>
      </c>
      <c r="BJ612" s="1" t="s">
        <v>82</v>
      </c>
      <c r="BK612" s="1">
        <v>153679</v>
      </c>
      <c r="BL612" s="1" t="s">
        <v>11716</v>
      </c>
      <c r="BM612" s="1" t="str">
        <f>HYPERLINK("http://dx.doi.org/10.1016/j.tetlet.2022.153679","http://dx.doi.org/10.1016/j.tetlet.2022.153679")</f>
        <v>http://dx.doi.org/10.1016/j.tetlet.2022.153679</v>
      </c>
      <c r="BN612" s="1" t="s">
        <v>82</v>
      </c>
      <c r="BO612" s="1" t="s">
        <v>296</v>
      </c>
      <c r="BP612" s="1">
        <v>4</v>
      </c>
      <c r="BQ612" s="1" t="s">
        <v>4190</v>
      </c>
      <c r="BR612" s="1" t="s">
        <v>745</v>
      </c>
      <c r="BS612" s="1" t="s">
        <v>706</v>
      </c>
      <c r="BT612" s="1" t="s">
        <v>11717</v>
      </c>
      <c r="BU612" s="1" t="s">
        <v>82</v>
      </c>
      <c r="BV612" s="1" t="s">
        <v>82</v>
      </c>
      <c r="BW612" s="1" t="s">
        <v>82</v>
      </c>
      <c r="BX612" s="1" t="s">
        <v>82</v>
      </c>
      <c r="BY612" s="1" t="s">
        <v>108</v>
      </c>
      <c r="BZ612" s="1" t="s">
        <v>11718</v>
      </c>
      <c r="CA612" s="1" t="str">
        <f>HYPERLINK("https%3A%2F%2Fwww.webofscience.com%2Fwos%2Fwoscc%2Ffull-record%2FWOS:000760780500005","View Full Record in Web of Science")</f>
        <v>View Full Record in Web of Science</v>
      </c>
    </row>
    <row r="613" s="1" customFormat="1" ht="14.4" spans="1:79">
      <c r="A613">
        <v>612</v>
      </c>
      <c r="B613" s="2" t="s">
        <v>79</v>
      </c>
      <c r="C613" s="1" t="s">
        <v>80</v>
      </c>
      <c r="D613" s="1" t="s">
        <v>11719</v>
      </c>
      <c r="E613" s="1" t="s">
        <v>82</v>
      </c>
      <c r="F613" s="1" t="s">
        <v>82</v>
      </c>
      <c r="G613" s="1" t="s">
        <v>82</v>
      </c>
      <c r="H613" s="1" t="s">
        <v>11720</v>
      </c>
      <c r="I613" s="1" t="s">
        <v>82</v>
      </c>
      <c r="J613" s="1" t="s">
        <v>82</v>
      </c>
      <c r="K613" s="1" t="s">
        <v>11721</v>
      </c>
      <c r="L613" s="1" t="s">
        <v>11722</v>
      </c>
      <c r="M613" s="1">
        <v>2.025</v>
      </c>
      <c r="O613" s="1" t="s">
        <v>82</v>
      </c>
      <c r="P613" s="1" t="s">
        <v>82</v>
      </c>
      <c r="Q613" s="1" t="s">
        <v>87</v>
      </c>
      <c r="R613" s="1" t="s">
        <v>115</v>
      </c>
      <c r="S613" s="1" t="s">
        <v>82</v>
      </c>
      <c r="T613" s="1" t="s">
        <v>82</v>
      </c>
      <c r="U613" s="1" t="s">
        <v>82</v>
      </c>
      <c r="V613" s="1" t="s">
        <v>82</v>
      </c>
      <c r="W613" s="1" t="s">
        <v>82</v>
      </c>
      <c r="X613" s="1" t="s">
        <v>11723</v>
      </c>
      <c r="Y613" s="1" t="s">
        <v>11724</v>
      </c>
      <c r="Z613" s="1" t="s">
        <v>11725</v>
      </c>
      <c r="AB613" s="1" t="s">
        <v>9385</v>
      </c>
      <c r="AC613" s="1" t="s">
        <v>11726</v>
      </c>
      <c r="AD613" s="1" t="s">
        <v>120</v>
      </c>
      <c r="AE613" s="1" t="s">
        <v>11727</v>
      </c>
      <c r="AF613" s="1" t="s">
        <v>11728</v>
      </c>
      <c r="AG613" s="1" t="s">
        <v>9389</v>
      </c>
      <c r="AH613" s="1" t="s">
        <v>82</v>
      </c>
      <c r="AI613" s="1" t="s">
        <v>11729</v>
      </c>
      <c r="AJ613" s="1" t="s">
        <v>9391</v>
      </c>
      <c r="AK613" s="1" t="s">
        <v>9392</v>
      </c>
      <c r="AL613" s="1" t="s">
        <v>11730</v>
      </c>
      <c r="AM613" s="1" t="s">
        <v>82</v>
      </c>
      <c r="AN613" s="1">
        <v>26</v>
      </c>
      <c r="AO613" s="1">
        <v>0</v>
      </c>
      <c r="AP613" s="1">
        <v>0</v>
      </c>
      <c r="AQ613" s="1">
        <v>8</v>
      </c>
      <c r="AR613" s="1">
        <v>8</v>
      </c>
      <c r="AS613" s="1" t="s">
        <v>2514</v>
      </c>
      <c r="AT613" s="1" t="s">
        <v>2515</v>
      </c>
      <c r="AU613" s="1" t="s">
        <v>2516</v>
      </c>
      <c r="AV613" s="1" t="s">
        <v>11731</v>
      </c>
      <c r="AW613" s="1" t="s">
        <v>11732</v>
      </c>
      <c r="AX613" s="1" t="s">
        <v>82</v>
      </c>
      <c r="AY613" s="1" t="s">
        <v>11733</v>
      </c>
      <c r="AZ613" s="1" t="s">
        <v>11734</v>
      </c>
      <c r="BA613" s="1" t="s">
        <v>2123</v>
      </c>
      <c r="BB613" s="1">
        <v>2022</v>
      </c>
      <c r="BC613" s="1">
        <v>200</v>
      </c>
      <c r="BD613" s="1" t="s">
        <v>82</v>
      </c>
      <c r="BE613" s="1" t="s">
        <v>82</v>
      </c>
      <c r="BF613" s="1" t="s">
        <v>82</v>
      </c>
      <c r="BG613" s="1" t="s">
        <v>82</v>
      </c>
      <c r="BH613" s="1" t="s">
        <v>82</v>
      </c>
      <c r="BI613" s="1" t="s">
        <v>82</v>
      </c>
      <c r="BJ613" s="1" t="s">
        <v>82</v>
      </c>
      <c r="BK613" s="1">
        <v>106168</v>
      </c>
      <c r="BL613" s="1" t="s">
        <v>11735</v>
      </c>
      <c r="BM613" s="1" t="str">
        <f>HYPERLINK("http://dx.doi.org/10.1016/j.pep.2022.106168","http://dx.doi.org/10.1016/j.pep.2022.106168")</f>
        <v>http://dx.doi.org/10.1016/j.pep.2022.106168</v>
      </c>
      <c r="BN613" s="1" t="s">
        <v>82</v>
      </c>
      <c r="BO613" s="1" t="s">
        <v>224</v>
      </c>
      <c r="BP613" s="1">
        <v>5</v>
      </c>
      <c r="BQ613" s="1" t="s">
        <v>11736</v>
      </c>
      <c r="BR613" s="1" t="s">
        <v>104</v>
      </c>
      <c r="BS613" s="1" t="s">
        <v>11737</v>
      </c>
      <c r="BT613" s="1" t="s">
        <v>11738</v>
      </c>
      <c r="BU613" s="1">
        <v>36084903</v>
      </c>
      <c r="BV613" s="1" t="s">
        <v>82</v>
      </c>
      <c r="BW613" s="1" t="s">
        <v>82</v>
      </c>
      <c r="BX613" s="1" t="s">
        <v>82</v>
      </c>
      <c r="BY613" s="1" t="s">
        <v>108</v>
      </c>
      <c r="BZ613" s="1" t="s">
        <v>11739</v>
      </c>
      <c r="CA613" s="1" t="str">
        <f>HYPERLINK("https%3A%2F%2Fwww.webofscience.com%2Fwos%2Fwoscc%2Ffull-record%2FWOS:000871083600003","View Full Record in Web of Science")</f>
        <v>View Full Record in Web of Science</v>
      </c>
    </row>
    <row r="614" s="1" customFormat="1" ht="14.4" spans="1:79">
      <c r="A614">
        <v>613</v>
      </c>
      <c r="B614" s="2" t="s">
        <v>110</v>
      </c>
      <c r="C614" s="1" t="s">
        <v>80</v>
      </c>
      <c r="D614" s="1" t="s">
        <v>11740</v>
      </c>
      <c r="E614" s="1" t="s">
        <v>82</v>
      </c>
      <c r="F614" s="1" t="s">
        <v>82</v>
      </c>
      <c r="G614" s="1" t="s">
        <v>82</v>
      </c>
      <c r="H614" s="1" t="s">
        <v>11741</v>
      </c>
      <c r="I614" s="1" t="s">
        <v>82</v>
      </c>
      <c r="J614" s="1" t="s">
        <v>82</v>
      </c>
      <c r="K614" s="1" t="s">
        <v>11742</v>
      </c>
      <c r="L614" s="1" t="s">
        <v>11743</v>
      </c>
      <c r="M614" s="1">
        <v>2</v>
      </c>
      <c r="O614" s="1" t="s">
        <v>82</v>
      </c>
      <c r="P614" s="1" t="s">
        <v>82</v>
      </c>
      <c r="Q614" s="1" t="s">
        <v>87</v>
      </c>
      <c r="R614" s="1" t="s">
        <v>115</v>
      </c>
      <c r="S614" s="1" t="s">
        <v>82</v>
      </c>
      <c r="T614" s="1" t="s">
        <v>82</v>
      </c>
      <c r="U614" s="1" t="s">
        <v>82</v>
      </c>
      <c r="V614" s="1" t="s">
        <v>82</v>
      </c>
      <c r="W614" s="1" t="s">
        <v>82</v>
      </c>
      <c r="X614" s="1" t="s">
        <v>11744</v>
      </c>
      <c r="Y614" s="1" t="s">
        <v>11745</v>
      </c>
      <c r="Z614" s="1" t="s">
        <v>11746</v>
      </c>
      <c r="AB614" s="1" t="s">
        <v>11747</v>
      </c>
      <c r="AC614" s="1" t="s">
        <v>11748</v>
      </c>
      <c r="AD614" s="1" t="s">
        <v>120</v>
      </c>
      <c r="AE614" s="1" t="s">
        <v>11749</v>
      </c>
      <c r="AF614" s="1" t="s">
        <v>11750</v>
      </c>
      <c r="AG614" s="1" t="s">
        <v>11751</v>
      </c>
      <c r="AH614" s="1" t="s">
        <v>11752</v>
      </c>
      <c r="AI614" s="1" t="s">
        <v>82</v>
      </c>
      <c r="AJ614" s="1" t="s">
        <v>11753</v>
      </c>
      <c r="AK614" s="1" t="s">
        <v>11754</v>
      </c>
      <c r="AL614" s="1" t="s">
        <v>11755</v>
      </c>
      <c r="AM614" s="1" t="s">
        <v>82</v>
      </c>
      <c r="AN614" s="1">
        <v>17</v>
      </c>
      <c r="AO614" s="1">
        <v>4</v>
      </c>
      <c r="AP614" s="1">
        <v>4</v>
      </c>
      <c r="AQ614" s="1">
        <v>4</v>
      </c>
      <c r="AR614" s="1">
        <v>33</v>
      </c>
      <c r="AS614" s="1" t="s">
        <v>11756</v>
      </c>
      <c r="AT614" s="1" t="s">
        <v>11757</v>
      </c>
      <c r="AU614" s="1" t="s">
        <v>11758</v>
      </c>
      <c r="AV614" s="1" t="s">
        <v>11759</v>
      </c>
      <c r="AW614" s="1" t="s">
        <v>82</v>
      </c>
      <c r="AX614" s="1" t="s">
        <v>82</v>
      </c>
      <c r="AY614" s="1" t="s">
        <v>11760</v>
      </c>
      <c r="AZ614" s="1" t="s">
        <v>11761</v>
      </c>
      <c r="BA614" s="1" t="s">
        <v>11762</v>
      </c>
      <c r="BB614" s="1">
        <v>2022</v>
      </c>
      <c r="BC614" s="1">
        <v>16</v>
      </c>
      <c r="BD614" s="1">
        <v>2</v>
      </c>
      <c r="BE614" s="1" t="s">
        <v>82</v>
      </c>
      <c r="BF614" s="1" t="s">
        <v>82</v>
      </c>
      <c r="BG614" s="1" t="s">
        <v>82</v>
      </c>
      <c r="BH614" s="1" t="s">
        <v>82</v>
      </c>
      <c r="BI614" s="1">
        <v>144</v>
      </c>
      <c r="BJ614" s="1">
        <v>149</v>
      </c>
      <c r="BK614" s="1" t="s">
        <v>82</v>
      </c>
      <c r="BL614" s="1" t="s">
        <v>11763</v>
      </c>
      <c r="BM614" s="1" t="str">
        <f>HYPERLINK("http://dx.doi.org/10.25135/rnp.260.21.04.2048","http://dx.doi.org/10.25135/rnp.260.21.04.2048")</f>
        <v>http://dx.doi.org/10.25135/rnp.260.21.04.2048</v>
      </c>
      <c r="BN614" s="1" t="s">
        <v>82</v>
      </c>
      <c r="BO614" s="1" t="s">
        <v>82</v>
      </c>
      <c r="BP614" s="1">
        <v>6</v>
      </c>
      <c r="BQ614" s="1" t="s">
        <v>11764</v>
      </c>
      <c r="BR614" s="1" t="s">
        <v>104</v>
      </c>
      <c r="BS614" s="1" t="s">
        <v>11765</v>
      </c>
      <c r="BT614" s="1" t="s">
        <v>11766</v>
      </c>
      <c r="BU614" s="1" t="s">
        <v>82</v>
      </c>
      <c r="BV614" s="1" t="s">
        <v>808</v>
      </c>
      <c r="BW614" s="1" t="s">
        <v>82</v>
      </c>
      <c r="BX614" s="1" t="s">
        <v>82</v>
      </c>
      <c r="BY614" s="1" t="s">
        <v>108</v>
      </c>
      <c r="BZ614" s="1" t="s">
        <v>11767</v>
      </c>
      <c r="CA614" s="1" t="str">
        <f>HYPERLINK("https%3A%2F%2Fwww.webofscience.com%2Fwos%2Fwoscc%2Ffull-record%2FWOS:000690403000004","View Full Record in Web of Science")</f>
        <v>View Full Record in Web of Science</v>
      </c>
    </row>
    <row r="615" s="1" customFormat="1" ht="14.4" spans="1:79">
      <c r="A615">
        <v>614</v>
      </c>
      <c r="B615" s="2" t="s">
        <v>110</v>
      </c>
      <c r="C615" s="1" t="s">
        <v>80</v>
      </c>
      <c r="D615" s="1" t="s">
        <v>11768</v>
      </c>
      <c r="E615" s="1" t="s">
        <v>82</v>
      </c>
      <c r="F615" s="1" t="s">
        <v>82</v>
      </c>
      <c r="G615" s="1" t="s">
        <v>82</v>
      </c>
      <c r="H615" s="1" t="s">
        <v>11769</v>
      </c>
      <c r="I615" s="1" t="s">
        <v>82</v>
      </c>
      <c r="J615" s="1" t="s">
        <v>82</v>
      </c>
      <c r="K615" s="1" t="s">
        <v>11770</v>
      </c>
      <c r="L615" s="1" t="s">
        <v>11771</v>
      </c>
      <c r="M615" s="1">
        <v>1.962</v>
      </c>
      <c r="O615" s="1" t="s">
        <v>82</v>
      </c>
      <c r="P615" s="1" t="s">
        <v>82</v>
      </c>
      <c r="Q615" s="1" t="s">
        <v>87</v>
      </c>
      <c r="R615" s="1" t="s">
        <v>115</v>
      </c>
      <c r="S615" s="1" t="s">
        <v>82</v>
      </c>
      <c r="T615" s="1" t="s">
        <v>82</v>
      </c>
      <c r="U615" s="1" t="s">
        <v>82</v>
      </c>
      <c r="V615" s="1" t="s">
        <v>82</v>
      </c>
      <c r="W615" s="1" t="s">
        <v>82</v>
      </c>
      <c r="X615" s="1" t="s">
        <v>11772</v>
      </c>
      <c r="Y615" s="1" t="s">
        <v>11773</v>
      </c>
      <c r="Z615" s="1" t="s">
        <v>11774</v>
      </c>
      <c r="AA615" s="1">
        <v>1</v>
      </c>
      <c r="AB615" s="1" t="s">
        <v>11775</v>
      </c>
      <c r="AC615" s="1" t="s">
        <v>11776</v>
      </c>
      <c r="AD615" s="1" t="s">
        <v>93</v>
      </c>
      <c r="AE615" s="1" t="s">
        <v>1630</v>
      </c>
      <c r="AF615" s="1" t="s">
        <v>11777</v>
      </c>
      <c r="AG615" s="1" t="s">
        <v>11778</v>
      </c>
      <c r="AH615" s="1" t="s">
        <v>82</v>
      </c>
      <c r="AI615" s="1" t="s">
        <v>82</v>
      </c>
      <c r="AJ615" s="1" t="s">
        <v>11779</v>
      </c>
      <c r="AK615" s="1" t="s">
        <v>11780</v>
      </c>
      <c r="AL615" s="1" t="s">
        <v>11781</v>
      </c>
      <c r="AM615" s="1" t="s">
        <v>82</v>
      </c>
      <c r="AN615" s="1">
        <v>41</v>
      </c>
      <c r="AO615" s="1">
        <v>1</v>
      </c>
      <c r="AP615" s="1">
        <v>1</v>
      </c>
      <c r="AQ615" s="1">
        <v>6</v>
      </c>
      <c r="AR615" s="1">
        <v>6</v>
      </c>
      <c r="AS615" s="1" t="s">
        <v>11782</v>
      </c>
      <c r="AT615" s="1" t="s">
        <v>11783</v>
      </c>
      <c r="AU615" s="1" t="s">
        <v>11784</v>
      </c>
      <c r="AV615" s="1" t="s">
        <v>11785</v>
      </c>
      <c r="AW615" s="1" t="s">
        <v>11786</v>
      </c>
      <c r="AX615" s="1" t="s">
        <v>82</v>
      </c>
      <c r="AY615" s="1" t="s">
        <v>11787</v>
      </c>
      <c r="AZ615" s="1" t="s">
        <v>11788</v>
      </c>
      <c r="BA615" s="1" t="s">
        <v>2123</v>
      </c>
      <c r="BB615" s="1">
        <v>2022</v>
      </c>
      <c r="BC615" s="1">
        <v>21</v>
      </c>
      <c r="BD615" s="1">
        <v>1</v>
      </c>
      <c r="BE615" s="1" t="s">
        <v>82</v>
      </c>
      <c r="BF615" s="1" t="s">
        <v>82</v>
      </c>
      <c r="BG615" s="1" t="s">
        <v>82</v>
      </c>
      <c r="BH615" s="1" t="s">
        <v>82</v>
      </c>
      <c r="BI615" s="1" t="s">
        <v>82</v>
      </c>
      <c r="BJ615" s="1" t="s">
        <v>82</v>
      </c>
      <c r="BK615" s="1" t="s">
        <v>11789</v>
      </c>
      <c r="BL615" s="1" t="s">
        <v>11790</v>
      </c>
      <c r="BM615" s="1" t="str">
        <f>HYPERLINK("http://dx.doi.org/10.5812/ijpr-123909","http://dx.doi.org/10.5812/ijpr-123909")</f>
        <v>http://dx.doi.org/10.5812/ijpr-123909</v>
      </c>
      <c r="BN615" s="1" t="s">
        <v>82</v>
      </c>
      <c r="BO615" s="1" t="s">
        <v>82</v>
      </c>
      <c r="BP615" s="1">
        <v>9</v>
      </c>
      <c r="BQ615" s="1" t="s">
        <v>982</v>
      </c>
      <c r="BR615" s="1" t="s">
        <v>104</v>
      </c>
      <c r="BS615" s="1" t="s">
        <v>982</v>
      </c>
      <c r="BT615" s="1" t="s">
        <v>11791</v>
      </c>
      <c r="BU615" s="1" t="s">
        <v>82</v>
      </c>
      <c r="BV615" s="1" t="s">
        <v>268</v>
      </c>
      <c r="BW615" s="1" t="s">
        <v>82</v>
      </c>
      <c r="BX615" s="1" t="s">
        <v>82</v>
      </c>
      <c r="BY615" s="1" t="s">
        <v>108</v>
      </c>
      <c r="BZ615" s="1" t="s">
        <v>11792</v>
      </c>
      <c r="CA615" s="1" t="str">
        <f>HYPERLINK("https%3A%2F%2Fwww.webofscience.com%2Fwos%2Fwoscc%2Ffull-record%2FWOS:000891933200001","View Full Record in Web of Science")</f>
        <v>View Full Record in Web of Science</v>
      </c>
    </row>
    <row r="616" s="1" customFormat="1" ht="14.4" spans="1:79">
      <c r="A616">
        <v>615</v>
      </c>
      <c r="B616" s="2" t="s">
        <v>79</v>
      </c>
      <c r="C616" s="1" t="s">
        <v>80</v>
      </c>
      <c r="D616" s="1" t="s">
        <v>11793</v>
      </c>
      <c r="E616" s="1" t="s">
        <v>82</v>
      </c>
      <c r="F616" s="1" t="s">
        <v>82</v>
      </c>
      <c r="G616" s="1" t="s">
        <v>82</v>
      </c>
      <c r="H616" s="1" t="s">
        <v>11794</v>
      </c>
      <c r="I616" s="1" t="s">
        <v>82</v>
      </c>
      <c r="J616" s="1" t="s">
        <v>82</v>
      </c>
      <c r="K616" s="1" t="s">
        <v>11795</v>
      </c>
      <c r="L616" s="1" t="s">
        <v>11796</v>
      </c>
      <c r="M616" s="1">
        <v>1.946</v>
      </c>
      <c r="O616" s="1" t="s">
        <v>82</v>
      </c>
      <c r="P616" s="1" t="s">
        <v>82</v>
      </c>
      <c r="Q616" s="1" t="s">
        <v>87</v>
      </c>
      <c r="R616" s="1" t="s">
        <v>115</v>
      </c>
      <c r="S616" s="1" t="s">
        <v>82</v>
      </c>
      <c r="T616" s="1" t="s">
        <v>82</v>
      </c>
      <c r="U616" s="1" t="s">
        <v>82</v>
      </c>
      <c r="V616" s="1" t="s">
        <v>82</v>
      </c>
      <c r="W616" s="1" t="s">
        <v>82</v>
      </c>
      <c r="X616" s="1" t="s">
        <v>11797</v>
      </c>
      <c r="Y616" s="1" t="s">
        <v>11798</v>
      </c>
      <c r="Z616" s="1" t="s">
        <v>11799</v>
      </c>
      <c r="AB616" s="1" t="s">
        <v>11800</v>
      </c>
      <c r="AC616" s="1" t="s">
        <v>11801</v>
      </c>
      <c r="AD616" s="1" t="s">
        <v>120</v>
      </c>
      <c r="AE616" s="1" t="s">
        <v>11802</v>
      </c>
      <c r="AF616" s="1" t="s">
        <v>11803</v>
      </c>
      <c r="AG616" s="1" t="s">
        <v>11804</v>
      </c>
      <c r="AH616" s="1" t="s">
        <v>82</v>
      </c>
      <c r="AI616" s="1" t="s">
        <v>11805</v>
      </c>
      <c r="AJ616" s="1" t="s">
        <v>11806</v>
      </c>
      <c r="AK616" s="1" t="s">
        <v>11807</v>
      </c>
      <c r="AL616" s="1" t="s">
        <v>11808</v>
      </c>
      <c r="AM616" s="1" t="s">
        <v>82</v>
      </c>
      <c r="AN616" s="1">
        <v>32</v>
      </c>
      <c r="AO616" s="1">
        <v>0</v>
      </c>
      <c r="AP616" s="1">
        <v>0</v>
      </c>
      <c r="AQ616" s="1">
        <v>2</v>
      </c>
      <c r="AR616" s="1">
        <v>7</v>
      </c>
      <c r="AS616" s="1" t="s">
        <v>8333</v>
      </c>
      <c r="AT616" s="1" t="s">
        <v>8334</v>
      </c>
      <c r="AU616" s="1" t="s">
        <v>8335</v>
      </c>
      <c r="AV616" s="1" t="s">
        <v>11809</v>
      </c>
      <c r="AW616" s="1" t="s">
        <v>11810</v>
      </c>
      <c r="AX616" s="1" t="s">
        <v>82</v>
      </c>
      <c r="AY616" s="1" t="s">
        <v>11796</v>
      </c>
      <c r="AZ616" s="1" t="s">
        <v>11811</v>
      </c>
      <c r="BA616" s="1" t="s">
        <v>2060</v>
      </c>
      <c r="BB616" s="1">
        <v>2022</v>
      </c>
      <c r="BC616" s="1">
        <v>50</v>
      </c>
      <c r="BD616" s="1">
        <v>2</v>
      </c>
      <c r="BE616" s="1" t="s">
        <v>82</v>
      </c>
      <c r="BF616" s="1" t="s">
        <v>82</v>
      </c>
      <c r="BG616" s="1" t="s">
        <v>82</v>
      </c>
      <c r="BH616" s="1" t="s">
        <v>82</v>
      </c>
      <c r="BI616" s="1">
        <v>121</v>
      </c>
      <c r="BJ616" s="1">
        <v>131</v>
      </c>
      <c r="BK616" s="1" t="s">
        <v>82</v>
      </c>
      <c r="BL616" s="1" t="s">
        <v>11812</v>
      </c>
      <c r="BM616" s="1" t="str">
        <f>HYPERLINK("http://dx.doi.org/10.1080/12298093.2022.2059156","http://dx.doi.org/10.1080/12298093.2022.2059156")</f>
        <v>http://dx.doi.org/10.1080/12298093.2022.2059156</v>
      </c>
      <c r="BN616" s="1" t="s">
        <v>82</v>
      </c>
      <c r="BO616" s="1" t="s">
        <v>267</v>
      </c>
      <c r="BP616" s="1">
        <v>11</v>
      </c>
      <c r="BQ616" s="1" t="s">
        <v>11813</v>
      </c>
      <c r="BR616" s="1" t="s">
        <v>104</v>
      </c>
      <c r="BS616" s="1" t="s">
        <v>11814</v>
      </c>
      <c r="BT616" s="1" t="s">
        <v>11815</v>
      </c>
      <c r="BU616" s="1">
        <v>35571860</v>
      </c>
      <c r="BV616" s="1" t="s">
        <v>635</v>
      </c>
      <c r="BW616" s="1" t="s">
        <v>82</v>
      </c>
      <c r="BX616" s="1" t="s">
        <v>82</v>
      </c>
      <c r="BY616" s="1" t="s">
        <v>108</v>
      </c>
      <c r="BZ616" s="1" t="s">
        <v>11816</v>
      </c>
      <c r="CA616" s="1" t="str">
        <f>HYPERLINK("https%3A%2F%2Fwww.webofscience.com%2Fwos%2Fwoscc%2Ffull-record%2FWOS:000784483400001","View Full Record in Web of Science")</f>
        <v>View Full Record in Web of Science</v>
      </c>
    </row>
    <row r="617" s="1" customFormat="1" ht="14.4" spans="1:79">
      <c r="A617">
        <v>616</v>
      </c>
      <c r="B617" s="2" t="s">
        <v>79</v>
      </c>
      <c r="C617" s="1" t="s">
        <v>80</v>
      </c>
      <c r="D617" s="1" t="s">
        <v>11817</v>
      </c>
      <c r="E617" s="1" t="s">
        <v>82</v>
      </c>
      <c r="F617" s="1" t="s">
        <v>82</v>
      </c>
      <c r="G617" s="1" t="s">
        <v>82</v>
      </c>
      <c r="H617" s="1" t="s">
        <v>11818</v>
      </c>
      <c r="I617" s="1" t="s">
        <v>82</v>
      </c>
      <c r="J617" s="1" t="s">
        <v>82</v>
      </c>
      <c r="K617" s="1" t="s">
        <v>11819</v>
      </c>
      <c r="L617" s="1" t="s">
        <v>11820</v>
      </c>
      <c r="M617" s="1">
        <v>1.931</v>
      </c>
      <c r="O617" s="1" t="s">
        <v>82</v>
      </c>
      <c r="P617" s="1" t="s">
        <v>82</v>
      </c>
      <c r="Q617" s="1" t="s">
        <v>87</v>
      </c>
      <c r="R617" s="1" t="s">
        <v>115</v>
      </c>
      <c r="S617" s="1" t="s">
        <v>82</v>
      </c>
      <c r="T617" s="1" t="s">
        <v>82</v>
      </c>
      <c r="U617" s="1" t="s">
        <v>82</v>
      </c>
      <c r="V617" s="1" t="s">
        <v>82</v>
      </c>
      <c r="W617" s="1" t="s">
        <v>82</v>
      </c>
      <c r="X617" s="1" t="s">
        <v>11821</v>
      </c>
      <c r="Y617" s="1" t="s">
        <v>82</v>
      </c>
      <c r="Z617" s="1" t="s">
        <v>11822</v>
      </c>
      <c r="AB617" s="1" t="s">
        <v>11823</v>
      </c>
      <c r="AC617" s="1" t="s">
        <v>11824</v>
      </c>
      <c r="AD617" s="1" t="s">
        <v>120</v>
      </c>
      <c r="AE617" s="1" t="s">
        <v>11825</v>
      </c>
      <c r="AF617" s="1" t="s">
        <v>11826</v>
      </c>
      <c r="AG617" s="1" t="s">
        <v>11827</v>
      </c>
      <c r="AH617" s="1" t="s">
        <v>82</v>
      </c>
      <c r="AI617" s="1" t="s">
        <v>11828</v>
      </c>
      <c r="AJ617" s="1" t="s">
        <v>11829</v>
      </c>
      <c r="AK617" s="1" t="s">
        <v>11830</v>
      </c>
      <c r="AL617" s="1" t="s">
        <v>11831</v>
      </c>
      <c r="AM617" s="1" t="s">
        <v>82</v>
      </c>
      <c r="AN617" s="1">
        <v>21</v>
      </c>
      <c r="AO617" s="1">
        <v>0</v>
      </c>
      <c r="AP617" s="1">
        <v>0</v>
      </c>
      <c r="AQ617" s="1">
        <v>8</v>
      </c>
      <c r="AR617" s="1">
        <v>21</v>
      </c>
      <c r="AS617" s="1" t="s">
        <v>11832</v>
      </c>
      <c r="AT617" s="1" t="s">
        <v>11833</v>
      </c>
      <c r="AU617" s="1" t="s">
        <v>11834</v>
      </c>
      <c r="AV617" s="1" t="s">
        <v>11835</v>
      </c>
      <c r="AW617" s="1" t="s">
        <v>11836</v>
      </c>
      <c r="AX617" s="1" t="s">
        <v>82</v>
      </c>
      <c r="AY617" s="1" t="s">
        <v>11837</v>
      </c>
      <c r="AZ617" s="1" t="s">
        <v>11838</v>
      </c>
      <c r="BA617" s="1" t="s">
        <v>8340</v>
      </c>
      <c r="BB617" s="1">
        <v>2022</v>
      </c>
      <c r="BC617" s="1">
        <v>72</v>
      </c>
      <c r="BD617" s="1">
        <v>1</v>
      </c>
      <c r="BE617" s="1" t="s">
        <v>82</v>
      </c>
      <c r="BF617" s="1" t="s">
        <v>82</v>
      </c>
      <c r="BG617" s="1" t="s">
        <v>82</v>
      </c>
      <c r="BH617" s="1" t="s">
        <v>82</v>
      </c>
      <c r="BI617" s="1">
        <v>485</v>
      </c>
      <c r="BJ617" s="1">
        <v>495</v>
      </c>
      <c r="BK617" s="1" t="s">
        <v>82</v>
      </c>
      <c r="BL617" s="1" t="s">
        <v>11839</v>
      </c>
      <c r="BM617" s="1" t="str">
        <f>HYPERLINK("http://dx.doi.org/10.1080/09064710.2021.2012250","http://dx.doi.org/10.1080/09064710.2021.2012250")</f>
        <v>http://dx.doi.org/10.1080/09064710.2021.2012250</v>
      </c>
      <c r="BN617" s="1" t="s">
        <v>82</v>
      </c>
      <c r="BO617" s="1" t="s">
        <v>1462</v>
      </c>
      <c r="BP617" s="1">
        <v>11</v>
      </c>
      <c r="BQ617" s="1" t="s">
        <v>11840</v>
      </c>
      <c r="BR617" s="1" t="s">
        <v>104</v>
      </c>
      <c r="BS617" s="1" t="s">
        <v>1881</v>
      </c>
      <c r="BT617" s="1" t="s">
        <v>11841</v>
      </c>
      <c r="BU617" s="1" t="s">
        <v>82</v>
      </c>
      <c r="BV617" s="1" t="s">
        <v>808</v>
      </c>
      <c r="BW617" s="1" t="s">
        <v>82</v>
      </c>
      <c r="BX617" s="1" t="s">
        <v>82</v>
      </c>
      <c r="BY617" s="1" t="s">
        <v>108</v>
      </c>
      <c r="BZ617" s="1" t="s">
        <v>11842</v>
      </c>
      <c r="CA617" s="1" t="str">
        <f>HYPERLINK("https%3A%2F%2Fwww.webofscience.com%2Fwos%2Fwoscc%2Ffull-record%2FWOS:000739735100001","View Full Record in Web of Science")</f>
        <v>View Full Record in Web of Science</v>
      </c>
    </row>
    <row r="618" s="1" customFormat="1" ht="14.4" spans="1:79">
      <c r="A618">
        <v>617</v>
      </c>
      <c r="B618" s="2" t="s">
        <v>110</v>
      </c>
      <c r="C618" s="1" t="s">
        <v>80</v>
      </c>
      <c r="D618" s="1" t="s">
        <v>11843</v>
      </c>
      <c r="E618" s="1" t="s">
        <v>82</v>
      </c>
      <c r="F618" s="1" t="s">
        <v>82</v>
      </c>
      <c r="G618" s="1" t="s">
        <v>82</v>
      </c>
      <c r="H618" s="1" t="s">
        <v>11844</v>
      </c>
      <c r="I618" s="1" t="s">
        <v>82</v>
      </c>
      <c r="J618" s="1" t="s">
        <v>82</v>
      </c>
      <c r="K618" s="1" t="s">
        <v>11845</v>
      </c>
      <c r="L618" s="1" t="s">
        <v>11846</v>
      </c>
      <c r="M618" s="1">
        <v>1.873</v>
      </c>
      <c r="O618" s="1" t="s">
        <v>82</v>
      </c>
      <c r="P618" s="1" t="s">
        <v>82</v>
      </c>
      <c r="Q618" s="1" t="s">
        <v>87</v>
      </c>
      <c r="R618" s="1" t="s">
        <v>115</v>
      </c>
      <c r="S618" s="1" t="s">
        <v>82</v>
      </c>
      <c r="T618" s="1" t="s">
        <v>82</v>
      </c>
      <c r="U618" s="1" t="s">
        <v>82</v>
      </c>
      <c r="V618" s="1" t="s">
        <v>82</v>
      </c>
      <c r="W618" s="1" t="s">
        <v>82</v>
      </c>
      <c r="X618" s="1" t="s">
        <v>11847</v>
      </c>
      <c r="Y618" s="1" t="s">
        <v>11848</v>
      </c>
      <c r="Z618" s="1" t="s">
        <v>11849</v>
      </c>
      <c r="AA618" s="1">
        <v>1</v>
      </c>
      <c r="AB618" s="1" t="s">
        <v>11850</v>
      </c>
      <c r="AC618" s="1" t="s">
        <v>11851</v>
      </c>
      <c r="AD618" s="1" t="s">
        <v>93</v>
      </c>
      <c r="AE618" s="1" t="s">
        <v>11852</v>
      </c>
      <c r="AF618" s="1" t="s">
        <v>11853</v>
      </c>
      <c r="AG618" s="1" t="s">
        <v>11854</v>
      </c>
      <c r="AH618" s="1" t="s">
        <v>82</v>
      </c>
      <c r="AI618" s="1" t="s">
        <v>82</v>
      </c>
      <c r="AJ618" s="1" t="s">
        <v>11855</v>
      </c>
      <c r="AK618" s="1" t="s">
        <v>11856</v>
      </c>
      <c r="AL618" s="1" t="s">
        <v>11857</v>
      </c>
      <c r="AM618" s="1" t="s">
        <v>82</v>
      </c>
      <c r="AN618" s="1">
        <v>20</v>
      </c>
      <c r="AO618" s="1">
        <v>0</v>
      </c>
      <c r="AP618" s="1">
        <v>0</v>
      </c>
      <c r="AQ618" s="1">
        <v>0</v>
      </c>
      <c r="AR618" s="1">
        <v>0</v>
      </c>
      <c r="AS618" s="1" t="s">
        <v>479</v>
      </c>
      <c r="AT618" s="1" t="s">
        <v>480</v>
      </c>
      <c r="AU618" s="1" t="s">
        <v>481</v>
      </c>
      <c r="AV618" s="1" t="s">
        <v>11858</v>
      </c>
      <c r="AW618" s="1" t="s">
        <v>11859</v>
      </c>
      <c r="AX618" s="1" t="s">
        <v>82</v>
      </c>
      <c r="AY618" s="1" t="s">
        <v>11860</v>
      </c>
      <c r="AZ618" s="1" t="s">
        <v>11861</v>
      </c>
      <c r="BA618" s="1" t="s">
        <v>397</v>
      </c>
      <c r="BB618" s="1">
        <v>2023</v>
      </c>
      <c r="BC618" s="1">
        <v>53</v>
      </c>
      <c r="BD618" s="1" t="s">
        <v>82</v>
      </c>
      <c r="BE618" s="1" t="s">
        <v>82</v>
      </c>
      <c r="BF618" s="1" t="s">
        <v>82</v>
      </c>
      <c r="BG618" s="1" t="s">
        <v>82</v>
      </c>
      <c r="BH618" s="1" t="s">
        <v>82</v>
      </c>
      <c r="BI618" s="1">
        <v>175</v>
      </c>
      <c r="BJ618" s="1">
        <v>178</v>
      </c>
      <c r="BK618" s="1" t="s">
        <v>82</v>
      </c>
      <c r="BL618" s="1" t="s">
        <v>11862</v>
      </c>
      <c r="BM618" s="1" t="str">
        <f>HYPERLINK("http://dx.doi.org/10.1016/j.phytol.2022.12.007","http://dx.doi.org/10.1016/j.phytol.2022.12.007")</f>
        <v>http://dx.doi.org/10.1016/j.phytol.2022.12.007</v>
      </c>
      <c r="BN618" s="1" t="s">
        <v>82</v>
      </c>
      <c r="BO618" s="1" t="s">
        <v>1618</v>
      </c>
      <c r="BP618" s="1">
        <v>4</v>
      </c>
      <c r="BQ618" s="1" t="s">
        <v>11863</v>
      </c>
      <c r="BR618" s="1" t="s">
        <v>104</v>
      </c>
      <c r="BS618" s="1" t="s">
        <v>6940</v>
      </c>
      <c r="BT618" s="1" t="s">
        <v>11864</v>
      </c>
      <c r="BU618" s="1" t="s">
        <v>82</v>
      </c>
      <c r="BV618" s="1" t="s">
        <v>107</v>
      </c>
      <c r="BW618" s="1" t="s">
        <v>82</v>
      </c>
      <c r="BX618" s="1" t="s">
        <v>82</v>
      </c>
      <c r="BY618" s="1" t="s">
        <v>108</v>
      </c>
      <c r="BZ618" s="1" t="s">
        <v>11865</v>
      </c>
      <c r="CA618" s="1" t="str">
        <f>HYPERLINK("https%3A%2F%2Fwww.webofscience.com%2Fwos%2Fwoscc%2Ffull-record%2FWOS:000909876000001","View Full Record in Web of Science")</f>
        <v>View Full Record in Web of Science</v>
      </c>
    </row>
    <row r="619" s="1" customFormat="1" ht="14.4" spans="1:79">
      <c r="A619">
        <v>618</v>
      </c>
      <c r="B619" s="2" t="s">
        <v>110</v>
      </c>
      <c r="C619" s="1" t="s">
        <v>80</v>
      </c>
      <c r="D619" s="1" t="s">
        <v>11866</v>
      </c>
      <c r="E619" s="1" t="s">
        <v>82</v>
      </c>
      <c r="F619" s="1" t="s">
        <v>82</v>
      </c>
      <c r="G619" s="1" t="s">
        <v>82</v>
      </c>
      <c r="H619" s="1" t="s">
        <v>11867</v>
      </c>
      <c r="I619" s="1" t="s">
        <v>82</v>
      </c>
      <c r="J619" s="1" t="s">
        <v>82</v>
      </c>
      <c r="K619" s="1" t="s">
        <v>11868</v>
      </c>
      <c r="L619" s="1" t="s">
        <v>11846</v>
      </c>
      <c r="M619" s="1">
        <v>1.873</v>
      </c>
      <c r="O619" s="1" t="s">
        <v>82</v>
      </c>
      <c r="P619" s="1" t="s">
        <v>82</v>
      </c>
      <c r="Q619" s="1" t="s">
        <v>87</v>
      </c>
      <c r="R619" s="1" t="s">
        <v>115</v>
      </c>
      <c r="S619" s="1" t="s">
        <v>82</v>
      </c>
      <c r="T619" s="1" t="s">
        <v>82</v>
      </c>
      <c r="U619" s="1" t="s">
        <v>82</v>
      </c>
      <c r="V619" s="1" t="s">
        <v>82</v>
      </c>
      <c r="W619" s="1" t="s">
        <v>82</v>
      </c>
      <c r="X619" s="1" t="s">
        <v>11869</v>
      </c>
      <c r="Y619" s="1" t="s">
        <v>11870</v>
      </c>
      <c r="Z619" s="1" t="s">
        <v>11871</v>
      </c>
      <c r="AB619" s="1" t="s">
        <v>11872</v>
      </c>
      <c r="AC619" s="1" t="s">
        <v>11873</v>
      </c>
      <c r="AD619" s="1" t="s">
        <v>206</v>
      </c>
      <c r="AE619" s="1" t="s">
        <v>11874</v>
      </c>
      <c r="AF619" s="1" t="s">
        <v>11875</v>
      </c>
      <c r="AG619" s="1" t="s">
        <v>11876</v>
      </c>
      <c r="AH619" s="1" t="s">
        <v>5687</v>
      </c>
      <c r="AI619" s="1" t="s">
        <v>82</v>
      </c>
      <c r="AJ619" s="1" t="s">
        <v>11877</v>
      </c>
      <c r="AK619" s="1" t="s">
        <v>11878</v>
      </c>
      <c r="AL619" s="1" t="s">
        <v>11879</v>
      </c>
      <c r="AM619" s="1" t="s">
        <v>82</v>
      </c>
      <c r="AN619" s="1">
        <v>28</v>
      </c>
      <c r="AO619" s="1">
        <v>0</v>
      </c>
      <c r="AP619" s="1">
        <v>0</v>
      </c>
      <c r="AQ619" s="1">
        <v>8</v>
      </c>
      <c r="AR619" s="1">
        <v>8</v>
      </c>
      <c r="AS619" s="1" t="s">
        <v>479</v>
      </c>
      <c r="AT619" s="1" t="s">
        <v>480</v>
      </c>
      <c r="AU619" s="1" t="s">
        <v>481</v>
      </c>
      <c r="AV619" s="1" t="s">
        <v>11858</v>
      </c>
      <c r="AW619" s="1" t="s">
        <v>11859</v>
      </c>
      <c r="AX619" s="1" t="s">
        <v>82</v>
      </c>
      <c r="AY619" s="1" t="s">
        <v>11860</v>
      </c>
      <c r="AZ619" s="1" t="s">
        <v>11861</v>
      </c>
      <c r="BA619" s="1" t="s">
        <v>2521</v>
      </c>
      <c r="BB619" s="1">
        <v>2022</v>
      </c>
      <c r="BC619" s="1">
        <v>50</v>
      </c>
      <c r="BD619" s="1" t="s">
        <v>82</v>
      </c>
      <c r="BE619" s="1" t="s">
        <v>82</v>
      </c>
      <c r="BF619" s="1" t="s">
        <v>82</v>
      </c>
      <c r="BG619" s="1" t="s">
        <v>82</v>
      </c>
      <c r="BH619" s="1" t="s">
        <v>82</v>
      </c>
      <c r="BI619" s="1">
        <v>141</v>
      </c>
      <c r="BJ619" s="1">
        <v>146</v>
      </c>
      <c r="BK619" s="1" t="s">
        <v>82</v>
      </c>
      <c r="BL619" s="1" t="s">
        <v>11880</v>
      </c>
      <c r="BM619" s="1" t="str">
        <f>HYPERLINK("http://dx.doi.org/10.1016/j.phytol.2022.06.007","http://dx.doi.org/10.1016/j.phytol.2022.06.007")</f>
        <v>http://dx.doi.org/10.1016/j.phytol.2022.06.007</v>
      </c>
      <c r="BN619" s="1" t="s">
        <v>82</v>
      </c>
      <c r="BO619" s="1" t="s">
        <v>82</v>
      </c>
      <c r="BP619" s="1">
        <v>6</v>
      </c>
      <c r="BQ619" s="1" t="s">
        <v>11863</v>
      </c>
      <c r="BR619" s="1" t="s">
        <v>104</v>
      </c>
      <c r="BS619" s="1" t="s">
        <v>6940</v>
      </c>
      <c r="BT619" s="1" t="s">
        <v>11881</v>
      </c>
      <c r="BU619" s="1" t="s">
        <v>82</v>
      </c>
      <c r="BV619" s="1" t="s">
        <v>82</v>
      </c>
      <c r="BW619" s="1" t="s">
        <v>82</v>
      </c>
      <c r="BX619" s="1" t="s">
        <v>82</v>
      </c>
      <c r="BY619" s="1" t="s">
        <v>108</v>
      </c>
      <c r="BZ619" s="1" t="s">
        <v>11882</v>
      </c>
      <c r="CA619" s="1" t="str">
        <f>HYPERLINK("https%3A%2F%2Fwww.webofscience.com%2Fwos%2Fwoscc%2Ffull-record%2FWOS:000861862000008","View Full Record in Web of Science")</f>
        <v>View Full Record in Web of Science</v>
      </c>
    </row>
    <row r="620" s="1" customFormat="1" ht="14.4" spans="1:79">
      <c r="A620">
        <v>619</v>
      </c>
      <c r="B620" s="2" t="s">
        <v>110</v>
      </c>
      <c r="C620" s="1" t="s">
        <v>80</v>
      </c>
      <c r="D620" s="1" t="s">
        <v>11883</v>
      </c>
      <c r="E620" s="1" t="s">
        <v>82</v>
      </c>
      <c r="F620" s="1" t="s">
        <v>82</v>
      </c>
      <c r="G620" s="1" t="s">
        <v>82</v>
      </c>
      <c r="H620" s="1" t="s">
        <v>11884</v>
      </c>
      <c r="I620" s="1" t="s">
        <v>82</v>
      </c>
      <c r="J620" s="1" t="s">
        <v>82</v>
      </c>
      <c r="K620" s="1" t="s">
        <v>11885</v>
      </c>
      <c r="L620" s="1" t="s">
        <v>11846</v>
      </c>
      <c r="M620" s="1">
        <v>1.873</v>
      </c>
      <c r="O620" s="1" t="s">
        <v>82</v>
      </c>
      <c r="P620" s="1" t="s">
        <v>82</v>
      </c>
      <c r="Q620" s="1" t="s">
        <v>87</v>
      </c>
      <c r="R620" s="1" t="s">
        <v>115</v>
      </c>
      <c r="S620" s="1" t="s">
        <v>82</v>
      </c>
      <c r="T620" s="1" t="s">
        <v>82</v>
      </c>
      <c r="U620" s="1" t="s">
        <v>82</v>
      </c>
      <c r="V620" s="1" t="s">
        <v>82</v>
      </c>
      <c r="W620" s="1" t="s">
        <v>82</v>
      </c>
      <c r="X620" s="1" t="s">
        <v>11886</v>
      </c>
      <c r="Y620" s="1" t="s">
        <v>11887</v>
      </c>
      <c r="Z620" s="1" t="s">
        <v>11888</v>
      </c>
      <c r="AB620" s="1" t="s">
        <v>11889</v>
      </c>
      <c r="AC620" s="1" t="s">
        <v>11890</v>
      </c>
      <c r="AD620" s="1" t="s">
        <v>120</v>
      </c>
      <c r="AE620" s="1" t="s">
        <v>11891</v>
      </c>
      <c r="AF620" s="1" t="s">
        <v>11892</v>
      </c>
      <c r="AG620" s="1" t="s">
        <v>11893</v>
      </c>
      <c r="AH620" s="1" t="s">
        <v>6985</v>
      </c>
      <c r="AI620" s="1" t="s">
        <v>82</v>
      </c>
      <c r="AJ620" s="1" t="s">
        <v>11894</v>
      </c>
      <c r="AK620" s="1" t="s">
        <v>11895</v>
      </c>
      <c r="AL620" s="1" t="s">
        <v>11896</v>
      </c>
      <c r="AM620" s="1" t="s">
        <v>82</v>
      </c>
      <c r="AN620" s="1">
        <v>36</v>
      </c>
      <c r="AO620" s="1">
        <v>0</v>
      </c>
      <c r="AP620" s="1">
        <v>0</v>
      </c>
      <c r="AQ620" s="1">
        <v>6</v>
      </c>
      <c r="AR620" s="1">
        <v>6</v>
      </c>
      <c r="AS620" s="1" t="s">
        <v>479</v>
      </c>
      <c r="AT620" s="1" t="s">
        <v>480</v>
      </c>
      <c r="AU620" s="1" t="s">
        <v>481</v>
      </c>
      <c r="AV620" s="1" t="s">
        <v>11858</v>
      </c>
      <c r="AW620" s="1" t="s">
        <v>11859</v>
      </c>
      <c r="AX620" s="1" t="s">
        <v>82</v>
      </c>
      <c r="AY620" s="1" t="s">
        <v>11860</v>
      </c>
      <c r="AZ620" s="1" t="s">
        <v>11861</v>
      </c>
      <c r="BA620" s="1" t="s">
        <v>1340</v>
      </c>
      <c r="BB620" s="1">
        <v>2022</v>
      </c>
      <c r="BC620" s="1">
        <v>51</v>
      </c>
      <c r="BD620" s="1" t="s">
        <v>82</v>
      </c>
      <c r="BE620" s="1" t="s">
        <v>82</v>
      </c>
      <c r="BF620" s="1" t="s">
        <v>82</v>
      </c>
      <c r="BG620" s="1" t="s">
        <v>82</v>
      </c>
      <c r="BH620" s="1" t="s">
        <v>82</v>
      </c>
      <c r="BI620" s="1">
        <v>97</v>
      </c>
      <c r="BJ620" s="1">
        <v>103</v>
      </c>
      <c r="BK620" s="1" t="s">
        <v>82</v>
      </c>
      <c r="BL620" s="1" t="s">
        <v>11897</v>
      </c>
      <c r="BM620" s="1" t="str">
        <f>HYPERLINK("http://dx.doi.org/10.1016/j.phytol.2022.08.004","http://dx.doi.org/10.1016/j.phytol.2022.08.004")</f>
        <v>http://dx.doi.org/10.1016/j.phytol.2022.08.004</v>
      </c>
      <c r="BN620" s="1" t="s">
        <v>82</v>
      </c>
      <c r="BO620" s="1" t="s">
        <v>424</v>
      </c>
      <c r="BP620" s="1">
        <v>7</v>
      </c>
      <c r="BQ620" s="1" t="s">
        <v>11863</v>
      </c>
      <c r="BR620" s="1" t="s">
        <v>104</v>
      </c>
      <c r="BS620" s="1" t="s">
        <v>6940</v>
      </c>
      <c r="BT620" s="1" t="s">
        <v>11898</v>
      </c>
      <c r="BU620" s="1" t="s">
        <v>82</v>
      </c>
      <c r="BV620" s="1" t="s">
        <v>82</v>
      </c>
      <c r="BW620" s="1" t="s">
        <v>82</v>
      </c>
      <c r="BX620" s="1" t="s">
        <v>82</v>
      </c>
      <c r="BY620" s="1" t="s">
        <v>108</v>
      </c>
      <c r="BZ620" s="1" t="s">
        <v>11899</v>
      </c>
      <c r="CA620" s="1" t="str">
        <f>HYPERLINK("https%3A%2F%2Fwww.webofscience.com%2Fwos%2Fwoscc%2Ffull-record%2FWOS:000843916200019","View Full Record in Web of Science")</f>
        <v>View Full Record in Web of Science</v>
      </c>
    </row>
    <row r="621" s="1" customFormat="1" ht="14.4" spans="1:79">
      <c r="A621">
        <v>620</v>
      </c>
      <c r="B621" s="2" t="s">
        <v>79</v>
      </c>
      <c r="C621" s="1" t="s">
        <v>80</v>
      </c>
      <c r="D621" s="1" t="s">
        <v>11900</v>
      </c>
      <c r="E621" s="1" t="s">
        <v>82</v>
      </c>
      <c r="F621" s="1" t="s">
        <v>82</v>
      </c>
      <c r="G621" s="1" t="s">
        <v>82</v>
      </c>
      <c r="H621" s="1" t="s">
        <v>11901</v>
      </c>
      <c r="I621" s="1" t="s">
        <v>82</v>
      </c>
      <c r="J621" s="1" t="s">
        <v>82</v>
      </c>
      <c r="K621" s="1" t="s">
        <v>11902</v>
      </c>
      <c r="L621" s="1" t="s">
        <v>11846</v>
      </c>
      <c r="M621" s="1">
        <v>1.873</v>
      </c>
      <c r="O621" s="1" t="s">
        <v>82</v>
      </c>
      <c r="P621" s="1" t="s">
        <v>82</v>
      </c>
      <c r="Q621" s="1" t="s">
        <v>87</v>
      </c>
      <c r="R621" s="1" t="s">
        <v>115</v>
      </c>
      <c r="S621" s="1" t="s">
        <v>82</v>
      </c>
      <c r="T621" s="1" t="s">
        <v>82</v>
      </c>
      <c r="U621" s="1" t="s">
        <v>82</v>
      </c>
      <c r="V621" s="1" t="s">
        <v>82</v>
      </c>
      <c r="W621" s="1" t="s">
        <v>82</v>
      </c>
      <c r="X621" s="1" t="s">
        <v>11903</v>
      </c>
      <c r="Y621" s="1" t="s">
        <v>11904</v>
      </c>
      <c r="Z621" s="1" t="s">
        <v>11905</v>
      </c>
      <c r="AA621" s="1">
        <v>1</v>
      </c>
      <c r="AB621" s="1" t="s">
        <v>11906</v>
      </c>
      <c r="AC621" s="1" t="s">
        <v>11907</v>
      </c>
      <c r="AD621" s="1" t="s">
        <v>93</v>
      </c>
      <c r="AE621" s="1" t="s">
        <v>11908</v>
      </c>
      <c r="AF621" s="1" t="s">
        <v>11909</v>
      </c>
      <c r="AG621" s="1" t="s">
        <v>11910</v>
      </c>
      <c r="AH621" s="1" t="s">
        <v>11679</v>
      </c>
      <c r="AI621" s="1" t="s">
        <v>82</v>
      </c>
      <c r="AJ621" s="1" t="s">
        <v>11911</v>
      </c>
      <c r="AK621" s="1" t="s">
        <v>1274</v>
      </c>
      <c r="AL621" s="1" t="s">
        <v>11912</v>
      </c>
      <c r="AM621" s="1" t="s">
        <v>82</v>
      </c>
      <c r="AN621" s="1">
        <v>17</v>
      </c>
      <c r="AO621" s="1">
        <v>0</v>
      </c>
      <c r="AP621" s="1">
        <v>0</v>
      </c>
      <c r="AQ621" s="1">
        <v>3</v>
      </c>
      <c r="AR621" s="1">
        <v>3</v>
      </c>
      <c r="AS621" s="1" t="s">
        <v>479</v>
      </c>
      <c r="AT621" s="1" t="s">
        <v>480</v>
      </c>
      <c r="AU621" s="1" t="s">
        <v>481</v>
      </c>
      <c r="AV621" s="1" t="s">
        <v>11858</v>
      </c>
      <c r="AW621" s="1" t="s">
        <v>11859</v>
      </c>
      <c r="AX621" s="1" t="s">
        <v>82</v>
      </c>
      <c r="AY621" s="1" t="s">
        <v>11860</v>
      </c>
      <c r="AZ621" s="1" t="s">
        <v>11861</v>
      </c>
      <c r="BA621" s="1" t="s">
        <v>1340</v>
      </c>
      <c r="BB621" s="1">
        <v>2022</v>
      </c>
      <c r="BC621" s="1">
        <v>51</v>
      </c>
      <c r="BD621" s="1" t="s">
        <v>82</v>
      </c>
      <c r="BE621" s="1" t="s">
        <v>82</v>
      </c>
      <c r="BF621" s="1" t="s">
        <v>82</v>
      </c>
      <c r="BG621" s="1" t="s">
        <v>82</v>
      </c>
      <c r="BH621" s="1" t="s">
        <v>82</v>
      </c>
      <c r="BI621" s="1">
        <v>39</v>
      </c>
      <c r="BJ621" s="1">
        <v>45</v>
      </c>
      <c r="BK621" s="1" t="s">
        <v>82</v>
      </c>
      <c r="BL621" s="1" t="s">
        <v>11913</v>
      </c>
      <c r="BM621" s="1" t="str">
        <f>HYPERLINK("http://dx.doi.org/10.1016/j.phytol.2022.06.012","http://dx.doi.org/10.1016/j.phytol.2022.06.012")</f>
        <v>http://dx.doi.org/10.1016/j.phytol.2022.06.012</v>
      </c>
      <c r="BN621" s="1" t="s">
        <v>82</v>
      </c>
      <c r="BO621" s="1" t="s">
        <v>1257</v>
      </c>
      <c r="BP621" s="1">
        <v>7</v>
      </c>
      <c r="BQ621" s="1" t="s">
        <v>11863</v>
      </c>
      <c r="BR621" s="1" t="s">
        <v>104</v>
      </c>
      <c r="BS621" s="1" t="s">
        <v>6940</v>
      </c>
      <c r="BT621" s="1" t="s">
        <v>11898</v>
      </c>
      <c r="BU621" s="1" t="s">
        <v>82</v>
      </c>
      <c r="BV621" s="1" t="s">
        <v>82</v>
      </c>
      <c r="BW621" s="1" t="s">
        <v>82</v>
      </c>
      <c r="BX621" s="1" t="s">
        <v>82</v>
      </c>
      <c r="BY621" s="1" t="s">
        <v>108</v>
      </c>
      <c r="BZ621" s="1" t="s">
        <v>11914</v>
      </c>
      <c r="CA621" s="1" t="str">
        <f>HYPERLINK("https%3A%2F%2Fwww.webofscience.com%2Fwos%2Fwoscc%2Ffull-record%2FWOS:000843916200008","View Full Record in Web of Science")</f>
        <v>View Full Record in Web of Science</v>
      </c>
    </row>
    <row r="622" s="1" customFormat="1" ht="14.4" spans="1:79">
      <c r="A622">
        <v>621</v>
      </c>
      <c r="B622" s="2" t="s">
        <v>110</v>
      </c>
      <c r="C622" s="1" t="s">
        <v>80</v>
      </c>
      <c r="D622" s="1" t="s">
        <v>11915</v>
      </c>
      <c r="E622" s="1" t="s">
        <v>82</v>
      </c>
      <c r="F622" s="1" t="s">
        <v>82</v>
      </c>
      <c r="G622" s="1" t="s">
        <v>82</v>
      </c>
      <c r="H622" s="1" t="s">
        <v>11916</v>
      </c>
      <c r="I622" s="1" t="s">
        <v>82</v>
      </c>
      <c r="J622" s="1" t="s">
        <v>82</v>
      </c>
      <c r="K622" s="1" t="s">
        <v>11917</v>
      </c>
      <c r="L622" s="1" t="s">
        <v>11846</v>
      </c>
      <c r="M622" s="1">
        <v>1.873</v>
      </c>
      <c r="O622" s="1" t="s">
        <v>82</v>
      </c>
      <c r="P622" s="1" t="s">
        <v>82</v>
      </c>
      <c r="Q622" s="1" t="s">
        <v>87</v>
      </c>
      <c r="R622" s="1" t="s">
        <v>115</v>
      </c>
      <c r="S622" s="1" t="s">
        <v>82</v>
      </c>
      <c r="T622" s="1" t="s">
        <v>82</v>
      </c>
      <c r="U622" s="1" t="s">
        <v>82</v>
      </c>
      <c r="V622" s="1" t="s">
        <v>82</v>
      </c>
      <c r="W622" s="1" t="s">
        <v>82</v>
      </c>
      <c r="X622" s="1" t="s">
        <v>11918</v>
      </c>
      <c r="Y622" s="1" t="s">
        <v>11919</v>
      </c>
      <c r="Z622" s="1" t="s">
        <v>11920</v>
      </c>
      <c r="AB622" s="1" t="s">
        <v>11921</v>
      </c>
      <c r="AC622" s="1" t="s">
        <v>11922</v>
      </c>
      <c r="AD622" s="1" t="s">
        <v>206</v>
      </c>
      <c r="AE622" s="1" t="s">
        <v>11923</v>
      </c>
      <c r="AF622" s="1" t="s">
        <v>11924</v>
      </c>
      <c r="AG622" s="1" t="s">
        <v>11925</v>
      </c>
      <c r="AH622" s="1" t="s">
        <v>5687</v>
      </c>
      <c r="AI622" s="1" t="s">
        <v>82</v>
      </c>
      <c r="AJ622" s="1" t="s">
        <v>11926</v>
      </c>
      <c r="AK622" s="1" t="s">
        <v>11927</v>
      </c>
      <c r="AL622" s="1" t="s">
        <v>11928</v>
      </c>
      <c r="AM622" s="1" t="s">
        <v>82</v>
      </c>
      <c r="AN622" s="1">
        <v>38</v>
      </c>
      <c r="AO622" s="1">
        <v>1</v>
      </c>
      <c r="AP622" s="1">
        <v>1</v>
      </c>
      <c r="AQ622" s="1">
        <v>4</v>
      </c>
      <c r="AR622" s="1">
        <v>6</v>
      </c>
      <c r="AS622" s="1" t="s">
        <v>479</v>
      </c>
      <c r="AT622" s="1" t="s">
        <v>480</v>
      </c>
      <c r="AU622" s="1" t="s">
        <v>481</v>
      </c>
      <c r="AV622" s="1" t="s">
        <v>11858</v>
      </c>
      <c r="AW622" s="1" t="s">
        <v>11859</v>
      </c>
      <c r="AX622" s="1" t="s">
        <v>82</v>
      </c>
      <c r="AY622" s="1" t="s">
        <v>11860</v>
      </c>
      <c r="AZ622" s="1" t="s">
        <v>11861</v>
      </c>
      <c r="BA622" s="1" t="s">
        <v>1146</v>
      </c>
      <c r="BB622" s="1">
        <v>2022</v>
      </c>
      <c r="BC622" s="1">
        <v>49</v>
      </c>
      <c r="BD622" s="1" t="s">
        <v>82</v>
      </c>
      <c r="BE622" s="1" t="s">
        <v>82</v>
      </c>
      <c r="BF622" s="1" t="s">
        <v>82</v>
      </c>
      <c r="BG622" s="1" t="s">
        <v>82</v>
      </c>
      <c r="BH622" s="1" t="s">
        <v>82</v>
      </c>
      <c r="BI622" s="1">
        <v>114</v>
      </c>
      <c r="BJ622" s="1">
        <v>119</v>
      </c>
      <c r="BK622" s="1" t="s">
        <v>82</v>
      </c>
      <c r="BL622" s="1" t="s">
        <v>11929</v>
      </c>
      <c r="BM622" s="1" t="str">
        <f>HYPERLINK("http://dx.doi.org/10.1016/j.phytol.2022.03.017","http://dx.doi.org/10.1016/j.phytol.2022.03.017")</f>
        <v>http://dx.doi.org/10.1016/j.phytol.2022.03.017</v>
      </c>
      <c r="BN622" s="1" t="s">
        <v>82</v>
      </c>
      <c r="BO622" s="1" t="s">
        <v>267</v>
      </c>
      <c r="BP622" s="1">
        <v>6</v>
      </c>
      <c r="BQ622" s="1" t="s">
        <v>11863</v>
      </c>
      <c r="BR622" s="1" t="s">
        <v>104</v>
      </c>
      <c r="BS622" s="1" t="s">
        <v>6940</v>
      </c>
      <c r="BT622" s="1" t="s">
        <v>11930</v>
      </c>
      <c r="BU622" s="1" t="s">
        <v>82</v>
      </c>
      <c r="BV622" s="1" t="s">
        <v>82</v>
      </c>
      <c r="BW622" s="1" t="s">
        <v>82</v>
      </c>
      <c r="BX622" s="1" t="s">
        <v>82</v>
      </c>
      <c r="BY622" s="1" t="s">
        <v>108</v>
      </c>
      <c r="BZ622" s="1" t="s">
        <v>11931</v>
      </c>
      <c r="CA622" s="1" t="str">
        <f>HYPERLINK("https%3A%2F%2Fwww.webofscience.com%2Fwos%2Fwoscc%2Ffull-record%2FWOS:000793726100002","View Full Record in Web of Science")</f>
        <v>View Full Record in Web of Science</v>
      </c>
    </row>
    <row r="623" s="1" customFormat="1" ht="14.4" spans="1:79">
      <c r="A623">
        <v>622</v>
      </c>
      <c r="B623" s="2" t="s">
        <v>110</v>
      </c>
      <c r="C623" s="1" t="s">
        <v>80</v>
      </c>
      <c r="D623" s="1" t="s">
        <v>11932</v>
      </c>
      <c r="E623" s="1" t="s">
        <v>82</v>
      </c>
      <c r="F623" s="1" t="s">
        <v>82</v>
      </c>
      <c r="G623" s="1" t="s">
        <v>82</v>
      </c>
      <c r="H623" s="1" t="s">
        <v>11933</v>
      </c>
      <c r="I623" s="1" t="s">
        <v>82</v>
      </c>
      <c r="J623" s="1" t="s">
        <v>82</v>
      </c>
      <c r="K623" s="1" t="s">
        <v>11934</v>
      </c>
      <c r="L623" s="1" t="s">
        <v>11846</v>
      </c>
      <c r="M623" s="1">
        <v>1.873</v>
      </c>
      <c r="O623" s="1" t="s">
        <v>82</v>
      </c>
      <c r="P623" s="1" t="s">
        <v>82</v>
      </c>
      <c r="Q623" s="1" t="s">
        <v>87</v>
      </c>
      <c r="R623" s="1" t="s">
        <v>115</v>
      </c>
      <c r="S623" s="1" t="s">
        <v>82</v>
      </c>
      <c r="T623" s="1" t="s">
        <v>82</v>
      </c>
      <c r="U623" s="1" t="s">
        <v>82</v>
      </c>
      <c r="V623" s="1" t="s">
        <v>82</v>
      </c>
      <c r="W623" s="1" t="s">
        <v>82</v>
      </c>
      <c r="X623" s="1" t="s">
        <v>11935</v>
      </c>
      <c r="Y623" s="1" t="s">
        <v>11936</v>
      </c>
      <c r="Z623" s="1" t="s">
        <v>11937</v>
      </c>
      <c r="AA623" s="1">
        <v>1</v>
      </c>
      <c r="AB623" s="1" t="s">
        <v>11938</v>
      </c>
      <c r="AC623" s="1" t="s">
        <v>11939</v>
      </c>
      <c r="AD623" s="1" t="s">
        <v>93</v>
      </c>
      <c r="AE623" s="1" t="s">
        <v>11306</v>
      </c>
      <c r="AF623" s="1" t="s">
        <v>11940</v>
      </c>
      <c r="AG623" s="1" t="s">
        <v>5877</v>
      </c>
      <c r="AH623" s="1" t="s">
        <v>82</v>
      </c>
      <c r="AI623" s="1" t="s">
        <v>82</v>
      </c>
      <c r="AJ623" s="1" t="s">
        <v>11941</v>
      </c>
      <c r="AK623" s="1" t="s">
        <v>11942</v>
      </c>
      <c r="AL623" s="1" t="s">
        <v>11943</v>
      </c>
      <c r="AM623" s="1" t="s">
        <v>82</v>
      </c>
      <c r="AN623" s="1">
        <v>31</v>
      </c>
      <c r="AO623" s="1">
        <v>1</v>
      </c>
      <c r="AP623" s="1">
        <v>1</v>
      </c>
      <c r="AQ623" s="1">
        <v>8</v>
      </c>
      <c r="AR623" s="1">
        <v>13</v>
      </c>
      <c r="AS623" s="1" t="s">
        <v>479</v>
      </c>
      <c r="AT623" s="1" t="s">
        <v>480</v>
      </c>
      <c r="AU623" s="1" t="s">
        <v>481</v>
      </c>
      <c r="AV623" s="1" t="s">
        <v>11858</v>
      </c>
      <c r="AW623" s="1" t="s">
        <v>11859</v>
      </c>
      <c r="AX623" s="1" t="s">
        <v>82</v>
      </c>
      <c r="AY623" s="1" t="s">
        <v>11860</v>
      </c>
      <c r="AZ623" s="1" t="s">
        <v>11861</v>
      </c>
      <c r="BA623" s="1" t="s">
        <v>657</v>
      </c>
      <c r="BB623" s="1">
        <v>2022</v>
      </c>
      <c r="BC623" s="1">
        <v>48</v>
      </c>
      <c r="BD623" s="1" t="s">
        <v>82</v>
      </c>
      <c r="BE623" s="1" t="s">
        <v>82</v>
      </c>
      <c r="BF623" s="1" t="s">
        <v>82</v>
      </c>
      <c r="BG623" s="1" t="s">
        <v>82</v>
      </c>
      <c r="BH623" s="1" t="s">
        <v>82</v>
      </c>
      <c r="BI623" s="1">
        <v>87</v>
      </c>
      <c r="BJ623" s="1">
        <v>93</v>
      </c>
      <c r="BK623" s="1" t="s">
        <v>82</v>
      </c>
      <c r="BL623" s="1" t="s">
        <v>11944</v>
      </c>
      <c r="BM623" s="1" t="str">
        <f>HYPERLINK("http://dx.doi.org/10.1016/j.phytol.2022.02.009","http://dx.doi.org/10.1016/j.phytol.2022.02.009")</f>
        <v>http://dx.doi.org/10.1016/j.phytol.2022.02.009</v>
      </c>
      <c r="BN623" s="1" t="s">
        <v>82</v>
      </c>
      <c r="BO623" s="1" t="s">
        <v>296</v>
      </c>
      <c r="BP623" s="1">
        <v>7</v>
      </c>
      <c r="BQ623" s="1" t="s">
        <v>11863</v>
      </c>
      <c r="BR623" s="1" t="s">
        <v>104</v>
      </c>
      <c r="BS623" s="1" t="s">
        <v>6940</v>
      </c>
      <c r="BT623" s="1" t="s">
        <v>11945</v>
      </c>
      <c r="BU623" s="1" t="s">
        <v>82</v>
      </c>
      <c r="BV623" s="1" t="s">
        <v>82</v>
      </c>
      <c r="BW623" s="1" t="s">
        <v>82</v>
      </c>
      <c r="BX623" s="1" t="s">
        <v>82</v>
      </c>
      <c r="BY623" s="1" t="s">
        <v>108</v>
      </c>
      <c r="BZ623" s="1" t="s">
        <v>11946</v>
      </c>
      <c r="CA623" s="1" t="str">
        <f>HYPERLINK("https%3A%2F%2Fwww.webofscience.com%2Fwos%2Fwoscc%2Ffull-record%2FWOS:000766608600017","View Full Record in Web of Science")</f>
        <v>View Full Record in Web of Science</v>
      </c>
    </row>
    <row r="624" s="1" customFormat="1" ht="14.4" spans="1:79">
      <c r="A624">
        <v>623</v>
      </c>
      <c r="B624" s="2" t="s">
        <v>79</v>
      </c>
      <c r="C624" s="1" t="s">
        <v>80</v>
      </c>
      <c r="D624" s="1" t="s">
        <v>11947</v>
      </c>
      <c r="E624" s="1" t="s">
        <v>82</v>
      </c>
      <c r="F624" s="1" t="s">
        <v>82</v>
      </c>
      <c r="G624" s="1" t="s">
        <v>82</v>
      </c>
      <c r="H624" s="1" t="s">
        <v>11948</v>
      </c>
      <c r="I624" s="1" t="s">
        <v>82</v>
      </c>
      <c r="J624" s="1" t="s">
        <v>82</v>
      </c>
      <c r="K624" s="1" t="s">
        <v>11949</v>
      </c>
      <c r="L624" s="1" t="s">
        <v>11950</v>
      </c>
      <c r="M624" s="1">
        <v>1.821</v>
      </c>
      <c r="O624" s="1" t="s">
        <v>82</v>
      </c>
      <c r="P624" s="1" t="s">
        <v>82</v>
      </c>
      <c r="Q624" s="1" t="s">
        <v>87</v>
      </c>
      <c r="R624" s="1" t="s">
        <v>115</v>
      </c>
      <c r="S624" s="1" t="s">
        <v>82</v>
      </c>
      <c r="T624" s="1" t="s">
        <v>82</v>
      </c>
      <c r="U624" s="1" t="s">
        <v>82</v>
      </c>
      <c r="V624" s="1" t="s">
        <v>82</v>
      </c>
      <c r="W624" s="1" t="s">
        <v>82</v>
      </c>
      <c r="X624" s="1" t="s">
        <v>11951</v>
      </c>
      <c r="Y624" s="1" t="s">
        <v>11952</v>
      </c>
      <c r="Z624" s="1" t="s">
        <v>11953</v>
      </c>
      <c r="AB624" s="1" t="s">
        <v>11954</v>
      </c>
      <c r="AC624" s="1" t="s">
        <v>11955</v>
      </c>
      <c r="AD624" s="1" t="s">
        <v>120</v>
      </c>
      <c r="AE624" s="1" t="s">
        <v>11956</v>
      </c>
      <c r="AF624" s="1" t="s">
        <v>11957</v>
      </c>
      <c r="AG624" s="1" t="s">
        <v>11958</v>
      </c>
      <c r="AH624" s="1" t="s">
        <v>82</v>
      </c>
      <c r="AI624" s="1" t="s">
        <v>11959</v>
      </c>
      <c r="AJ624" s="1" t="s">
        <v>11960</v>
      </c>
      <c r="AK624" s="1" t="s">
        <v>11961</v>
      </c>
      <c r="AL624" s="1" t="s">
        <v>11962</v>
      </c>
      <c r="AM624" s="1" t="s">
        <v>82</v>
      </c>
      <c r="AN624" s="1">
        <v>42</v>
      </c>
      <c r="AO624" s="1">
        <v>0</v>
      </c>
      <c r="AP624" s="1">
        <v>0</v>
      </c>
      <c r="AQ624" s="1">
        <v>9</v>
      </c>
      <c r="AR624" s="1">
        <v>9</v>
      </c>
      <c r="AS624" s="1" t="s">
        <v>1002</v>
      </c>
      <c r="AT624" s="1" t="s">
        <v>1003</v>
      </c>
      <c r="AU624" s="1" t="s">
        <v>1004</v>
      </c>
      <c r="AV624" s="1" t="s">
        <v>11963</v>
      </c>
      <c r="AW624" s="1" t="s">
        <v>11964</v>
      </c>
      <c r="AX624" s="1" t="s">
        <v>82</v>
      </c>
      <c r="AY624" s="1" t="s">
        <v>11965</v>
      </c>
      <c r="AZ624" s="1" t="s">
        <v>11966</v>
      </c>
      <c r="BA624" s="1" t="s">
        <v>1826</v>
      </c>
      <c r="BB624" s="1">
        <v>2023</v>
      </c>
      <c r="BC624" s="1">
        <v>38</v>
      </c>
      <c r="BD624" s="1">
        <v>1</v>
      </c>
      <c r="BE624" s="1" t="s">
        <v>82</v>
      </c>
      <c r="BF624" s="1" t="s">
        <v>82</v>
      </c>
      <c r="BG624" s="1" t="s">
        <v>82</v>
      </c>
      <c r="BH624" s="1" t="s">
        <v>82</v>
      </c>
      <c r="BI624" s="1">
        <v>18</v>
      </c>
      <c r="BJ624" s="1">
        <v>26</v>
      </c>
      <c r="BK624" s="1" t="s">
        <v>82</v>
      </c>
      <c r="BL624" s="1" t="s">
        <v>11967</v>
      </c>
      <c r="BM624" s="1" t="str">
        <f>HYPERLINK("http://dx.doi.org/10.1111/1442-1984.12390","http://dx.doi.org/10.1111/1442-1984.12390")</f>
        <v>http://dx.doi.org/10.1111/1442-1984.12390</v>
      </c>
      <c r="BN624" s="1" t="s">
        <v>82</v>
      </c>
      <c r="BO624" s="1" t="s">
        <v>2084</v>
      </c>
      <c r="BP624" s="1">
        <v>9</v>
      </c>
      <c r="BQ624" s="1" t="s">
        <v>3856</v>
      </c>
      <c r="BR624" s="1" t="s">
        <v>104</v>
      </c>
      <c r="BS624" s="1" t="s">
        <v>3857</v>
      </c>
      <c r="BT624" s="1" t="s">
        <v>11968</v>
      </c>
      <c r="BU624" s="1" t="s">
        <v>82</v>
      </c>
      <c r="BV624" s="1" t="s">
        <v>82</v>
      </c>
      <c r="BW624" s="1" t="s">
        <v>82</v>
      </c>
      <c r="BX624" s="1" t="s">
        <v>82</v>
      </c>
      <c r="BY624" s="1" t="s">
        <v>108</v>
      </c>
      <c r="BZ624" s="1" t="s">
        <v>11969</v>
      </c>
      <c r="CA624" s="1" t="str">
        <f>HYPERLINK("https%3A%2F%2Fwww.webofscience.com%2Fwos%2Fwoscc%2Ffull-record%2FWOS:000865286000001","View Full Record in Web of Science")</f>
        <v>View Full Record in Web of Science</v>
      </c>
    </row>
    <row r="625" s="1" customFormat="1" ht="14.4" spans="1:79">
      <c r="A625">
        <v>624</v>
      </c>
      <c r="B625" s="2" t="s">
        <v>79</v>
      </c>
      <c r="C625" s="1" t="s">
        <v>80</v>
      </c>
      <c r="D625" s="1" t="s">
        <v>11970</v>
      </c>
      <c r="E625" s="1" t="s">
        <v>82</v>
      </c>
      <c r="F625" s="1" t="s">
        <v>82</v>
      </c>
      <c r="G625" s="1" t="s">
        <v>82</v>
      </c>
      <c r="H625" s="1" t="s">
        <v>11971</v>
      </c>
      <c r="I625" s="1" t="s">
        <v>82</v>
      </c>
      <c r="J625" s="1" t="s">
        <v>82</v>
      </c>
      <c r="K625" s="1" t="s">
        <v>11972</v>
      </c>
      <c r="L625" s="1" t="s">
        <v>11973</v>
      </c>
      <c r="M625" s="1">
        <v>1.78</v>
      </c>
      <c r="O625" s="1" t="s">
        <v>82</v>
      </c>
      <c r="P625" s="1" t="s">
        <v>82</v>
      </c>
      <c r="Q625" s="1" t="s">
        <v>87</v>
      </c>
      <c r="R625" s="1" t="s">
        <v>115</v>
      </c>
      <c r="S625" s="1" t="s">
        <v>82</v>
      </c>
      <c r="T625" s="1" t="s">
        <v>82</v>
      </c>
      <c r="U625" s="1" t="s">
        <v>82</v>
      </c>
      <c r="V625" s="1" t="s">
        <v>82</v>
      </c>
      <c r="W625" s="1" t="s">
        <v>82</v>
      </c>
      <c r="X625" s="1" t="s">
        <v>11974</v>
      </c>
      <c r="Y625" s="1" t="s">
        <v>11975</v>
      </c>
      <c r="Z625" s="1" t="s">
        <v>11976</v>
      </c>
      <c r="AB625" s="1" t="s">
        <v>11977</v>
      </c>
      <c r="AC625" s="1" t="s">
        <v>11978</v>
      </c>
      <c r="AD625" s="1" t="s">
        <v>120</v>
      </c>
      <c r="AE625" s="1" t="s">
        <v>11979</v>
      </c>
      <c r="AF625" s="1" t="s">
        <v>11980</v>
      </c>
      <c r="AG625" s="1" t="s">
        <v>11981</v>
      </c>
      <c r="AH625" s="1" t="s">
        <v>82</v>
      </c>
      <c r="AI625" s="1" t="s">
        <v>11982</v>
      </c>
      <c r="AJ625" s="1" t="s">
        <v>11983</v>
      </c>
      <c r="AK625" s="1" t="s">
        <v>442</v>
      </c>
      <c r="AL625" s="1" t="s">
        <v>11984</v>
      </c>
      <c r="AM625" s="1" t="s">
        <v>82</v>
      </c>
      <c r="AN625" s="1">
        <v>41</v>
      </c>
      <c r="AO625" s="1">
        <v>0</v>
      </c>
      <c r="AP625" s="1">
        <v>0</v>
      </c>
      <c r="AQ625" s="1">
        <v>21</v>
      </c>
      <c r="AR625" s="1">
        <v>23</v>
      </c>
      <c r="AS625" s="1" t="s">
        <v>328</v>
      </c>
      <c r="AT625" s="1" t="s">
        <v>329</v>
      </c>
      <c r="AU625" s="1" t="s">
        <v>330</v>
      </c>
      <c r="AV625" s="1" t="s">
        <v>11985</v>
      </c>
      <c r="AW625" s="1" t="s">
        <v>11986</v>
      </c>
      <c r="AX625" s="1" t="s">
        <v>82</v>
      </c>
      <c r="AY625" s="1" t="s">
        <v>11987</v>
      </c>
      <c r="AZ625" s="1" t="s">
        <v>11988</v>
      </c>
      <c r="BA625" s="1" t="s">
        <v>422</v>
      </c>
      <c r="BB625" s="1">
        <v>2022</v>
      </c>
      <c r="BC625" s="1">
        <v>15</v>
      </c>
      <c r="BD625" s="1">
        <v>4</v>
      </c>
      <c r="BE625" s="1" t="s">
        <v>82</v>
      </c>
      <c r="BF625" s="1" t="s">
        <v>82</v>
      </c>
      <c r="BG625" s="1" t="s">
        <v>82</v>
      </c>
      <c r="BH625" s="1" t="s">
        <v>82</v>
      </c>
      <c r="BI625" s="1">
        <v>683</v>
      </c>
      <c r="BJ625" s="1">
        <v>690</v>
      </c>
      <c r="BK625" s="1" t="s">
        <v>82</v>
      </c>
      <c r="BL625" s="1" t="s">
        <v>11989</v>
      </c>
      <c r="BM625" s="1" t="str">
        <f>HYPERLINK("http://dx.doi.org/10.1093/jpe/rtab109","http://dx.doi.org/10.1093/jpe/rtab109")</f>
        <v>http://dx.doi.org/10.1093/jpe/rtab109</v>
      </c>
      <c r="BN625" s="1" t="s">
        <v>82</v>
      </c>
      <c r="BO625" s="1" t="s">
        <v>82</v>
      </c>
      <c r="BP625" s="1">
        <v>8</v>
      </c>
      <c r="BQ625" s="1" t="s">
        <v>11990</v>
      </c>
      <c r="BR625" s="1" t="s">
        <v>104</v>
      </c>
      <c r="BS625" s="1" t="s">
        <v>11991</v>
      </c>
      <c r="BT625" s="1" t="s">
        <v>11992</v>
      </c>
      <c r="BU625" s="1" t="s">
        <v>82</v>
      </c>
      <c r="BV625" s="1" t="s">
        <v>82</v>
      </c>
      <c r="BW625" s="1" t="s">
        <v>82</v>
      </c>
      <c r="BX625" s="1" t="s">
        <v>82</v>
      </c>
      <c r="BY625" s="1" t="s">
        <v>108</v>
      </c>
      <c r="BZ625" s="1" t="s">
        <v>11993</v>
      </c>
      <c r="CA625" s="1" t="str">
        <f>HYPERLINK("https%3A%2F%2Fwww.webofscience.com%2Fwos%2Fwoscc%2Ffull-record%2FWOS:000822055500002","View Full Record in Web of Science")</f>
        <v>View Full Record in Web of Science</v>
      </c>
    </row>
    <row r="626" s="1" customFormat="1" ht="14.4" spans="1:79">
      <c r="A626">
        <v>625</v>
      </c>
      <c r="B626" s="2" t="s">
        <v>79</v>
      </c>
      <c r="C626" s="1" t="s">
        <v>80</v>
      </c>
      <c r="D626" s="1" t="s">
        <v>11994</v>
      </c>
      <c r="E626" s="1" t="s">
        <v>82</v>
      </c>
      <c r="F626" s="1" t="s">
        <v>82</v>
      </c>
      <c r="G626" s="1" t="s">
        <v>82</v>
      </c>
      <c r="H626" s="1" t="s">
        <v>11995</v>
      </c>
      <c r="I626" s="1" t="s">
        <v>82</v>
      </c>
      <c r="J626" s="1" t="s">
        <v>82</v>
      </c>
      <c r="K626" s="1" t="s">
        <v>11996</v>
      </c>
      <c r="L626" s="1" t="s">
        <v>11973</v>
      </c>
      <c r="M626" s="1">
        <v>1.78</v>
      </c>
      <c r="O626" s="1" t="s">
        <v>82</v>
      </c>
      <c r="P626" s="1" t="s">
        <v>82</v>
      </c>
      <c r="Q626" s="1" t="s">
        <v>87</v>
      </c>
      <c r="R626" s="1" t="s">
        <v>115</v>
      </c>
      <c r="S626" s="1" t="s">
        <v>82</v>
      </c>
      <c r="T626" s="1" t="s">
        <v>82</v>
      </c>
      <c r="U626" s="1" t="s">
        <v>82</v>
      </c>
      <c r="V626" s="1" t="s">
        <v>82</v>
      </c>
      <c r="W626" s="1" t="s">
        <v>82</v>
      </c>
      <c r="X626" s="1" t="s">
        <v>11997</v>
      </c>
      <c r="Y626" s="1" t="s">
        <v>11998</v>
      </c>
      <c r="Z626" s="1" t="s">
        <v>11999</v>
      </c>
      <c r="AA626" s="1">
        <v>1</v>
      </c>
      <c r="AB626" s="1" t="s">
        <v>7132</v>
      </c>
      <c r="AC626" s="1" t="s">
        <v>12000</v>
      </c>
      <c r="AD626" s="1" t="s">
        <v>93</v>
      </c>
      <c r="AE626" s="1" t="s">
        <v>12001</v>
      </c>
      <c r="AF626" s="1" t="s">
        <v>12002</v>
      </c>
      <c r="AG626" s="1" t="s">
        <v>12003</v>
      </c>
      <c r="AH626" s="1" t="s">
        <v>82</v>
      </c>
      <c r="AI626" s="1" t="s">
        <v>82</v>
      </c>
      <c r="AJ626" s="1" t="s">
        <v>12004</v>
      </c>
      <c r="AK626" s="1" t="s">
        <v>12005</v>
      </c>
      <c r="AL626" s="1" t="s">
        <v>12006</v>
      </c>
      <c r="AM626" s="1" t="s">
        <v>82</v>
      </c>
      <c r="AN626" s="1">
        <v>50</v>
      </c>
      <c r="AO626" s="1">
        <v>1</v>
      </c>
      <c r="AP626" s="1">
        <v>1</v>
      </c>
      <c r="AQ626" s="1">
        <v>5</v>
      </c>
      <c r="AR626" s="1">
        <v>12</v>
      </c>
      <c r="AS626" s="1" t="s">
        <v>328</v>
      </c>
      <c r="AT626" s="1" t="s">
        <v>329</v>
      </c>
      <c r="AU626" s="1" t="s">
        <v>330</v>
      </c>
      <c r="AV626" s="1" t="s">
        <v>11985</v>
      </c>
      <c r="AW626" s="1" t="s">
        <v>11986</v>
      </c>
      <c r="AX626" s="1" t="s">
        <v>82</v>
      </c>
      <c r="AY626" s="1" t="s">
        <v>11987</v>
      </c>
      <c r="AZ626" s="1" t="s">
        <v>11988</v>
      </c>
      <c r="BA626" s="1" t="s">
        <v>1231</v>
      </c>
      <c r="BB626" s="1">
        <v>2022</v>
      </c>
      <c r="BC626" s="1">
        <v>15</v>
      </c>
      <c r="BD626" s="1">
        <v>1</v>
      </c>
      <c r="BE626" s="1" t="s">
        <v>82</v>
      </c>
      <c r="BF626" s="1" t="s">
        <v>82</v>
      </c>
      <c r="BG626" s="1" t="s">
        <v>82</v>
      </c>
      <c r="BH626" s="1" t="s">
        <v>82</v>
      </c>
      <c r="BI626" s="1">
        <v>39</v>
      </c>
      <c r="BJ626" s="1">
        <v>56</v>
      </c>
      <c r="BK626" s="1" t="s">
        <v>82</v>
      </c>
      <c r="BL626" s="1" t="s">
        <v>12007</v>
      </c>
      <c r="BM626" s="1" t="str">
        <f>HYPERLINK("http://dx.doi.org/10.1093/jpe/rtab063","http://dx.doi.org/10.1093/jpe/rtab063")</f>
        <v>http://dx.doi.org/10.1093/jpe/rtab063</v>
      </c>
      <c r="BN626" s="1" t="s">
        <v>82</v>
      </c>
      <c r="BO626" s="1" t="s">
        <v>296</v>
      </c>
      <c r="BP626" s="1">
        <v>18</v>
      </c>
      <c r="BQ626" s="1" t="s">
        <v>11990</v>
      </c>
      <c r="BR626" s="1" t="s">
        <v>104</v>
      </c>
      <c r="BS626" s="1" t="s">
        <v>11991</v>
      </c>
      <c r="BT626" s="1" t="s">
        <v>12008</v>
      </c>
      <c r="BU626" s="1" t="s">
        <v>82</v>
      </c>
      <c r="BV626" s="1" t="s">
        <v>268</v>
      </c>
      <c r="BW626" s="1" t="s">
        <v>82</v>
      </c>
      <c r="BX626" s="1" t="s">
        <v>82</v>
      </c>
      <c r="BY626" s="1" t="s">
        <v>108</v>
      </c>
      <c r="BZ626" s="1" t="s">
        <v>12009</v>
      </c>
      <c r="CA626" s="1" t="str">
        <f>HYPERLINK("https%3A%2F%2Fwww.webofscience.com%2Fwos%2Fwoscc%2Ffull-record%2FWOS:000759083500004","View Full Record in Web of Science")</f>
        <v>View Full Record in Web of Science</v>
      </c>
    </row>
    <row r="627" s="1" customFormat="1" ht="14.4" spans="1:79">
      <c r="A627">
        <v>626</v>
      </c>
      <c r="B627" s="2" t="s">
        <v>79</v>
      </c>
      <c r="C627" s="1" t="s">
        <v>80</v>
      </c>
      <c r="D627" s="1" t="s">
        <v>12010</v>
      </c>
      <c r="E627" s="1" t="s">
        <v>82</v>
      </c>
      <c r="F627" s="1" t="s">
        <v>82</v>
      </c>
      <c r="G627" s="1" t="s">
        <v>82</v>
      </c>
      <c r="H627" s="1" t="s">
        <v>12011</v>
      </c>
      <c r="I627" s="1" t="s">
        <v>82</v>
      </c>
      <c r="J627" s="1" t="s">
        <v>82</v>
      </c>
      <c r="K627" s="1" t="s">
        <v>12012</v>
      </c>
      <c r="L627" s="1" t="s">
        <v>12013</v>
      </c>
      <c r="M627" s="1">
        <v>1.736</v>
      </c>
      <c r="O627" s="1" t="s">
        <v>82</v>
      </c>
      <c r="P627" s="1" t="s">
        <v>82</v>
      </c>
      <c r="Q627" s="1" t="s">
        <v>87</v>
      </c>
      <c r="R627" s="1" t="s">
        <v>1624</v>
      </c>
      <c r="S627" s="1" t="s">
        <v>82</v>
      </c>
      <c r="T627" s="1" t="s">
        <v>82</v>
      </c>
      <c r="U627" s="1" t="s">
        <v>82</v>
      </c>
      <c r="V627" s="1" t="s">
        <v>82</v>
      </c>
      <c r="W627" s="1" t="s">
        <v>82</v>
      </c>
      <c r="X627" s="1" t="s">
        <v>12014</v>
      </c>
      <c r="Y627" s="1" t="s">
        <v>12015</v>
      </c>
      <c r="Z627" s="1" t="s">
        <v>12016</v>
      </c>
      <c r="AA627" s="1">
        <v>1</v>
      </c>
      <c r="AB627" s="1" t="s">
        <v>8683</v>
      </c>
      <c r="AC627" s="1" t="s">
        <v>12017</v>
      </c>
      <c r="AD627" s="1" t="s">
        <v>93</v>
      </c>
      <c r="AE627" s="1" t="s">
        <v>12018</v>
      </c>
      <c r="AF627" s="1" t="s">
        <v>12019</v>
      </c>
      <c r="AG627" s="1" t="s">
        <v>8687</v>
      </c>
      <c r="AH627" s="1" t="s">
        <v>5562</v>
      </c>
      <c r="AI627" s="1" t="s">
        <v>12020</v>
      </c>
      <c r="AJ627" s="1" t="s">
        <v>12021</v>
      </c>
      <c r="AK627" s="1" t="s">
        <v>12022</v>
      </c>
      <c r="AL627" s="1" t="s">
        <v>12023</v>
      </c>
      <c r="AM627" s="1" t="s">
        <v>82</v>
      </c>
      <c r="AN627" s="1">
        <v>87</v>
      </c>
      <c r="AO627" s="1">
        <v>0</v>
      </c>
      <c r="AP627" s="1">
        <v>0</v>
      </c>
      <c r="AQ627" s="1">
        <v>3</v>
      </c>
      <c r="AR627" s="1">
        <v>4</v>
      </c>
      <c r="AS627" s="1" t="s">
        <v>11039</v>
      </c>
      <c r="AT627" s="1" t="s">
        <v>11040</v>
      </c>
      <c r="AU627" s="1" t="s">
        <v>11041</v>
      </c>
      <c r="AV627" s="1" t="s">
        <v>12024</v>
      </c>
      <c r="AW627" s="1" t="s">
        <v>12025</v>
      </c>
      <c r="AX627" s="1" t="s">
        <v>82</v>
      </c>
      <c r="AY627" s="1" t="s">
        <v>12026</v>
      </c>
      <c r="AZ627" s="1" t="s">
        <v>12027</v>
      </c>
      <c r="BA627" s="1" t="s">
        <v>82</v>
      </c>
      <c r="BB627" s="1" t="s">
        <v>82</v>
      </c>
      <c r="BC627" s="1" t="s">
        <v>82</v>
      </c>
      <c r="BD627" s="1" t="s">
        <v>82</v>
      </c>
      <c r="BE627" s="1" t="s">
        <v>82</v>
      </c>
      <c r="BF627" s="1" t="s">
        <v>82</v>
      </c>
      <c r="BG627" s="1" t="s">
        <v>82</v>
      </c>
      <c r="BH627" s="1" t="s">
        <v>82</v>
      </c>
      <c r="BI627" s="1" t="s">
        <v>82</v>
      </c>
      <c r="BJ627" s="1" t="s">
        <v>82</v>
      </c>
      <c r="BK627" s="1" t="s">
        <v>82</v>
      </c>
      <c r="BL627" s="1" t="s">
        <v>12028</v>
      </c>
      <c r="BM627" s="1" t="str">
        <f>HYPERLINK("http://dx.doi.org/10.1007/s12549-021-00519-7","http://dx.doi.org/10.1007/s12549-021-00519-7")</f>
        <v>http://dx.doi.org/10.1007/s12549-021-00519-7</v>
      </c>
      <c r="BN627" s="1" t="s">
        <v>82</v>
      </c>
      <c r="BO627" s="1" t="s">
        <v>315</v>
      </c>
      <c r="BP627" s="1">
        <v>14</v>
      </c>
      <c r="BQ627" s="1" t="s">
        <v>12029</v>
      </c>
      <c r="BR627" s="1" t="s">
        <v>104</v>
      </c>
      <c r="BS627" s="1" t="s">
        <v>12030</v>
      </c>
      <c r="BT627" s="1" t="s">
        <v>12031</v>
      </c>
      <c r="BU627" s="1" t="s">
        <v>82</v>
      </c>
      <c r="BV627" s="1" t="s">
        <v>82</v>
      </c>
      <c r="BW627" s="1" t="s">
        <v>82</v>
      </c>
      <c r="BX627" s="1" t="s">
        <v>82</v>
      </c>
      <c r="BY627" s="1" t="s">
        <v>108</v>
      </c>
      <c r="BZ627" s="1" t="s">
        <v>12032</v>
      </c>
      <c r="CA627" s="1" t="str">
        <f>HYPERLINK("https%3A%2F%2Fwww.webofscience.com%2Fwos%2Fwoscc%2Ffull-record%2FWOS:000741226800001","View Full Record in Web of Science")</f>
        <v>View Full Record in Web of Science</v>
      </c>
    </row>
    <row r="628" s="1" customFormat="1" ht="14.4" spans="1:79">
      <c r="A628">
        <v>627</v>
      </c>
      <c r="B628" s="2" t="s">
        <v>79</v>
      </c>
      <c r="C628" s="1" t="s">
        <v>80</v>
      </c>
      <c r="D628" s="1" t="s">
        <v>12033</v>
      </c>
      <c r="E628" s="1" t="s">
        <v>82</v>
      </c>
      <c r="F628" s="1" t="s">
        <v>82</v>
      </c>
      <c r="G628" s="1" t="s">
        <v>82</v>
      </c>
      <c r="H628" s="1" t="s">
        <v>12034</v>
      </c>
      <c r="I628" s="1" t="s">
        <v>82</v>
      </c>
      <c r="J628" s="1" t="s">
        <v>82</v>
      </c>
      <c r="K628" s="1" t="s">
        <v>12035</v>
      </c>
      <c r="L628" s="1" t="s">
        <v>12036</v>
      </c>
      <c r="M628" s="1">
        <v>1.721</v>
      </c>
      <c r="O628" s="1" t="s">
        <v>82</v>
      </c>
      <c r="P628" s="1" t="s">
        <v>82</v>
      </c>
      <c r="Q628" s="1" t="s">
        <v>87</v>
      </c>
      <c r="R628" s="1" t="s">
        <v>115</v>
      </c>
      <c r="S628" s="1" t="s">
        <v>82</v>
      </c>
      <c r="T628" s="1" t="s">
        <v>82</v>
      </c>
      <c r="U628" s="1" t="s">
        <v>82</v>
      </c>
      <c r="V628" s="1" t="s">
        <v>82</v>
      </c>
      <c r="W628" s="1" t="s">
        <v>82</v>
      </c>
      <c r="X628" s="1" t="s">
        <v>12037</v>
      </c>
      <c r="Y628" s="1" t="s">
        <v>12038</v>
      </c>
      <c r="Z628" s="1" t="s">
        <v>12039</v>
      </c>
      <c r="AB628" s="1" t="s">
        <v>12040</v>
      </c>
      <c r="AC628" s="1" t="s">
        <v>12041</v>
      </c>
      <c r="AD628" s="1" t="s">
        <v>120</v>
      </c>
      <c r="AE628" s="1" t="s">
        <v>12042</v>
      </c>
      <c r="AF628" s="1" t="s">
        <v>12043</v>
      </c>
      <c r="AG628" s="1" t="s">
        <v>12044</v>
      </c>
      <c r="AH628" s="1" t="s">
        <v>82</v>
      </c>
      <c r="AI628" s="1" t="s">
        <v>82</v>
      </c>
      <c r="AJ628" s="1" t="s">
        <v>12045</v>
      </c>
      <c r="AK628" s="1" t="s">
        <v>12046</v>
      </c>
      <c r="AL628" s="1" t="s">
        <v>12047</v>
      </c>
      <c r="AM628" s="1" t="s">
        <v>82</v>
      </c>
      <c r="AN628" s="1">
        <v>58</v>
      </c>
      <c r="AO628" s="1">
        <v>1</v>
      </c>
      <c r="AP628" s="1">
        <v>1</v>
      </c>
      <c r="AQ628" s="1">
        <v>6</v>
      </c>
      <c r="AR628" s="1">
        <v>13</v>
      </c>
      <c r="AS628" s="1" t="s">
        <v>12048</v>
      </c>
      <c r="AT628" s="1" t="s">
        <v>12049</v>
      </c>
      <c r="AU628" s="1" t="s">
        <v>12050</v>
      </c>
      <c r="AV628" s="1" t="s">
        <v>12051</v>
      </c>
      <c r="AW628" s="1" t="s">
        <v>82</v>
      </c>
      <c r="AX628" s="1" t="s">
        <v>82</v>
      </c>
      <c r="AY628" s="1" t="s">
        <v>12052</v>
      </c>
      <c r="AZ628" s="1" t="s">
        <v>12053</v>
      </c>
      <c r="BA628" s="1" t="s">
        <v>1593</v>
      </c>
      <c r="BB628" s="1">
        <v>2022</v>
      </c>
      <c r="BC628" s="1">
        <v>15</v>
      </c>
      <c r="BD628" s="1" t="s">
        <v>82</v>
      </c>
      <c r="BE628" s="1" t="s">
        <v>82</v>
      </c>
      <c r="BF628" s="1" t="s">
        <v>82</v>
      </c>
      <c r="BG628" s="1" t="s">
        <v>82</v>
      </c>
      <c r="BH628" s="1" t="s">
        <v>82</v>
      </c>
      <c r="BI628" s="1" t="s">
        <v>82</v>
      </c>
      <c r="BJ628" s="1" t="s">
        <v>82</v>
      </c>
      <c r="BK628" s="1">
        <v>1.94008292210781e+16</v>
      </c>
      <c r="BL628" s="1" t="s">
        <v>12054</v>
      </c>
      <c r="BM628" s="1" t="str">
        <f>HYPERLINK("http://dx.doi.org/10.1177/19400829221078112","http://dx.doi.org/10.1177/19400829221078112")</f>
        <v>http://dx.doi.org/10.1177/19400829221078112</v>
      </c>
      <c r="BN628" s="1" t="s">
        <v>82</v>
      </c>
      <c r="BO628" s="1" t="s">
        <v>82</v>
      </c>
      <c r="BP628" s="1">
        <v>10</v>
      </c>
      <c r="BQ628" s="1" t="s">
        <v>12055</v>
      </c>
      <c r="BR628" s="1" t="s">
        <v>104</v>
      </c>
      <c r="BS628" s="1" t="s">
        <v>12056</v>
      </c>
      <c r="BT628" s="1" t="s">
        <v>12057</v>
      </c>
      <c r="BU628" s="1" t="s">
        <v>82</v>
      </c>
      <c r="BV628" s="1" t="s">
        <v>808</v>
      </c>
      <c r="BW628" s="1" t="s">
        <v>82</v>
      </c>
      <c r="BX628" s="1" t="s">
        <v>82</v>
      </c>
      <c r="BY628" s="1" t="s">
        <v>108</v>
      </c>
      <c r="BZ628" s="1" t="s">
        <v>12058</v>
      </c>
      <c r="CA628" s="1" t="str">
        <f>HYPERLINK("https%3A%2F%2Fwww.webofscience.com%2Fwos%2Fwoscc%2Ffull-record%2FWOS:000767184000001","View Full Record in Web of Science")</f>
        <v>View Full Record in Web of Science</v>
      </c>
    </row>
    <row r="629" s="1" customFormat="1" ht="14.4" spans="1:79">
      <c r="A629">
        <v>628</v>
      </c>
      <c r="B629" s="2" t="s">
        <v>79</v>
      </c>
      <c r="C629" s="1" t="s">
        <v>80</v>
      </c>
      <c r="D629" s="1" t="s">
        <v>12059</v>
      </c>
      <c r="E629" s="1" t="s">
        <v>82</v>
      </c>
      <c r="F629" s="1" t="s">
        <v>82</v>
      </c>
      <c r="G629" s="1" t="s">
        <v>82</v>
      </c>
      <c r="H629" s="1" t="s">
        <v>12060</v>
      </c>
      <c r="I629" s="1" t="s">
        <v>82</v>
      </c>
      <c r="J629" s="1" t="s">
        <v>82</v>
      </c>
      <c r="K629" s="1" t="s">
        <v>12061</v>
      </c>
      <c r="L629" s="1" t="s">
        <v>12062</v>
      </c>
      <c r="M629" s="1">
        <v>1.718</v>
      </c>
      <c r="O629" s="1" t="s">
        <v>82</v>
      </c>
      <c r="P629" s="1" t="s">
        <v>82</v>
      </c>
      <c r="Q629" s="1" t="s">
        <v>87</v>
      </c>
      <c r="R629" s="1" t="s">
        <v>115</v>
      </c>
      <c r="S629" s="1" t="s">
        <v>82</v>
      </c>
      <c r="T629" s="1" t="s">
        <v>82</v>
      </c>
      <c r="U629" s="1" t="s">
        <v>82</v>
      </c>
      <c r="V629" s="1" t="s">
        <v>82</v>
      </c>
      <c r="W629" s="1" t="s">
        <v>82</v>
      </c>
      <c r="X629" s="1" t="s">
        <v>12063</v>
      </c>
      <c r="Y629" s="1" t="s">
        <v>12064</v>
      </c>
      <c r="Z629" s="1" t="s">
        <v>12065</v>
      </c>
      <c r="AB629" s="1" t="s">
        <v>12066</v>
      </c>
      <c r="AC629" s="1" t="s">
        <v>12067</v>
      </c>
      <c r="AD629" s="1" t="s">
        <v>206</v>
      </c>
      <c r="AE629" s="1" t="s">
        <v>12068</v>
      </c>
      <c r="AF629" s="1" t="s">
        <v>12069</v>
      </c>
      <c r="AG629" s="1" t="s">
        <v>12070</v>
      </c>
      <c r="AH629" s="1" t="s">
        <v>11679</v>
      </c>
      <c r="AI629" s="1" t="s">
        <v>82</v>
      </c>
      <c r="AJ629" s="1" t="s">
        <v>12071</v>
      </c>
      <c r="AK629" s="1" t="s">
        <v>12072</v>
      </c>
      <c r="AL629" s="1" t="s">
        <v>12073</v>
      </c>
      <c r="AM629" s="1" t="s">
        <v>82</v>
      </c>
      <c r="AN629" s="1">
        <v>23</v>
      </c>
      <c r="AO629" s="1">
        <v>0</v>
      </c>
      <c r="AP629" s="1">
        <v>0</v>
      </c>
      <c r="AQ629" s="1">
        <v>2</v>
      </c>
      <c r="AR629" s="1">
        <v>5</v>
      </c>
      <c r="AS629" s="1" t="s">
        <v>12074</v>
      </c>
      <c r="AT629" s="1" t="s">
        <v>12075</v>
      </c>
      <c r="AU629" s="1" t="s">
        <v>12076</v>
      </c>
      <c r="AV629" s="1" t="s">
        <v>12077</v>
      </c>
      <c r="AW629" s="1" t="s">
        <v>12078</v>
      </c>
      <c r="AX629" s="1" t="s">
        <v>82</v>
      </c>
      <c r="AY629" s="1" t="s">
        <v>12079</v>
      </c>
      <c r="AZ629" s="1" t="s">
        <v>12080</v>
      </c>
      <c r="BA629" s="1" t="s">
        <v>1403</v>
      </c>
      <c r="BB629" s="1">
        <v>2022</v>
      </c>
      <c r="BC629" s="1">
        <v>18</v>
      </c>
      <c r="BD629" s="1">
        <v>3</v>
      </c>
      <c r="BE629" s="1" t="s">
        <v>82</v>
      </c>
      <c r="BF629" s="1" t="s">
        <v>82</v>
      </c>
      <c r="BG629" s="1" t="s">
        <v>82</v>
      </c>
      <c r="BH629" s="1" t="s">
        <v>82</v>
      </c>
      <c r="BI629" s="1">
        <v>359</v>
      </c>
      <c r="BJ629" s="1">
        <v>369</v>
      </c>
      <c r="BK629" s="1" t="s">
        <v>82</v>
      </c>
      <c r="BL629" s="1" t="s">
        <v>12081</v>
      </c>
      <c r="BM629" s="1" t="str">
        <f>HYPERLINK("http://dx.doi.org/10.1007/s13273-021-00206-w","http://dx.doi.org/10.1007/s13273-021-00206-w")</f>
        <v>http://dx.doi.org/10.1007/s13273-021-00206-w</v>
      </c>
      <c r="BN629" s="1" t="s">
        <v>82</v>
      </c>
      <c r="BO629" s="1" t="s">
        <v>315</v>
      </c>
      <c r="BP629" s="1">
        <v>11</v>
      </c>
      <c r="BQ629" s="1" t="s">
        <v>12082</v>
      </c>
      <c r="BR629" s="1" t="s">
        <v>104</v>
      </c>
      <c r="BS629" s="1" t="s">
        <v>12082</v>
      </c>
      <c r="BT629" s="1" t="s">
        <v>12083</v>
      </c>
      <c r="BU629" s="1" t="s">
        <v>82</v>
      </c>
      <c r="BV629" s="1" t="s">
        <v>82</v>
      </c>
      <c r="BW629" s="1" t="s">
        <v>82</v>
      </c>
      <c r="BX629" s="1" t="s">
        <v>82</v>
      </c>
      <c r="BY629" s="1" t="s">
        <v>108</v>
      </c>
      <c r="BZ629" s="1" t="s">
        <v>12084</v>
      </c>
      <c r="CA629" s="1" t="str">
        <f>HYPERLINK("https%3A%2F%2Fwww.webofscience.com%2Fwos%2Fwoscc%2Ffull-record%2FWOS:000741933200001","View Full Record in Web of Science")</f>
        <v>View Full Record in Web of Science</v>
      </c>
    </row>
    <row r="630" s="1" customFormat="1" ht="14.4" spans="1:79">
      <c r="A630">
        <v>629</v>
      </c>
      <c r="B630" s="2" t="s">
        <v>79</v>
      </c>
      <c r="C630" s="1" t="s">
        <v>80</v>
      </c>
      <c r="D630" s="1" t="s">
        <v>12085</v>
      </c>
      <c r="E630" s="1" t="s">
        <v>82</v>
      </c>
      <c r="F630" s="1" t="s">
        <v>82</v>
      </c>
      <c r="G630" s="1" t="s">
        <v>82</v>
      </c>
      <c r="H630" s="1" t="s">
        <v>12086</v>
      </c>
      <c r="I630" s="1" t="s">
        <v>82</v>
      </c>
      <c r="J630" s="1" t="s">
        <v>82</v>
      </c>
      <c r="K630" s="1" t="s">
        <v>12087</v>
      </c>
      <c r="L630" s="1" t="s">
        <v>12088</v>
      </c>
      <c r="M630" s="1">
        <v>1.712</v>
      </c>
      <c r="O630" s="1" t="s">
        <v>82</v>
      </c>
      <c r="P630" s="1" t="s">
        <v>82</v>
      </c>
      <c r="Q630" s="1" t="s">
        <v>87</v>
      </c>
      <c r="R630" s="1" t="s">
        <v>115</v>
      </c>
      <c r="S630" s="1" t="s">
        <v>82</v>
      </c>
      <c r="T630" s="1" t="s">
        <v>82</v>
      </c>
      <c r="U630" s="1" t="s">
        <v>82</v>
      </c>
      <c r="V630" s="1" t="s">
        <v>82</v>
      </c>
      <c r="W630" s="1" t="s">
        <v>82</v>
      </c>
      <c r="X630" s="1" t="s">
        <v>12089</v>
      </c>
      <c r="Y630" s="1" t="s">
        <v>12090</v>
      </c>
      <c r="Z630" s="1" t="s">
        <v>12091</v>
      </c>
      <c r="AB630" s="1" t="s">
        <v>12092</v>
      </c>
      <c r="AC630" s="1" t="s">
        <v>12093</v>
      </c>
      <c r="AD630" s="1" t="s">
        <v>120</v>
      </c>
      <c r="AE630" s="1" t="s">
        <v>12094</v>
      </c>
      <c r="AF630" s="1" t="s">
        <v>12095</v>
      </c>
      <c r="AG630" s="1" t="s">
        <v>12096</v>
      </c>
      <c r="AH630" s="1" t="s">
        <v>12097</v>
      </c>
      <c r="AI630" s="1" t="s">
        <v>12098</v>
      </c>
      <c r="AJ630" s="1" t="s">
        <v>12099</v>
      </c>
      <c r="AK630" s="1" t="s">
        <v>12100</v>
      </c>
      <c r="AL630" s="1" t="s">
        <v>12101</v>
      </c>
      <c r="AM630" s="1" t="s">
        <v>82</v>
      </c>
      <c r="AN630" s="1">
        <v>23</v>
      </c>
      <c r="AO630" s="1">
        <v>1</v>
      </c>
      <c r="AP630" s="1">
        <v>1</v>
      </c>
      <c r="AQ630" s="1">
        <v>0</v>
      </c>
      <c r="AR630" s="1">
        <v>0</v>
      </c>
      <c r="AS630" s="1" t="s">
        <v>12102</v>
      </c>
      <c r="AT630" s="1" t="s">
        <v>12103</v>
      </c>
      <c r="AU630" s="1" t="s">
        <v>12104</v>
      </c>
      <c r="AV630" s="1" t="s">
        <v>82</v>
      </c>
      <c r="AW630" s="1" t="s">
        <v>12105</v>
      </c>
      <c r="AX630" s="1" t="s">
        <v>82</v>
      </c>
      <c r="AY630" s="1" t="s">
        <v>12106</v>
      </c>
      <c r="AZ630" s="1" t="s">
        <v>12107</v>
      </c>
      <c r="BA630" s="1" t="s">
        <v>82</v>
      </c>
      <c r="BB630" s="1">
        <v>2022</v>
      </c>
      <c r="BC630" s="1">
        <v>68</v>
      </c>
      <c r="BD630" s="1">
        <v>5</v>
      </c>
      <c r="BE630" s="1" t="s">
        <v>82</v>
      </c>
      <c r="BF630" s="1" t="s">
        <v>82</v>
      </c>
      <c r="BG630" s="1" t="s">
        <v>82</v>
      </c>
      <c r="BH630" s="1" t="s">
        <v>82</v>
      </c>
      <c r="BI630" s="1">
        <v>559</v>
      </c>
      <c r="BJ630" s="1">
        <v>567</v>
      </c>
      <c r="BK630" s="1" t="s">
        <v>82</v>
      </c>
      <c r="BL630" s="1" t="s">
        <v>12108</v>
      </c>
      <c r="BM630" s="1" t="str">
        <f>HYPERLINK("http://dx.doi.org/10.1590/1806-9282.20210896","http://dx.doi.org/10.1590/1806-9282.20210896")</f>
        <v>http://dx.doi.org/10.1590/1806-9282.20210896</v>
      </c>
      <c r="BN630" s="1" t="s">
        <v>82</v>
      </c>
      <c r="BO630" s="1" t="s">
        <v>82</v>
      </c>
      <c r="BP630" s="1">
        <v>9</v>
      </c>
      <c r="BQ630" s="1" t="s">
        <v>6394</v>
      </c>
      <c r="BR630" s="1" t="s">
        <v>104</v>
      </c>
      <c r="BS630" s="1" t="s">
        <v>6395</v>
      </c>
      <c r="BT630" s="1" t="s">
        <v>12109</v>
      </c>
      <c r="BU630" s="1">
        <v>35584475</v>
      </c>
      <c r="BV630" s="1" t="s">
        <v>808</v>
      </c>
      <c r="BW630" s="1" t="s">
        <v>82</v>
      </c>
      <c r="BX630" s="1" t="s">
        <v>82</v>
      </c>
      <c r="BY630" s="1" t="s">
        <v>108</v>
      </c>
      <c r="BZ630" s="1" t="s">
        <v>12110</v>
      </c>
      <c r="CA630" s="1" t="str">
        <f>HYPERLINK("https%3A%2F%2Fwww.webofscience.com%2Fwos%2Fwoscc%2Ffull-record%2FWOS:000800366600005","View Full Record in Web of Science")</f>
        <v>View Full Record in Web of Science</v>
      </c>
    </row>
    <row r="631" s="1" customFormat="1" ht="14.4" spans="1:79">
      <c r="A631">
        <v>630</v>
      </c>
      <c r="B631" s="2" t="s">
        <v>79</v>
      </c>
      <c r="C631" s="1" t="s">
        <v>80</v>
      </c>
      <c r="D631" s="1" t="s">
        <v>12111</v>
      </c>
      <c r="E631" s="1" t="s">
        <v>82</v>
      </c>
      <c r="F631" s="1" t="s">
        <v>82</v>
      </c>
      <c r="G631" s="1" t="s">
        <v>82</v>
      </c>
      <c r="H631" s="1" t="s">
        <v>12112</v>
      </c>
      <c r="I631" s="1" t="s">
        <v>82</v>
      </c>
      <c r="J631" s="1" t="s">
        <v>82</v>
      </c>
      <c r="K631" s="1" t="s">
        <v>12113</v>
      </c>
      <c r="L631" s="1" t="s">
        <v>12088</v>
      </c>
      <c r="M631" s="1">
        <v>1.712</v>
      </c>
      <c r="O631" s="1" t="s">
        <v>82</v>
      </c>
      <c r="P631" s="1" t="s">
        <v>82</v>
      </c>
      <c r="Q631" s="1" t="s">
        <v>87</v>
      </c>
      <c r="R631" s="1" t="s">
        <v>115</v>
      </c>
      <c r="S631" s="1" t="s">
        <v>82</v>
      </c>
      <c r="T631" s="1" t="s">
        <v>82</v>
      </c>
      <c r="U631" s="1" t="s">
        <v>82</v>
      </c>
      <c r="V631" s="1" t="s">
        <v>82</v>
      </c>
      <c r="W631" s="1" t="s">
        <v>82</v>
      </c>
      <c r="X631" s="1" t="s">
        <v>12114</v>
      </c>
      <c r="Y631" s="1" t="s">
        <v>82</v>
      </c>
      <c r="Z631" s="1" t="s">
        <v>12115</v>
      </c>
      <c r="AB631" s="1" t="s">
        <v>12116</v>
      </c>
      <c r="AC631" s="1" t="s">
        <v>12117</v>
      </c>
      <c r="AD631" s="1" t="s">
        <v>120</v>
      </c>
      <c r="AE631" s="1" t="s">
        <v>12118</v>
      </c>
      <c r="AF631" s="1" t="s">
        <v>12119</v>
      </c>
      <c r="AG631" s="1" t="s">
        <v>12120</v>
      </c>
      <c r="AH631" s="1" t="s">
        <v>12097</v>
      </c>
      <c r="AI631" s="1" t="s">
        <v>12121</v>
      </c>
      <c r="AJ631" s="1" t="s">
        <v>82</v>
      </c>
      <c r="AK631" s="1" t="s">
        <v>82</v>
      </c>
      <c r="AL631" s="1" t="s">
        <v>82</v>
      </c>
      <c r="AM631" s="1" t="s">
        <v>82</v>
      </c>
      <c r="AN631" s="1">
        <v>19</v>
      </c>
      <c r="AO631" s="1">
        <v>0</v>
      </c>
      <c r="AP631" s="1">
        <v>0</v>
      </c>
      <c r="AQ631" s="1">
        <v>0</v>
      </c>
      <c r="AR631" s="1">
        <v>1</v>
      </c>
      <c r="AS631" s="1" t="s">
        <v>12102</v>
      </c>
      <c r="AT631" s="1" t="s">
        <v>12103</v>
      </c>
      <c r="AU631" s="1" t="s">
        <v>12104</v>
      </c>
      <c r="AV631" s="1" t="s">
        <v>12122</v>
      </c>
      <c r="AW631" s="1" t="s">
        <v>12105</v>
      </c>
      <c r="AX631" s="1" t="s">
        <v>82</v>
      </c>
      <c r="AY631" s="1" t="s">
        <v>12106</v>
      </c>
      <c r="AZ631" s="1" t="s">
        <v>12107</v>
      </c>
      <c r="BA631" s="1" t="s">
        <v>82</v>
      </c>
      <c r="BB631" s="1">
        <v>2022</v>
      </c>
      <c r="BC631" s="1">
        <v>68</v>
      </c>
      <c r="BD631" s="1">
        <v>3</v>
      </c>
      <c r="BE631" s="1" t="s">
        <v>82</v>
      </c>
      <c r="BF631" s="1" t="s">
        <v>82</v>
      </c>
      <c r="BG631" s="1" t="s">
        <v>82</v>
      </c>
      <c r="BH631" s="1" t="s">
        <v>82</v>
      </c>
      <c r="BI631" s="1">
        <v>344</v>
      </c>
      <c r="BJ631" s="1">
        <v>350</v>
      </c>
      <c r="BK631" s="1" t="s">
        <v>82</v>
      </c>
      <c r="BL631" s="1" t="s">
        <v>12123</v>
      </c>
      <c r="BM631" s="1" t="str">
        <f>HYPERLINK("http://dx.doi.org/10.1590/1806-9282.20210769","http://dx.doi.org/10.1590/1806-9282.20210769")</f>
        <v>http://dx.doi.org/10.1590/1806-9282.20210769</v>
      </c>
      <c r="BN631" s="1" t="s">
        <v>82</v>
      </c>
      <c r="BO631" s="1" t="s">
        <v>82</v>
      </c>
      <c r="BP631" s="1">
        <v>7</v>
      </c>
      <c r="BQ631" s="1" t="s">
        <v>6394</v>
      </c>
      <c r="BR631" s="1" t="s">
        <v>104</v>
      </c>
      <c r="BS631" s="1" t="s">
        <v>6395</v>
      </c>
      <c r="BT631" s="1" t="s">
        <v>12124</v>
      </c>
      <c r="BU631" s="1">
        <v>35442361</v>
      </c>
      <c r="BV631" s="1" t="s">
        <v>808</v>
      </c>
      <c r="BW631" s="1" t="s">
        <v>82</v>
      </c>
      <c r="BX631" s="1" t="s">
        <v>82</v>
      </c>
      <c r="BY631" s="1" t="s">
        <v>108</v>
      </c>
      <c r="BZ631" s="1" t="s">
        <v>12125</v>
      </c>
      <c r="CA631" s="1" t="str">
        <f>HYPERLINK("https%3A%2F%2Fwww.webofscience.com%2Fwos%2Fwoscc%2Ffull-record%2FWOS:000792944900013","View Full Record in Web of Science")</f>
        <v>View Full Record in Web of Science</v>
      </c>
    </row>
    <row r="632" s="1" customFormat="1" ht="14.4" spans="1:79">
      <c r="A632">
        <v>631</v>
      </c>
      <c r="B632" s="2" t="s">
        <v>110</v>
      </c>
      <c r="C632" s="1" t="s">
        <v>80</v>
      </c>
      <c r="D632" s="1" t="s">
        <v>12126</v>
      </c>
      <c r="E632" s="1" t="s">
        <v>82</v>
      </c>
      <c r="F632" s="1" t="s">
        <v>82</v>
      </c>
      <c r="G632" s="1" t="s">
        <v>82</v>
      </c>
      <c r="H632" s="1" t="s">
        <v>12127</v>
      </c>
      <c r="I632" s="1" t="s">
        <v>82</v>
      </c>
      <c r="J632" s="1" t="s">
        <v>82</v>
      </c>
      <c r="K632" s="1" t="s">
        <v>12128</v>
      </c>
      <c r="L632" s="1" t="s">
        <v>12129</v>
      </c>
      <c r="M632" s="1">
        <v>1.61</v>
      </c>
      <c r="O632" s="1" t="s">
        <v>82</v>
      </c>
      <c r="P632" s="1" t="s">
        <v>82</v>
      </c>
      <c r="Q632" s="1" t="s">
        <v>87</v>
      </c>
      <c r="R632" s="1" t="s">
        <v>1624</v>
      </c>
      <c r="S632" s="1" t="s">
        <v>82</v>
      </c>
      <c r="T632" s="1" t="s">
        <v>82</v>
      </c>
      <c r="U632" s="1" t="s">
        <v>82</v>
      </c>
      <c r="V632" s="1" t="s">
        <v>82</v>
      </c>
      <c r="W632" s="1" t="s">
        <v>82</v>
      </c>
      <c r="X632" s="1" t="s">
        <v>12130</v>
      </c>
      <c r="Y632" s="1" t="s">
        <v>12131</v>
      </c>
      <c r="Z632" s="1" t="s">
        <v>12132</v>
      </c>
      <c r="AB632" s="1" t="s">
        <v>12133</v>
      </c>
      <c r="AC632" s="1" t="s">
        <v>12134</v>
      </c>
      <c r="AD632" s="1" t="s">
        <v>120</v>
      </c>
      <c r="AE632" s="1" t="s">
        <v>9612</v>
      </c>
      <c r="AF632" s="1" t="s">
        <v>9613</v>
      </c>
      <c r="AG632" s="1" t="s">
        <v>9614</v>
      </c>
      <c r="AH632" s="1" t="s">
        <v>7974</v>
      </c>
      <c r="AI632" s="1" t="s">
        <v>9615</v>
      </c>
      <c r="AJ632" s="1" t="s">
        <v>12135</v>
      </c>
      <c r="AK632" s="1" t="s">
        <v>7538</v>
      </c>
      <c r="AL632" s="1" t="s">
        <v>12136</v>
      </c>
      <c r="AM632" s="1" t="s">
        <v>82</v>
      </c>
      <c r="AN632" s="1">
        <v>23</v>
      </c>
      <c r="AO632" s="1">
        <v>0</v>
      </c>
      <c r="AP632" s="1">
        <v>0</v>
      </c>
      <c r="AQ632" s="1">
        <v>0</v>
      </c>
      <c r="AR632" s="1">
        <v>2</v>
      </c>
      <c r="AS632" s="1" t="s">
        <v>8333</v>
      </c>
      <c r="AT632" s="1" t="s">
        <v>8334</v>
      </c>
      <c r="AU632" s="1" t="s">
        <v>8335</v>
      </c>
      <c r="AV632" s="1" t="s">
        <v>12137</v>
      </c>
      <c r="AW632" s="1" t="s">
        <v>12138</v>
      </c>
      <c r="AX632" s="1" t="s">
        <v>82</v>
      </c>
      <c r="AY632" s="1" t="s">
        <v>12139</v>
      </c>
      <c r="AZ632" s="1" t="s">
        <v>12140</v>
      </c>
      <c r="BA632" s="1" t="s">
        <v>82</v>
      </c>
      <c r="BB632" s="1" t="s">
        <v>82</v>
      </c>
      <c r="BC632" s="1" t="s">
        <v>82</v>
      </c>
      <c r="BD632" s="1" t="s">
        <v>82</v>
      </c>
      <c r="BE632" s="1" t="s">
        <v>82</v>
      </c>
      <c r="BF632" s="1" t="s">
        <v>82</v>
      </c>
      <c r="BG632" s="1" t="s">
        <v>82</v>
      </c>
      <c r="BH632" s="1" t="s">
        <v>82</v>
      </c>
      <c r="BI632" s="1" t="s">
        <v>82</v>
      </c>
      <c r="BJ632" s="1" t="s">
        <v>82</v>
      </c>
      <c r="BK632" s="1" t="s">
        <v>82</v>
      </c>
      <c r="BL632" s="1" t="s">
        <v>12141</v>
      </c>
      <c r="BM632" s="1" t="str">
        <f>HYPERLINK("http://dx.doi.org/10.1080/10286020.2022.2077200","http://dx.doi.org/10.1080/10286020.2022.2077200")</f>
        <v>http://dx.doi.org/10.1080/10286020.2022.2077200</v>
      </c>
      <c r="BN632" s="1" t="s">
        <v>82</v>
      </c>
      <c r="BO632" s="1" t="s">
        <v>247</v>
      </c>
      <c r="BP632" s="1">
        <v>8</v>
      </c>
      <c r="BQ632" s="1" t="s">
        <v>12142</v>
      </c>
      <c r="BR632" s="1" t="s">
        <v>104</v>
      </c>
      <c r="BS632" s="1" t="s">
        <v>11765</v>
      </c>
      <c r="BT632" s="1" t="s">
        <v>12143</v>
      </c>
      <c r="BU632" s="1">
        <v>35675145</v>
      </c>
      <c r="BV632" s="1" t="s">
        <v>82</v>
      </c>
      <c r="BW632" s="1" t="s">
        <v>82</v>
      </c>
      <c r="BX632" s="1" t="s">
        <v>82</v>
      </c>
      <c r="BY632" s="1" t="s">
        <v>108</v>
      </c>
      <c r="BZ632" s="1" t="s">
        <v>12144</v>
      </c>
      <c r="CA632" s="1" t="str">
        <f>HYPERLINK("https%3A%2F%2Fwww.webofscience.com%2Fwos%2Fwoscc%2Ffull-record%2FWOS:000809836500001","View Full Record in Web of Science")</f>
        <v>View Full Record in Web of Science</v>
      </c>
    </row>
    <row r="633" s="1" customFormat="1" ht="14.4" spans="1:79">
      <c r="A633">
        <v>632</v>
      </c>
      <c r="B633" s="2" t="s">
        <v>110</v>
      </c>
      <c r="C633" s="1" t="s">
        <v>80</v>
      </c>
      <c r="D633" s="1" t="s">
        <v>12145</v>
      </c>
      <c r="E633" s="1" t="s">
        <v>82</v>
      </c>
      <c r="F633" s="1" t="s">
        <v>82</v>
      </c>
      <c r="G633" s="1" t="s">
        <v>82</v>
      </c>
      <c r="H633" s="1" t="s">
        <v>12146</v>
      </c>
      <c r="I633" s="1" t="s">
        <v>82</v>
      </c>
      <c r="J633" s="1" t="s">
        <v>82</v>
      </c>
      <c r="K633" s="1" t="s">
        <v>12147</v>
      </c>
      <c r="L633" s="1" t="s">
        <v>12129</v>
      </c>
      <c r="M633" s="1">
        <v>1.61</v>
      </c>
      <c r="O633" s="1" t="s">
        <v>82</v>
      </c>
      <c r="P633" s="1" t="s">
        <v>82</v>
      </c>
      <c r="Q633" s="1" t="s">
        <v>87</v>
      </c>
      <c r="R633" s="1" t="s">
        <v>115</v>
      </c>
      <c r="S633" s="1" t="s">
        <v>82</v>
      </c>
      <c r="T633" s="1" t="s">
        <v>82</v>
      </c>
      <c r="U633" s="1" t="s">
        <v>82</v>
      </c>
      <c r="V633" s="1" t="s">
        <v>82</v>
      </c>
      <c r="W633" s="1" t="s">
        <v>82</v>
      </c>
      <c r="X633" s="1" t="s">
        <v>12148</v>
      </c>
      <c r="Y633" s="1" t="s">
        <v>12149</v>
      </c>
      <c r="Z633" s="1" t="s">
        <v>12150</v>
      </c>
      <c r="AB633" s="1" t="s">
        <v>9610</v>
      </c>
      <c r="AC633" s="1" t="s">
        <v>12151</v>
      </c>
      <c r="AD633" s="1" t="s">
        <v>206</v>
      </c>
      <c r="AE633" s="1" t="s">
        <v>12152</v>
      </c>
      <c r="AF633" s="1" t="s">
        <v>12153</v>
      </c>
      <c r="AG633" s="1" t="s">
        <v>12154</v>
      </c>
      <c r="AH633" s="1" t="s">
        <v>7974</v>
      </c>
      <c r="AI633" s="1" t="s">
        <v>12155</v>
      </c>
      <c r="AJ633" s="1" t="s">
        <v>9616</v>
      </c>
      <c r="AK633" s="1" t="s">
        <v>7538</v>
      </c>
      <c r="AL633" s="1" t="s">
        <v>9617</v>
      </c>
      <c r="AM633" s="1" t="s">
        <v>82</v>
      </c>
      <c r="AN633" s="1">
        <v>22</v>
      </c>
      <c r="AO633" s="1">
        <v>2</v>
      </c>
      <c r="AP633" s="1">
        <v>2</v>
      </c>
      <c r="AQ633" s="1">
        <v>9</v>
      </c>
      <c r="AR633" s="1">
        <v>15</v>
      </c>
      <c r="AS633" s="1" t="s">
        <v>8333</v>
      </c>
      <c r="AT633" s="1" t="s">
        <v>8334</v>
      </c>
      <c r="AU633" s="1" t="s">
        <v>8335</v>
      </c>
      <c r="AV633" s="1" t="s">
        <v>12137</v>
      </c>
      <c r="AW633" s="1" t="s">
        <v>12138</v>
      </c>
      <c r="AX633" s="1" t="s">
        <v>82</v>
      </c>
      <c r="AY633" s="1" t="s">
        <v>12139</v>
      </c>
      <c r="AZ633" s="1" t="s">
        <v>12140</v>
      </c>
      <c r="BA633" s="1" t="s">
        <v>12156</v>
      </c>
      <c r="BB633" s="1">
        <v>2022</v>
      </c>
      <c r="BC633" s="1">
        <v>24</v>
      </c>
      <c r="BD633" s="1">
        <v>12</v>
      </c>
      <c r="BE633" s="1" t="s">
        <v>82</v>
      </c>
      <c r="BF633" s="1" t="s">
        <v>82</v>
      </c>
      <c r="BG633" s="1" t="s">
        <v>82</v>
      </c>
      <c r="BH633" s="1" t="s">
        <v>82</v>
      </c>
      <c r="BI633" s="1">
        <v>1141</v>
      </c>
      <c r="BJ633" s="1">
        <v>1149</v>
      </c>
      <c r="BK633" s="1" t="s">
        <v>82</v>
      </c>
      <c r="BL633" s="1" t="s">
        <v>12157</v>
      </c>
      <c r="BM633" s="1" t="str">
        <f>HYPERLINK("http://dx.doi.org/10.1080/10286020.2021.2020759","http://dx.doi.org/10.1080/10286020.2021.2020759")</f>
        <v>http://dx.doi.org/10.1080/10286020.2021.2020759</v>
      </c>
      <c r="BN633" s="1" t="s">
        <v>82</v>
      </c>
      <c r="BO633" s="1" t="s">
        <v>1462</v>
      </c>
      <c r="BP633" s="1">
        <v>9</v>
      </c>
      <c r="BQ633" s="1" t="s">
        <v>12142</v>
      </c>
      <c r="BR633" s="1" t="s">
        <v>745</v>
      </c>
      <c r="BS633" s="1" t="s">
        <v>11765</v>
      </c>
      <c r="BT633" s="1" t="s">
        <v>12158</v>
      </c>
      <c r="BU633" s="1">
        <v>34984943</v>
      </c>
      <c r="BV633" s="1" t="s">
        <v>82</v>
      </c>
      <c r="BW633" s="1" t="s">
        <v>82</v>
      </c>
      <c r="BX633" s="1" t="s">
        <v>82</v>
      </c>
      <c r="BY633" s="1" t="s">
        <v>108</v>
      </c>
      <c r="BZ633" s="1" t="s">
        <v>12159</v>
      </c>
      <c r="CA633" s="1" t="str">
        <f>HYPERLINK("https%3A%2F%2Fwww.webofscience.com%2Fwos%2Fwoscc%2Ffull-record%2FWOS:000739165200001","View Full Record in Web of Science")</f>
        <v>View Full Record in Web of Science</v>
      </c>
    </row>
    <row r="634" s="1" customFormat="1" ht="14.4" spans="1:79">
      <c r="A634">
        <v>633</v>
      </c>
      <c r="B634" s="2" t="s">
        <v>79</v>
      </c>
      <c r="C634" s="1" t="s">
        <v>80</v>
      </c>
      <c r="D634" s="1" t="s">
        <v>12160</v>
      </c>
      <c r="E634" s="1" t="s">
        <v>82</v>
      </c>
      <c r="F634" s="1" t="s">
        <v>82</v>
      </c>
      <c r="G634" s="1" t="s">
        <v>82</v>
      </c>
      <c r="H634" s="1" t="s">
        <v>12161</v>
      </c>
      <c r="I634" s="1" t="s">
        <v>82</v>
      </c>
      <c r="J634" s="1" t="s">
        <v>82</v>
      </c>
      <c r="K634" s="1" t="s">
        <v>12162</v>
      </c>
      <c r="L634" s="1" t="s">
        <v>12163</v>
      </c>
      <c r="M634" s="1">
        <v>1.585</v>
      </c>
      <c r="O634" s="1" t="s">
        <v>82</v>
      </c>
      <c r="P634" s="1" t="s">
        <v>82</v>
      </c>
      <c r="Q634" s="1" t="s">
        <v>87</v>
      </c>
      <c r="R634" s="1" t="s">
        <v>88</v>
      </c>
      <c r="S634" s="1" t="s">
        <v>82</v>
      </c>
      <c r="T634" s="1" t="s">
        <v>82</v>
      </c>
      <c r="U634" s="1" t="s">
        <v>82</v>
      </c>
      <c r="V634" s="1" t="s">
        <v>82</v>
      </c>
      <c r="W634" s="1" t="s">
        <v>82</v>
      </c>
      <c r="X634" s="1" t="s">
        <v>82</v>
      </c>
      <c r="Y634" s="1" t="s">
        <v>82</v>
      </c>
      <c r="Z634" s="1" t="s">
        <v>82</v>
      </c>
      <c r="AB634" s="1" t="s">
        <v>12164</v>
      </c>
      <c r="AC634" s="1" t="s">
        <v>12165</v>
      </c>
      <c r="AD634" s="1" t="s">
        <v>120</v>
      </c>
      <c r="AE634" s="1" t="s">
        <v>12166</v>
      </c>
      <c r="AF634" s="1" t="s">
        <v>12167</v>
      </c>
      <c r="AG634" s="1" t="s">
        <v>12168</v>
      </c>
      <c r="AH634" s="1" t="s">
        <v>82</v>
      </c>
      <c r="AI634" s="1" t="s">
        <v>82</v>
      </c>
      <c r="AJ634" s="1" t="s">
        <v>82</v>
      </c>
      <c r="AK634" s="1" t="s">
        <v>82</v>
      </c>
      <c r="AL634" s="1" t="s">
        <v>82</v>
      </c>
      <c r="AM634" s="1" t="s">
        <v>82</v>
      </c>
      <c r="AN634" s="1">
        <v>10</v>
      </c>
      <c r="AO634" s="1">
        <v>0</v>
      </c>
      <c r="AP634" s="1">
        <v>0</v>
      </c>
      <c r="AQ634" s="1">
        <v>1</v>
      </c>
      <c r="AR634" s="1">
        <v>1</v>
      </c>
      <c r="AS634" s="1" t="s">
        <v>10322</v>
      </c>
      <c r="AT634" s="1" t="s">
        <v>416</v>
      </c>
      <c r="AU634" s="1" t="s">
        <v>12169</v>
      </c>
      <c r="AV634" s="1" t="s">
        <v>12170</v>
      </c>
      <c r="AW634" s="1" t="s">
        <v>12171</v>
      </c>
      <c r="AX634" s="1" t="s">
        <v>82</v>
      </c>
      <c r="AY634" s="1" t="s">
        <v>12172</v>
      </c>
      <c r="AZ634" s="1" t="s">
        <v>12173</v>
      </c>
      <c r="BA634" s="1" t="s">
        <v>222</v>
      </c>
      <c r="BB634" s="1">
        <v>2022</v>
      </c>
      <c r="BC634" s="1">
        <v>32</v>
      </c>
      <c r="BD634" s="1">
        <v>3</v>
      </c>
      <c r="BE634" s="1" t="s">
        <v>82</v>
      </c>
      <c r="BF634" s="1" t="s">
        <v>82</v>
      </c>
      <c r="BG634" s="1" t="s">
        <v>170</v>
      </c>
      <c r="BH634" s="1" t="s">
        <v>82</v>
      </c>
      <c r="BI634" s="1">
        <v>115</v>
      </c>
      <c r="BJ634" s="1">
        <v>117</v>
      </c>
      <c r="BK634" s="1" t="s">
        <v>12174</v>
      </c>
      <c r="BL634" s="1" t="s">
        <v>12175</v>
      </c>
      <c r="BM634" s="1" t="str">
        <f>HYPERLINK("http://dx.doi.org/10.1017/S0960258522000241","http://dx.doi.org/10.1017/S0960258522000241")</f>
        <v>http://dx.doi.org/10.1017/S0960258522000241</v>
      </c>
      <c r="BN634" s="1" t="s">
        <v>82</v>
      </c>
      <c r="BO634" s="1" t="s">
        <v>82</v>
      </c>
      <c r="BP634" s="1">
        <v>3</v>
      </c>
      <c r="BQ634" s="1" t="s">
        <v>378</v>
      </c>
      <c r="BR634" s="1" t="s">
        <v>104</v>
      </c>
      <c r="BS634" s="1" t="s">
        <v>378</v>
      </c>
      <c r="BT634" s="1" t="s">
        <v>12176</v>
      </c>
      <c r="BU634" s="1" t="s">
        <v>82</v>
      </c>
      <c r="BV634" s="1" t="s">
        <v>107</v>
      </c>
      <c r="BW634" s="1" t="s">
        <v>82</v>
      </c>
      <c r="BX634" s="1" t="s">
        <v>82</v>
      </c>
      <c r="BY634" s="1" t="s">
        <v>108</v>
      </c>
      <c r="BZ634" s="1" t="s">
        <v>12177</v>
      </c>
      <c r="CA634" s="1" t="str">
        <f>HYPERLINK("https%3A%2F%2Fwww.webofscience.com%2Fwos%2Fwoscc%2Ffull-record%2FWOS:000888622300001","View Full Record in Web of Science")</f>
        <v>View Full Record in Web of Science</v>
      </c>
    </row>
    <row r="635" s="1" customFormat="1" ht="14.4" spans="1:79">
      <c r="A635">
        <v>634</v>
      </c>
      <c r="B635" s="2" t="s">
        <v>79</v>
      </c>
      <c r="C635" s="1" t="s">
        <v>80</v>
      </c>
      <c r="D635" s="1" t="s">
        <v>12178</v>
      </c>
      <c r="E635" s="1" t="s">
        <v>82</v>
      </c>
      <c r="F635" s="1" t="s">
        <v>82</v>
      </c>
      <c r="G635" s="1" t="s">
        <v>82</v>
      </c>
      <c r="H635" s="1" t="s">
        <v>12179</v>
      </c>
      <c r="I635" s="1" t="s">
        <v>82</v>
      </c>
      <c r="J635" s="1" t="s">
        <v>82</v>
      </c>
      <c r="K635" s="1" t="s">
        <v>12180</v>
      </c>
      <c r="L635" s="1" t="s">
        <v>12163</v>
      </c>
      <c r="M635" s="1">
        <v>1.585</v>
      </c>
      <c r="O635" s="1" t="s">
        <v>82</v>
      </c>
      <c r="P635" s="1" t="s">
        <v>82</v>
      </c>
      <c r="Q635" s="1" t="s">
        <v>87</v>
      </c>
      <c r="R635" s="1" t="s">
        <v>115</v>
      </c>
      <c r="S635" s="1" t="s">
        <v>82</v>
      </c>
      <c r="T635" s="1" t="s">
        <v>82</v>
      </c>
      <c r="U635" s="1" t="s">
        <v>82</v>
      </c>
      <c r="V635" s="1" t="s">
        <v>82</v>
      </c>
      <c r="W635" s="1" t="s">
        <v>82</v>
      </c>
      <c r="X635" s="1" t="s">
        <v>12181</v>
      </c>
      <c r="Y635" s="1" t="s">
        <v>12182</v>
      </c>
      <c r="Z635" s="1" t="s">
        <v>12183</v>
      </c>
      <c r="AB635" s="1" t="s">
        <v>12184</v>
      </c>
      <c r="AC635" s="1" t="s">
        <v>12185</v>
      </c>
      <c r="AD635" s="1" t="s">
        <v>206</v>
      </c>
      <c r="AE635" s="1" t="s">
        <v>12186</v>
      </c>
      <c r="AF635" s="1" t="s">
        <v>12187</v>
      </c>
      <c r="AG635" s="1" t="s">
        <v>12188</v>
      </c>
      <c r="AH635" s="1" t="s">
        <v>82</v>
      </c>
      <c r="AI635" s="1" t="s">
        <v>82</v>
      </c>
      <c r="AJ635" s="1" t="s">
        <v>12189</v>
      </c>
      <c r="AK635" s="1" t="s">
        <v>12189</v>
      </c>
      <c r="AL635" s="1" t="s">
        <v>12190</v>
      </c>
      <c r="AM635" s="1" t="s">
        <v>82</v>
      </c>
      <c r="AN635" s="1">
        <v>62</v>
      </c>
      <c r="AO635" s="1">
        <v>0</v>
      </c>
      <c r="AP635" s="1">
        <v>0</v>
      </c>
      <c r="AQ635" s="1">
        <v>2</v>
      </c>
      <c r="AR635" s="1">
        <v>2</v>
      </c>
      <c r="AS635" s="1" t="s">
        <v>10322</v>
      </c>
      <c r="AT635" s="1" t="s">
        <v>416</v>
      </c>
      <c r="AU635" s="1" t="s">
        <v>12169</v>
      </c>
      <c r="AV635" s="1" t="s">
        <v>12170</v>
      </c>
      <c r="AW635" s="1" t="s">
        <v>12171</v>
      </c>
      <c r="AX635" s="1" t="s">
        <v>82</v>
      </c>
      <c r="AY635" s="1" t="s">
        <v>12172</v>
      </c>
      <c r="AZ635" s="1" t="s">
        <v>12173</v>
      </c>
      <c r="BA635" s="1" t="s">
        <v>222</v>
      </c>
      <c r="BB635" s="1">
        <v>2022</v>
      </c>
      <c r="BC635" s="1">
        <v>32</v>
      </c>
      <c r="BD635" s="1">
        <v>3</v>
      </c>
      <c r="BE635" s="1" t="s">
        <v>82</v>
      </c>
      <c r="BF635" s="1" t="s">
        <v>82</v>
      </c>
      <c r="BG635" s="1" t="s">
        <v>170</v>
      </c>
      <c r="BH635" s="1" t="s">
        <v>82</v>
      </c>
      <c r="BI635" s="1">
        <v>175</v>
      </c>
      <c r="BJ635" s="1">
        <v>186</v>
      </c>
      <c r="BK635" s="1" t="s">
        <v>12191</v>
      </c>
      <c r="BL635" s="1" t="s">
        <v>12192</v>
      </c>
      <c r="BM635" s="1" t="str">
        <f>HYPERLINK("http://dx.doi.org/10.1017/S0960258522000198","http://dx.doi.org/10.1017/S0960258522000198")</f>
        <v>http://dx.doi.org/10.1017/S0960258522000198</v>
      </c>
      <c r="BN635" s="1" t="s">
        <v>82</v>
      </c>
      <c r="BO635" s="1" t="s">
        <v>82</v>
      </c>
      <c r="BP635" s="1">
        <v>12</v>
      </c>
      <c r="BQ635" s="1" t="s">
        <v>378</v>
      </c>
      <c r="BR635" s="1" t="s">
        <v>104</v>
      </c>
      <c r="BS635" s="1" t="s">
        <v>378</v>
      </c>
      <c r="BT635" s="1" t="s">
        <v>12176</v>
      </c>
      <c r="BU635" s="1" t="s">
        <v>82</v>
      </c>
      <c r="BV635" s="1" t="s">
        <v>268</v>
      </c>
      <c r="BW635" s="1" t="s">
        <v>82</v>
      </c>
      <c r="BX635" s="1" t="s">
        <v>82</v>
      </c>
      <c r="BY635" s="1" t="s">
        <v>108</v>
      </c>
      <c r="BZ635" s="1" t="s">
        <v>12193</v>
      </c>
      <c r="CA635" s="1" t="str">
        <f>HYPERLINK("https%3A%2F%2Fwww.webofscience.com%2Fwos%2Fwoscc%2Ffull-record%2FWOS:000888622300009","View Full Record in Web of Science")</f>
        <v>View Full Record in Web of Science</v>
      </c>
    </row>
    <row r="636" s="1" customFormat="1" ht="14.4" spans="1:79">
      <c r="A636">
        <v>635</v>
      </c>
      <c r="B636" s="2" t="s">
        <v>79</v>
      </c>
      <c r="C636" s="1" t="s">
        <v>80</v>
      </c>
      <c r="D636" s="1" t="s">
        <v>12194</v>
      </c>
      <c r="E636" s="1" t="s">
        <v>82</v>
      </c>
      <c r="F636" s="1" t="s">
        <v>82</v>
      </c>
      <c r="G636" s="1" t="s">
        <v>82</v>
      </c>
      <c r="H636" s="1" t="s">
        <v>12195</v>
      </c>
      <c r="I636" s="1" t="s">
        <v>82</v>
      </c>
      <c r="J636" s="1" t="s">
        <v>82</v>
      </c>
      <c r="K636" s="1" t="s">
        <v>12196</v>
      </c>
      <c r="L636" s="1" t="s">
        <v>12163</v>
      </c>
      <c r="M636" s="1">
        <v>1.585</v>
      </c>
      <c r="O636" s="1" t="s">
        <v>82</v>
      </c>
      <c r="P636" s="1" t="s">
        <v>82</v>
      </c>
      <c r="Q636" s="1" t="s">
        <v>87</v>
      </c>
      <c r="R636" s="1" t="s">
        <v>115</v>
      </c>
      <c r="S636" s="1" t="s">
        <v>82</v>
      </c>
      <c r="T636" s="1" t="s">
        <v>82</v>
      </c>
      <c r="U636" s="1" t="s">
        <v>82</v>
      </c>
      <c r="V636" s="1" t="s">
        <v>82</v>
      </c>
      <c r="W636" s="1" t="s">
        <v>82</v>
      </c>
      <c r="X636" s="1" t="s">
        <v>12197</v>
      </c>
      <c r="Y636" s="1" t="s">
        <v>12198</v>
      </c>
      <c r="Z636" s="1" t="s">
        <v>12199</v>
      </c>
      <c r="AA636" s="1">
        <v>1</v>
      </c>
      <c r="AB636" s="1" t="s">
        <v>12200</v>
      </c>
      <c r="AC636" s="1" t="s">
        <v>12201</v>
      </c>
      <c r="AD636" s="1" t="s">
        <v>93</v>
      </c>
      <c r="AE636" s="1" t="s">
        <v>12202</v>
      </c>
      <c r="AF636" s="1" t="s">
        <v>12203</v>
      </c>
      <c r="AG636" s="1" t="s">
        <v>12188</v>
      </c>
      <c r="AH636" s="1" t="s">
        <v>82</v>
      </c>
      <c r="AI636" s="1" t="s">
        <v>12204</v>
      </c>
      <c r="AJ636" s="1" t="s">
        <v>12205</v>
      </c>
      <c r="AK636" s="1" t="s">
        <v>12206</v>
      </c>
      <c r="AL636" s="1" t="s">
        <v>12207</v>
      </c>
      <c r="AM636" s="1" t="s">
        <v>82</v>
      </c>
      <c r="AN636" s="1">
        <v>51</v>
      </c>
      <c r="AO636" s="1">
        <v>0</v>
      </c>
      <c r="AP636" s="1">
        <v>0</v>
      </c>
      <c r="AQ636" s="1">
        <v>8</v>
      </c>
      <c r="AR636" s="1">
        <v>8</v>
      </c>
      <c r="AS636" s="1" t="s">
        <v>10322</v>
      </c>
      <c r="AT636" s="1" t="s">
        <v>416</v>
      </c>
      <c r="AU636" s="1" t="s">
        <v>12169</v>
      </c>
      <c r="AV636" s="1" t="s">
        <v>12170</v>
      </c>
      <c r="AW636" s="1" t="s">
        <v>12171</v>
      </c>
      <c r="AX636" s="1" t="s">
        <v>82</v>
      </c>
      <c r="AY636" s="1" t="s">
        <v>12172</v>
      </c>
      <c r="AZ636" s="1" t="s">
        <v>12173</v>
      </c>
      <c r="BA636" s="1" t="s">
        <v>222</v>
      </c>
      <c r="BB636" s="1">
        <v>2022</v>
      </c>
      <c r="BC636" s="1">
        <v>32</v>
      </c>
      <c r="BD636" s="1">
        <v>3</v>
      </c>
      <c r="BE636" s="1" t="s">
        <v>82</v>
      </c>
      <c r="BF636" s="1" t="s">
        <v>82</v>
      </c>
      <c r="BG636" s="1" t="s">
        <v>170</v>
      </c>
      <c r="BH636" s="1" t="s">
        <v>82</v>
      </c>
      <c r="BI636" s="1">
        <v>166</v>
      </c>
      <c r="BJ636" s="1">
        <v>174</v>
      </c>
      <c r="BK636" s="1" t="s">
        <v>12208</v>
      </c>
      <c r="BL636" s="1" t="s">
        <v>12209</v>
      </c>
      <c r="BM636" s="1" t="str">
        <f>HYPERLINK("http://dx.doi.org/10.1017/S0960258522000150","http://dx.doi.org/10.1017/S0960258522000150")</f>
        <v>http://dx.doi.org/10.1017/S0960258522000150</v>
      </c>
      <c r="BN636" s="1" t="s">
        <v>82</v>
      </c>
      <c r="BO636" s="1" t="s">
        <v>224</v>
      </c>
      <c r="BP636" s="1">
        <v>9</v>
      </c>
      <c r="BQ636" s="1" t="s">
        <v>378</v>
      </c>
      <c r="BR636" s="1" t="s">
        <v>104</v>
      </c>
      <c r="BS636" s="1" t="s">
        <v>378</v>
      </c>
      <c r="BT636" s="1" t="s">
        <v>12176</v>
      </c>
      <c r="BU636" s="1" t="s">
        <v>82</v>
      </c>
      <c r="BV636" s="1" t="s">
        <v>82</v>
      </c>
      <c r="BW636" s="1" t="s">
        <v>82</v>
      </c>
      <c r="BX636" s="1" t="s">
        <v>82</v>
      </c>
      <c r="BY636" s="1" t="s">
        <v>108</v>
      </c>
      <c r="BZ636" s="1" t="s">
        <v>12210</v>
      </c>
      <c r="CA636" s="1" t="str">
        <f>HYPERLINK("https%3A%2F%2Fwww.webofscience.com%2Fwos%2Fwoscc%2Ffull-record%2FWOS:000850365700001","View Full Record in Web of Science")</f>
        <v>View Full Record in Web of Science</v>
      </c>
    </row>
    <row r="637" s="1" customFormat="1" ht="14.4" spans="1:79">
      <c r="A637">
        <v>636</v>
      </c>
      <c r="B637" s="2" t="s">
        <v>79</v>
      </c>
      <c r="C637" s="1" t="s">
        <v>80</v>
      </c>
      <c r="D637" s="1" t="s">
        <v>12211</v>
      </c>
      <c r="E637" s="1" t="s">
        <v>82</v>
      </c>
      <c r="F637" s="1" t="s">
        <v>82</v>
      </c>
      <c r="G637" s="1" t="s">
        <v>82</v>
      </c>
      <c r="H637" s="1" t="s">
        <v>12212</v>
      </c>
      <c r="I637" s="1" t="s">
        <v>82</v>
      </c>
      <c r="J637" s="1" t="s">
        <v>82</v>
      </c>
      <c r="K637" s="1" t="s">
        <v>12213</v>
      </c>
      <c r="L637" s="1" t="s">
        <v>12214</v>
      </c>
      <c r="M637" s="1">
        <v>1.54</v>
      </c>
      <c r="O637" s="1" t="s">
        <v>82</v>
      </c>
      <c r="P637" s="1" t="s">
        <v>82</v>
      </c>
      <c r="Q637" s="1" t="s">
        <v>87</v>
      </c>
      <c r="R637" s="1" t="s">
        <v>115</v>
      </c>
      <c r="S637" s="1" t="s">
        <v>82</v>
      </c>
      <c r="T637" s="1" t="s">
        <v>82</v>
      </c>
      <c r="U637" s="1" t="s">
        <v>82</v>
      </c>
      <c r="V637" s="1" t="s">
        <v>82</v>
      </c>
      <c r="W637" s="1" t="s">
        <v>82</v>
      </c>
      <c r="X637" s="1" t="s">
        <v>12215</v>
      </c>
      <c r="Y637" s="1" t="s">
        <v>12216</v>
      </c>
      <c r="Z637" s="1" t="s">
        <v>12217</v>
      </c>
      <c r="AB637" s="1" t="s">
        <v>12218</v>
      </c>
      <c r="AC637" s="1" t="s">
        <v>12219</v>
      </c>
      <c r="AD637" s="1" t="s">
        <v>120</v>
      </c>
      <c r="AE637" s="1" t="s">
        <v>12220</v>
      </c>
      <c r="AF637" s="1" t="s">
        <v>4931</v>
      </c>
      <c r="AG637" s="1" t="s">
        <v>12221</v>
      </c>
      <c r="AH637" s="1" t="s">
        <v>801</v>
      </c>
      <c r="AI637" s="1" t="s">
        <v>802</v>
      </c>
      <c r="AJ637" s="1" t="s">
        <v>12222</v>
      </c>
      <c r="AK637" s="1" t="s">
        <v>12223</v>
      </c>
      <c r="AL637" s="1" t="s">
        <v>12224</v>
      </c>
      <c r="AM637" s="1" t="s">
        <v>82</v>
      </c>
      <c r="AN637" s="1">
        <v>45</v>
      </c>
      <c r="AO637" s="1">
        <v>0</v>
      </c>
      <c r="AP637" s="1">
        <v>0</v>
      </c>
      <c r="AQ637" s="1">
        <v>2</v>
      </c>
      <c r="AR637" s="1">
        <v>2</v>
      </c>
      <c r="AS637" s="1" t="s">
        <v>9830</v>
      </c>
      <c r="AT637" s="1" t="s">
        <v>9831</v>
      </c>
      <c r="AU637" s="1" t="s">
        <v>9832</v>
      </c>
      <c r="AV637" s="1" t="s">
        <v>12225</v>
      </c>
      <c r="AW637" s="1" t="s">
        <v>12226</v>
      </c>
      <c r="AX637" s="1" t="s">
        <v>82</v>
      </c>
      <c r="AY637" s="1" t="s">
        <v>12227</v>
      </c>
      <c r="AZ637" s="1" t="s">
        <v>12228</v>
      </c>
      <c r="BA637" s="1" t="s">
        <v>7359</v>
      </c>
      <c r="BB637" s="1">
        <v>2022</v>
      </c>
      <c r="BC637" s="1">
        <v>10</v>
      </c>
      <c r="BD637" s="1" t="s">
        <v>82</v>
      </c>
      <c r="BE637" s="1" t="s">
        <v>82</v>
      </c>
      <c r="BF637" s="1" t="s">
        <v>82</v>
      </c>
      <c r="BG637" s="1" t="s">
        <v>82</v>
      </c>
      <c r="BH637" s="1" t="s">
        <v>82</v>
      </c>
      <c r="BI637" s="1" t="s">
        <v>82</v>
      </c>
      <c r="BJ637" s="1" t="s">
        <v>82</v>
      </c>
      <c r="BK637" s="1" t="s">
        <v>12229</v>
      </c>
      <c r="BL637" s="1" t="s">
        <v>12230</v>
      </c>
      <c r="BM637" s="1" t="str">
        <f>HYPERLINK("http://dx.doi.org/10.3897/BDJ.10.e89360","http://dx.doi.org/10.3897/BDJ.10.e89360")</f>
        <v>http://dx.doi.org/10.3897/BDJ.10.e89360</v>
      </c>
      <c r="BN637" s="1" t="s">
        <v>82</v>
      </c>
      <c r="BO637" s="1" t="s">
        <v>82</v>
      </c>
      <c r="BP637" s="1">
        <v>17</v>
      </c>
      <c r="BQ637" s="1" t="s">
        <v>12055</v>
      </c>
      <c r="BR637" s="1" t="s">
        <v>104</v>
      </c>
      <c r="BS637" s="1" t="s">
        <v>12056</v>
      </c>
      <c r="BT637" s="1" t="s">
        <v>12231</v>
      </c>
      <c r="BU637" s="1" t="s">
        <v>82</v>
      </c>
      <c r="BV637" s="1" t="s">
        <v>592</v>
      </c>
      <c r="BW637" s="1" t="s">
        <v>82</v>
      </c>
      <c r="BX637" s="1" t="s">
        <v>82</v>
      </c>
      <c r="BY637" s="1" t="s">
        <v>108</v>
      </c>
      <c r="BZ637" s="1" t="s">
        <v>12232</v>
      </c>
      <c r="CA637" s="1" t="str">
        <f>HYPERLINK("https%3A%2F%2Fwww.webofscience.com%2Fwos%2Fwoscc%2Ffull-record%2FWOS:000837200600001","View Full Record in Web of Science")</f>
        <v>View Full Record in Web of Science</v>
      </c>
    </row>
    <row r="638" s="1" customFormat="1" ht="14.4" spans="1:79">
      <c r="A638">
        <v>637</v>
      </c>
      <c r="B638" s="2" t="s">
        <v>79</v>
      </c>
      <c r="C638" s="1" t="s">
        <v>80</v>
      </c>
      <c r="D638" s="1" t="s">
        <v>12233</v>
      </c>
      <c r="E638" s="1" t="s">
        <v>82</v>
      </c>
      <c r="F638" s="1" t="s">
        <v>82</v>
      </c>
      <c r="G638" s="1" t="s">
        <v>82</v>
      </c>
      <c r="H638" s="1" t="s">
        <v>12234</v>
      </c>
      <c r="I638" s="1" t="s">
        <v>82</v>
      </c>
      <c r="J638" s="1" t="s">
        <v>82</v>
      </c>
      <c r="K638" s="1" t="s">
        <v>12235</v>
      </c>
      <c r="L638" s="1" t="s">
        <v>12236</v>
      </c>
      <c r="M638" s="1">
        <v>1.514</v>
      </c>
      <c r="O638" s="1" t="s">
        <v>82</v>
      </c>
      <c r="P638" s="1" t="s">
        <v>82</v>
      </c>
      <c r="Q638" s="1" t="s">
        <v>87</v>
      </c>
      <c r="R638" s="1" t="s">
        <v>115</v>
      </c>
      <c r="S638" s="1" t="s">
        <v>82</v>
      </c>
      <c r="T638" s="1" t="s">
        <v>82</v>
      </c>
      <c r="U638" s="1" t="s">
        <v>82</v>
      </c>
      <c r="V638" s="1" t="s">
        <v>82</v>
      </c>
      <c r="W638" s="1" t="s">
        <v>82</v>
      </c>
      <c r="X638" s="1" t="s">
        <v>12237</v>
      </c>
      <c r="Y638" s="1" t="s">
        <v>12238</v>
      </c>
      <c r="Z638" s="1" t="s">
        <v>12239</v>
      </c>
      <c r="AB638" s="1" t="s">
        <v>12240</v>
      </c>
      <c r="AC638" s="1" t="s">
        <v>12241</v>
      </c>
      <c r="AD638" s="1" t="s">
        <v>206</v>
      </c>
      <c r="AE638" s="1" t="s">
        <v>1650</v>
      </c>
      <c r="AF638" s="1" t="s">
        <v>12242</v>
      </c>
      <c r="AG638" s="1" t="s">
        <v>11778</v>
      </c>
      <c r="AH638" s="1" t="s">
        <v>82</v>
      </c>
      <c r="AI638" s="1" t="s">
        <v>82</v>
      </c>
      <c r="AJ638" s="1" t="s">
        <v>82</v>
      </c>
      <c r="AK638" s="1" t="s">
        <v>82</v>
      </c>
      <c r="AL638" s="1" t="s">
        <v>82</v>
      </c>
      <c r="AM638" s="1" t="s">
        <v>82</v>
      </c>
      <c r="AN638" s="1">
        <v>59</v>
      </c>
      <c r="AO638" s="1">
        <v>0</v>
      </c>
      <c r="AP638" s="1">
        <v>0</v>
      </c>
      <c r="AQ638" s="1">
        <v>13</v>
      </c>
      <c r="AR638" s="1">
        <v>16</v>
      </c>
      <c r="AS638" s="1" t="s">
        <v>12243</v>
      </c>
      <c r="AT638" s="1" t="s">
        <v>12244</v>
      </c>
      <c r="AU638" s="1" t="s">
        <v>12245</v>
      </c>
      <c r="AV638" s="1" t="s">
        <v>12246</v>
      </c>
      <c r="AW638" s="1" t="s">
        <v>12247</v>
      </c>
      <c r="AX638" s="1" t="s">
        <v>82</v>
      </c>
      <c r="AY638" s="1" t="s">
        <v>12248</v>
      </c>
      <c r="AZ638" s="1" t="s">
        <v>12249</v>
      </c>
      <c r="BA638" s="1" t="s">
        <v>657</v>
      </c>
      <c r="BB638" s="1">
        <v>2022</v>
      </c>
      <c r="BC638" s="1">
        <v>12</v>
      </c>
      <c r="BD638" s="1">
        <v>4</v>
      </c>
      <c r="BE638" s="1" t="s">
        <v>82</v>
      </c>
      <c r="BF638" s="1" t="s">
        <v>82</v>
      </c>
      <c r="BG638" s="1" t="s">
        <v>82</v>
      </c>
      <c r="BH638" s="1" t="s">
        <v>82</v>
      </c>
      <c r="BI638" s="1">
        <v>141</v>
      </c>
      <c r="BJ638" s="1">
        <v>147</v>
      </c>
      <c r="BK638" s="1" t="s">
        <v>82</v>
      </c>
      <c r="BL638" s="1" t="s">
        <v>12250</v>
      </c>
      <c r="BM638" s="1" t="str">
        <f>HYPERLINK("http://dx.doi.org/10.4103/2221-1691.340558","http://dx.doi.org/10.4103/2221-1691.340558")</f>
        <v>http://dx.doi.org/10.4103/2221-1691.340558</v>
      </c>
      <c r="BN638" s="1" t="s">
        <v>82</v>
      </c>
      <c r="BO638" s="1" t="s">
        <v>82</v>
      </c>
      <c r="BP638" s="1">
        <v>7</v>
      </c>
      <c r="BQ638" s="1" t="s">
        <v>12251</v>
      </c>
      <c r="BR638" s="1" t="s">
        <v>104</v>
      </c>
      <c r="BS638" s="1" t="s">
        <v>12251</v>
      </c>
      <c r="BT638" s="1" t="s">
        <v>12252</v>
      </c>
      <c r="BU638" s="1" t="s">
        <v>82</v>
      </c>
      <c r="BV638" s="1" t="s">
        <v>808</v>
      </c>
      <c r="BW638" s="1" t="s">
        <v>82</v>
      </c>
      <c r="BX638" s="1" t="s">
        <v>82</v>
      </c>
      <c r="BY638" s="1" t="s">
        <v>108</v>
      </c>
      <c r="BZ638" s="1" t="s">
        <v>12253</v>
      </c>
      <c r="CA638" s="1" t="str">
        <f>HYPERLINK("https%3A%2F%2Fwww.webofscience.com%2Fwos%2Fwoscc%2Ffull-record%2FWOS:000790799800001","View Full Record in Web of Science")</f>
        <v>View Full Record in Web of Science</v>
      </c>
    </row>
    <row r="639" s="1" customFormat="1" ht="14.4" spans="1:79">
      <c r="A639">
        <v>638</v>
      </c>
      <c r="B639" s="2" t="s">
        <v>110</v>
      </c>
      <c r="C639" s="1" t="s">
        <v>80</v>
      </c>
      <c r="D639" s="1" t="s">
        <v>12254</v>
      </c>
      <c r="E639" s="1" t="s">
        <v>82</v>
      </c>
      <c r="F639" s="1" t="s">
        <v>82</v>
      </c>
      <c r="G639" s="1" t="s">
        <v>82</v>
      </c>
      <c r="H639" s="1" t="s">
        <v>12255</v>
      </c>
      <c r="I639" s="1" t="s">
        <v>82</v>
      </c>
      <c r="J639" s="1" t="s">
        <v>82</v>
      </c>
      <c r="K639" s="1" t="s">
        <v>12256</v>
      </c>
      <c r="L639" s="1" t="s">
        <v>12257</v>
      </c>
      <c r="M639" s="1">
        <v>1.496</v>
      </c>
      <c r="O639" s="1" t="s">
        <v>82</v>
      </c>
      <c r="P639" s="1" t="s">
        <v>82</v>
      </c>
      <c r="Q639" s="1" t="s">
        <v>87</v>
      </c>
      <c r="R639" s="1" t="s">
        <v>115</v>
      </c>
      <c r="S639" s="1" t="s">
        <v>82</v>
      </c>
      <c r="T639" s="1" t="s">
        <v>82</v>
      </c>
      <c r="U639" s="1" t="s">
        <v>82</v>
      </c>
      <c r="V639" s="1" t="s">
        <v>82</v>
      </c>
      <c r="W639" s="1" t="s">
        <v>82</v>
      </c>
      <c r="X639" s="1" t="s">
        <v>12258</v>
      </c>
      <c r="Y639" s="1" t="s">
        <v>12259</v>
      </c>
      <c r="Z639" s="1" t="s">
        <v>12260</v>
      </c>
      <c r="AB639" s="1" t="s">
        <v>12261</v>
      </c>
      <c r="AC639" s="1" t="s">
        <v>12262</v>
      </c>
      <c r="AD639" s="1" t="s">
        <v>120</v>
      </c>
      <c r="AE639" s="1" t="s">
        <v>3994</v>
      </c>
      <c r="AF639" s="1" t="s">
        <v>11712</v>
      </c>
      <c r="AG639" s="1" t="s">
        <v>3996</v>
      </c>
      <c r="AH639" s="1" t="s">
        <v>82</v>
      </c>
      <c r="AI639" s="1" t="s">
        <v>8256</v>
      </c>
      <c r="AJ639" s="1" t="s">
        <v>12263</v>
      </c>
      <c r="AK639" s="1" t="s">
        <v>12264</v>
      </c>
      <c r="AL639" s="1" t="s">
        <v>12265</v>
      </c>
      <c r="AM639" s="1" t="s">
        <v>82</v>
      </c>
      <c r="AN639" s="1">
        <v>19</v>
      </c>
      <c r="AO639" s="1">
        <v>0</v>
      </c>
      <c r="AP639" s="1">
        <v>0</v>
      </c>
      <c r="AQ639" s="1">
        <v>2</v>
      </c>
      <c r="AR639" s="1">
        <v>11</v>
      </c>
      <c r="AS639" s="1" t="s">
        <v>12048</v>
      </c>
      <c r="AT639" s="1" t="s">
        <v>12049</v>
      </c>
      <c r="AU639" s="1" t="s">
        <v>12050</v>
      </c>
      <c r="AV639" s="1" t="s">
        <v>12266</v>
      </c>
      <c r="AW639" s="1" t="s">
        <v>12267</v>
      </c>
      <c r="AX639" s="1" t="s">
        <v>82</v>
      </c>
      <c r="AY639" s="1" t="s">
        <v>12268</v>
      </c>
      <c r="AZ639" s="1" t="s">
        <v>12269</v>
      </c>
      <c r="BA639" s="1" t="s">
        <v>397</v>
      </c>
      <c r="BB639" s="1">
        <v>2022</v>
      </c>
      <c r="BC639" s="1">
        <v>17</v>
      </c>
      <c r="BD639" s="1">
        <v>2</v>
      </c>
      <c r="BE639" s="1" t="s">
        <v>82</v>
      </c>
      <c r="BF639" s="1" t="s">
        <v>82</v>
      </c>
      <c r="BG639" s="1" t="s">
        <v>82</v>
      </c>
      <c r="BH639" s="1" t="s">
        <v>82</v>
      </c>
      <c r="BI639" s="1" t="s">
        <v>82</v>
      </c>
      <c r="BJ639" s="1" t="s">
        <v>82</v>
      </c>
      <c r="BK639" s="1" t="s">
        <v>12270</v>
      </c>
      <c r="BL639" s="1" t="s">
        <v>12271</v>
      </c>
      <c r="BM639" s="1" t="str">
        <f>HYPERLINK("http://dx.doi.org/10.1177/1934578X221078628","http://dx.doi.org/10.1177/1934578X221078628")</f>
        <v>http://dx.doi.org/10.1177/1934578X221078628</v>
      </c>
      <c r="BN639" s="1" t="s">
        <v>82</v>
      </c>
      <c r="BO639" s="1" t="s">
        <v>82</v>
      </c>
      <c r="BP639" s="1">
        <v>6</v>
      </c>
      <c r="BQ639" s="1" t="s">
        <v>12272</v>
      </c>
      <c r="BR639" s="1" t="s">
        <v>104</v>
      </c>
      <c r="BS639" s="1" t="s">
        <v>12273</v>
      </c>
      <c r="BT639" s="1" t="s">
        <v>12274</v>
      </c>
      <c r="BU639" s="1" t="s">
        <v>82</v>
      </c>
      <c r="BV639" s="1" t="s">
        <v>808</v>
      </c>
      <c r="BW639" s="1" t="s">
        <v>82</v>
      </c>
      <c r="BX639" s="1" t="s">
        <v>82</v>
      </c>
      <c r="BY639" s="1" t="s">
        <v>108</v>
      </c>
      <c r="BZ639" s="1" t="s">
        <v>12275</v>
      </c>
      <c r="CA639" s="1" t="str">
        <f>HYPERLINK("https%3A%2F%2Fwww.webofscience.com%2Fwos%2Fwoscc%2Ffull-record%2FWOS:000760920200001","View Full Record in Web of Science")</f>
        <v>View Full Record in Web of Science</v>
      </c>
    </row>
    <row r="640" s="1" customFormat="1" ht="14.4" spans="1:79">
      <c r="A640">
        <v>639</v>
      </c>
      <c r="B640" s="2" t="s">
        <v>79</v>
      </c>
      <c r="C640" s="1" t="s">
        <v>80</v>
      </c>
      <c r="D640" s="1" t="s">
        <v>12276</v>
      </c>
      <c r="E640" s="1" t="s">
        <v>82</v>
      </c>
      <c r="F640" s="1" t="s">
        <v>82</v>
      </c>
      <c r="G640" s="1" t="s">
        <v>82</v>
      </c>
      <c r="H640" s="1" t="s">
        <v>12277</v>
      </c>
      <c r="I640" s="1" t="s">
        <v>82</v>
      </c>
      <c r="J640" s="1" t="s">
        <v>82</v>
      </c>
      <c r="K640" s="1" t="s">
        <v>12278</v>
      </c>
      <c r="L640" s="1" t="s">
        <v>12257</v>
      </c>
      <c r="M640" s="1">
        <v>1.496</v>
      </c>
      <c r="O640" s="1" t="s">
        <v>82</v>
      </c>
      <c r="P640" s="1" t="s">
        <v>82</v>
      </c>
      <c r="Q640" s="1" t="s">
        <v>87</v>
      </c>
      <c r="R640" s="1" t="s">
        <v>115</v>
      </c>
      <c r="S640" s="1" t="s">
        <v>82</v>
      </c>
      <c r="T640" s="1" t="s">
        <v>82</v>
      </c>
      <c r="U640" s="1" t="s">
        <v>82</v>
      </c>
      <c r="V640" s="1" t="s">
        <v>82</v>
      </c>
      <c r="W640" s="1" t="s">
        <v>82</v>
      </c>
      <c r="X640" s="1" t="s">
        <v>12279</v>
      </c>
      <c r="Y640" s="1" t="s">
        <v>12280</v>
      </c>
      <c r="Z640" s="1" t="s">
        <v>12281</v>
      </c>
      <c r="AB640" s="1" t="s">
        <v>6735</v>
      </c>
      <c r="AC640" s="1" t="s">
        <v>12282</v>
      </c>
      <c r="AD640" s="1" t="s">
        <v>120</v>
      </c>
      <c r="AE640" s="1" t="s">
        <v>6737</v>
      </c>
      <c r="AF640" s="1" t="s">
        <v>12283</v>
      </c>
      <c r="AG640" s="1" t="s">
        <v>6739</v>
      </c>
      <c r="AH640" s="1" t="s">
        <v>12284</v>
      </c>
      <c r="AI640" s="1" t="s">
        <v>12285</v>
      </c>
      <c r="AJ640" s="1" t="s">
        <v>12286</v>
      </c>
      <c r="AK640" s="1" t="s">
        <v>12287</v>
      </c>
      <c r="AL640" s="1" t="s">
        <v>12288</v>
      </c>
      <c r="AM640" s="1" t="s">
        <v>82</v>
      </c>
      <c r="AN640" s="1">
        <v>18</v>
      </c>
      <c r="AO640" s="1">
        <v>1</v>
      </c>
      <c r="AP640" s="1">
        <v>1</v>
      </c>
      <c r="AQ640" s="1">
        <v>2</v>
      </c>
      <c r="AR640" s="1">
        <v>5</v>
      </c>
      <c r="AS640" s="1" t="s">
        <v>12048</v>
      </c>
      <c r="AT640" s="1" t="s">
        <v>12049</v>
      </c>
      <c r="AU640" s="1" t="s">
        <v>12050</v>
      </c>
      <c r="AV640" s="1" t="s">
        <v>12266</v>
      </c>
      <c r="AW640" s="1" t="s">
        <v>12267</v>
      </c>
      <c r="AX640" s="1" t="s">
        <v>82</v>
      </c>
      <c r="AY640" s="1" t="s">
        <v>12268</v>
      </c>
      <c r="AZ640" s="1" t="s">
        <v>12269</v>
      </c>
      <c r="BA640" s="1" t="s">
        <v>1826</v>
      </c>
      <c r="BB640" s="1">
        <v>2022</v>
      </c>
      <c r="BC640" s="1">
        <v>17</v>
      </c>
      <c r="BD640" s="1">
        <v>1</v>
      </c>
      <c r="BE640" s="1" t="s">
        <v>82</v>
      </c>
      <c r="BF640" s="1" t="s">
        <v>82</v>
      </c>
      <c r="BG640" s="1" t="s">
        <v>82</v>
      </c>
      <c r="BH640" s="1" t="s">
        <v>82</v>
      </c>
      <c r="BI640" s="1" t="s">
        <v>82</v>
      </c>
      <c r="BJ640" s="1" t="s">
        <v>82</v>
      </c>
      <c r="BK640" s="1" t="s">
        <v>12289</v>
      </c>
      <c r="BL640" s="1" t="s">
        <v>12290</v>
      </c>
      <c r="BM640" s="1" t="str">
        <f>HYPERLINK("http://dx.doi.org/10.1177/1934578X211072331","http://dx.doi.org/10.1177/1934578X211072331")</f>
        <v>http://dx.doi.org/10.1177/1934578X211072331</v>
      </c>
      <c r="BN640" s="1" t="s">
        <v>82</v>
      </c>
      <c r="BO640" s="1" t="s">
        <v>82</v>
      </c>
      <c r="BP640" s="1">
        <v>9</v>
      </c>
      <c r="BQ640" s="1" t="s">
        <v>12272</v>
      </c>
      <c r="BR640" s="1" t="s">
        <v>104</v>
      </c>
      <c r="BS640" s="1" t="s">
        <v>12273</v>
      </c>
      <c r="BT640" s="1" t="s">
        <v>12291</v>
      </c>
      <c r="BU640" s="1" t="s">
        <v>82</v>
      </c>
      <c r="BV640" s="1" t="s">
        <v>808</v>
      </c>
      <c r="BW640" s="1" t="s">
        <v>82</v>
      </c>
      <c r="BX640" s="1" t="s">
        <v>82</v>
      </c>
      <c r="BY640" s="1" t="s">
        <v>108</v>
      </c>
      <c r="BZ640" s="1" t="s">
        <v>12292</v>
      </c>
      <c r="CA640" s="1" t="str">
        <f>HYPERLINK("https%3A%2F%2Fwww.webofscience.com%2Fwos%2Fwoscc%2Ffull-record%2FWOS:000740582300001","View Full Record in Web of Science")</f>
        <v>View Full Record in Web of Science</v>
      </c>
    </row>
    <row r="641" s="1" customFormat="1" ht="14.4" spans="1:79">
      <c r="A641">
        <v>640</v>
      </c>
      <c r="B641" s="2" t="s">
        <v>79</v>
      </c>
      <c r="C641" s="1" t="s">
        <v>80</v>
      </c>
      <c r="D641" s="1" t="s">
        <v>12293</v>
      </c>
      <c r="E641" s="1" t="s">
        <v>82</v>
      </c>
      <c r="F641" s="1" t="s">
        <v>82</v>
      </c>
      <c r="G641" s="1" t="s">
        <v>82</v>
      </c>
      <c r="H641" s="1" t="s">
        <v>12294</v>
      </c>
      <c r="I641" s="1" t="s">
        <v>82</v>
      </c>
      <c r="J641" s="1" t="s">
        <v>82</v>
      </c>
      <c r="K641" s="1" t="s">
        <v>12295</v>
      </c>
      <c r="L641" s="1" t="s">
        <v>12296</v>
      </c>
      <c r="M641" s="1">
        <v>1.463</v>
      </c>
      <c r="O641" s="1" t="s">
        <v>82</v>
      </c>
      <c r="P641" s="1" t="s">
        <v>82</v>
      </c>
      <c r="Q641" s="1" t="s">
        <v>87</v>
      </c>
      <c r="R641" s="1" t="s">
        <v>115</v>
      </c>
      <c r="S641" s="1" t="s">
        <v>82</v>
      </c>
      <c r="T641" s="1" t="s">
        <v>82</v>
      </c>
      <c r="U641" s="1" t="s">
        <v>82</v>
      </c>
      <c r="V641" s="1" t="s">
        <v>82</v>
      </c>
      <c r="W641" s="1" t="s">
        <v>82</v>
      </c>
      <c r="X641" s="1" t="s">
        <v>12297</v>
      </c>
      <c r="Y641" s="1" t="s">
        <v>12298</v>
      </c>
      <c r="Z641" s="1" t="s">
        <v>12299</v>
      </c>
      <c r="AB641" s="1" t="s">
        <v>12300</v>
      </c>
      <c r="AC641" s="1" t="s">
        <v>12301</v>
      </c>
      <c r="AD641" s="1" t="s">
        <v>120</v>
      </c>
      <c r="AE641" s="1" t="s">
        <v>12302</v>
      </c>
      <c r="AF641" s="1" t="s">
        <v>12303</v>
      </c>
      <c r="AG641" s="1" t="s">
        <v>12304</v>
      </c>
      <c r="AH641" s="1" t="s">
        <v>9251</v>
      </c>
      <c r="AI641" s="1" t="s">
        <v>9252</v>
      </c>
      <c r="AJ641" s="1" t="s">
        <v>82</v>
      </c>
      <c r="AK641" s="1" t="s">
        <v>82</v>
      </c>
      <c r="AL641" s="1" t="s">
        <v>82</v>
      </c>
      <c r="AM641" s="1" t="s">
        <v>82</v>
      </c>
      <c r="AN641" s="1">
        <v>65</v>
      </c>
      <c r="AO641" s="1">
        <v>0</v>
      </c>
      <c r="AP641" s="1">
        <v>0</v>
      </c>
      <c r="AQ641" s="1">
        <v>4</v>
      </c>
      <c r="AR641" s="1">
        <v>4</v>
      </c>
      <c r="AS641" s="1" t="s">
        <v>12305</v>
      </c>
      <c r="AT641" s="1" t="s">
        <v>1142</v>
      </c>
      <c r="AU641" s="1" t="s">
        <v>12306</v>
      </c>
      <c r="AV641" s="1" t="s">
        <v>12307</v>
      </c>
      <c r="AW641" s="1" t="s">
        <v>12308</v>
      </c>
      <c r="AX641" s="1" t="s">
        <v>82</v>
      </c>
      <c r="AY641" s="1" t="s">
        <v>12309</v>
      </c>
      <c r="AZ641" s="1" t="s">
        <v>12310</v>
      </c>
      <c r="BA641" s="1" t="s">
        <v>2521</v>
      </c>
      <c r="BB641" s="1">
        <v>2022</v>
      </c>
      <c r="BC641" s="1">
        <v>68</v>
      </c>
      <c r="BD641" s="1" t="s">
        <v>12311</v>
      </c>
      <c r="BE641" s="1" t="s">
        <v>82</v>
      </c>
      <c r="BF641" s="1" t="s">
        <v>82</v>
      </c>
      <c r="BG641" s="1" t="s">
        <v>82</v>
      </c>
      <c r="BH641" s="1" t="s">
        <v>82</v>
      </c>
      <c r="BI641" s="1">
        <v>43</v>
      </c>
      <c r="BJ641" s="1">
        <v>53</v>
      </c>
      <c r="BK641" s="1" t="s">
        <v>82</v>
      </c>
      <c r="BL641" s="1" t="s">
        <v>12312</v>
      </c>
      <c r="BM641" s="1" t="str">
        <f>HYPERLINK("http://dx.doi.org/10.1163/22244662-bja10037","http://dx.doi.org/10.1163/22244662-bja10037")</f>
        <v>http://dx.doi.org/10.1163/22244662-bja10037</v>
      </c>
      <c r="BN641" s="1" t="s">
        <v>82</v>
      </c>
      <c r="BO641" s="1" t="s">
        <v>82</v>
      </c>
      <c r="BP641" s="1">
        <v>11</v>
      </c>
      <c r="BQ641" s="1" t="s">
        <v>9741</v>
      </c>
      <c r="BR641" s="1" t="s">
        <v>104</v>
      </c>
      <c r="BS641" s="1" t="s">
        <v>9742</v>
      </c>
      <c r="BT641" s="1" t="s">
        <v>12313</v>
      </c>
      <c r="BU641" s="1" t="s">
        <v>82</v>
      </c>
      <c r="BV641" s="1" t="s">
        <v>427</v>
      </c>
      <c r="BW641" s="1" t="s">
        <v>82</v>
      </c>
      <c r="BX641" s="1" t="s">
        <v>82</v>
      </c>
      <c r="BY641" s="1" t="s">
        <v>108</v>
      </c>
      <c r="BZ641" s="1" t="s">
        <v>12314</v>
      </c>
      <c r="CA641" s="1" t="str">
        <f>HYPERLINK("https%3A%2F%2Fwww.webofscience.com%2Fwos%2Fwoscc%2Ffull-record%2FWOS:000848464700001","View Full Record in Web of Science")</f>
        <v>View Full Record in Web of Science</v>
      </c>
    </row>
    <row r="642" s="1" customFormat="1" ht="14.4" spans="1:79">
      <c r="A642">
        <v>641</v>
      </c>
      <c r="B642" s="2" t="s">
        <v>110</v>
      </c>
      <c r="C642" s="1" t="s">
        <v>80</v>
      </c>
      <c r="D642" s="1" t="s">
        <v>12315</v>
      </c>
      <c r="E642" s="1" t="s">
        <v>82</v>
      </c>
      <c r="F642" s="1" t="s">
        <v>82</v>
      </c>
      <c r="G642" s="1" t="s">
        <v>82</v>
      </c>
      <c r="H642" s="1" t="s">
        <v>12316</v>
      </c>
      <c r="I642" s="1" t="s">
        <v>82</v>
      </c>
      <c r="J642" s="1" t="s">
        <v>82</v>
      </c>
      <c r="K642" s="1" t="s">
        <v>12317</v>
      </c>
      <c r="L642" s="1" t="s">
        <v>12318</v>
      </c>
      <c r="M642" s="1">
        <v>1.462</v>
      </c>
      <c r="O642" s="1" t="s">
        <v>82</v>
      </c>
      <c r="P642" s="1" t="s">
        <v>82</v>
      </c>
      <c r="Q642" s="1" t="s">
        <v>87</v>
      </c>
      <c r="R642" s="1" t="s">
        <v>115</v>
      </c>
      <c r="S642" s="1" t="s">
        <v>82</v>
      </c>
      <c r="T642" s="1" t="s">
        <v>82</v>
      </c>
      <c r="U642" s="1" t="s">
        <v>82</v>
      </c>
      <c r="V642" s="1" t="s">
        <v>82</v>
      </c>
      <c r="W642" s="1" t="s">
        <v>82</v>
      </c>
      <c r="X642" s="1" t="s">
        <v>12319</v>
      </c>
      <c r="Y642" s="1" t="s">
        <v>12320</v>
      </c>
      <c r="Z642" s="1" t="s">
        <v>12321</v>
      </c>
      <c r="AB642" s="1" t="s">
        <v>12322</v>
      </c>
      <c r="AC642" s="1" t="s">
        <v>12323</v>
      </c>
      <c r="AD642" s="1" t="s">
        <v>206</v>
      </c>
      <c r="AE642" s="1" t="s">
        <v>3973</v>
      </c>
      <c r="AF642" s="1" t="s">
        <v>12324</v>
      </c>
      <c r="AG642" s="1" t="s">
        <v>12325</v>
      </c>
      <c r="AH642" s="1" t="s">
        <v>82</v>
      </c>
      <c r="AI642" s="1" t="s">
        <v>82</v>
      </c>
      <c r="AJ642" s="1" t="s">
        <v>12326</v>
      </c>
      <c r="AK642" s="1" t="s">
        <v>12327</v>
      </c>
      <c r="AL642" s="1" t="s">
        <v>12328</v>
      </c>
      <c r="AM642" s="1" t="s">
        <v>82</v>
      </c>
      <c r="AN642" s="1">
        <v>28</v>
      </c>
      <c r="AO642" s="1">
        <v>1</v>
      </c>
      <c r="AP642" s="1">
        <v>1</v>
      </c>
      <c r="AQ642" s="1">
        <v>4</v>
      </c>
      <c r="AR642" s="1">
        <v>4</v>
      </c>
      <c r="AS642" s="1" t="s">
        <v>1700</v>
      </c>
      <c r="AT642" s="1" t="s">
        <v>329</v>
      </c>
      <c r="AU642" s="1" t="s">
        <v>1701</v>
      </c>
      <c r="AV642" s="1" t="s">
        <v>12329</v>
      </c>
      <c r="AW642" s="1" t="s">
        <v>12330</v>
      </c>
      <c r="AX642" s="1" t="s">
        <v>82</v>
      </c>
      <c r="AY642" s="1" t="s">
        <v>12331</v>
      </c>
      <c r="AZ642" s="1" t="s">
        <v>12332</v>
      </c>
      <c r="BA642" s="1" t="s">
        <v>1340</v>
      </c>
      <c r="BB642" s="1">
        <v>2022</v>
      </c>
      <c r="BC642" s="1">
        <v>104</v>
      </c>
      <c r="BD642" s="1" t="s">
        <v>82</v>
      </c>
      <c r="BE642" s="1" t="s">
        <v>82</v>
      </c>
      <c r="BF642" s="1" t="s">
        <v>82</v>
      </c>
      <c r="BG642" s="1" t="s">
        <v>82</v>
      </c>
      <c r="BH642" s="1" t="s">
        <v>82</v>
      </c>
      <c r="BI642" s="1" t="s">
        <v>82</v>
      </c>
      <c r="BJ642" s="1" t="s">
        <v>82</v>
      </c>
      <c r="BK642" s="1">
        <v>104477</v>
      </c>
      <c r="BL642" s="1" t="s">
        <v>12333</v>
      </c>
      <c r="BM642" s="1" t="str">
        <f>HYPERLINK("http://dx.doi.org/10.1016/j.bse.2022.104477","http://dx.doi.org/10.1016/j.bse.2022.104477")</f>
        <v>http://dx.doi.org/10.1016/j.bse.2022.104477</v>
      </c>
      <c r="BN642" s="1" t="s">
        <v>82</v>
      </c>
      <c r="BO642" s="1" t="s">
        <v>424</v>
      </c>
      <c r="BP642" s="1">
        <v>5</v>
      </c>
      <c r="BQ642" s="1" t="s">
        <v>1788</v>
      </c>
      <c r="BR642" s="1" t="s">
        <v>104</v>
      </c>
      <c r="BS642" s="1" t="s">
        <v>1789</v>
      </c>
      <c r="BT642" s="1" t="s">
        <v>12334</v>
      </c>
      <c r="BU642" s="1" t="s">
        <v>82</v>
      </c>
      <c r="BV642" s="1" t="s">
        <v>82</v>
      </c>
      <c r="BW642" s="1" t="s">
        <v>82</v>
      </c>
      <c r="BX642" s="1" t="s">
        <v>82</v>
      </c>
      <c r="BY642" s="1" t="s">
        <v>108</v>
      </c>
      <c r="BZ642" s="1" t="s">
        <v>12335</v>
      </c>
      <c r="CA642" s="1" t="str">
        <f>HYPERLINK("https%3A%2F%2Fwww.webofscience.com%2Fwos%2Fwoscc%2Ffull-record%2FWOS:000847848200002","View Full Record in Web of Science")</f>
        <v>View Full Record in Web of Science</v>
      </c>
    </row>
    <row r="643" s="1" customFormat="1" ht="14.4" spans="1:79">
      <c r="A643">
        <v>642</v>
      </c>
      <c r="B643" s="2" t="s">
        <v>110</v>
      </c>
      <c r="C643" s="1" t="s">
        <v>80</v>
      </c>
      <c r="D643" s="1" t="s">
        <v>12336</v>
      </c>
      <c r="E643" s="1" t="s">
        <v>82</v>
      </c>
      <c r="F643" s="1" t="s">
        <v>82</v>
      </c>
      <c r="G643" s="1" t="s">
        <v>82</v>
      </c>
      <c r="H643" s="1" t="s">
        <v>12337</v>
      </c>
      <c r="I643" s="1" t="s">
        <v>82</v>
      </c>
      <c r="J643" s="1" t="s">
        <v>82</v>
      </c>
      <c r="K643" s="1" t="s">
        <v>12338</v>
      </c>
      <c r="L643" s="1" t="s">
        <v>12318</v>
      </c>
      <c r="M643" s="1">
        <v>1.462</v>
      </c>
      <c r="O643" s="1" t="s">
        <v>82</v>
      </c>
      <c r="P643" s="1" t="s">
        <v>82</v>
      </c>
      <c r="Q643" s="1" t="s">
        <v>87</v>
      </c>
      <c r="R643" s="1" t="s">
        <v>115</v>
      </c>
      <c r="S643" s="1" t="s">
        <v>82</v>
      </c>
      <c r="T643" s="1" t="s">
        <v>82</v>
      </c>
      <c r="U643" s="1" t="s">
        <v>82</v>
      </c>
      <c r="V643" s="1" t="s">
        <v>82</v>
      </c>
      <c r="W643" s="1" t="s">
        <v>82</v>
      </c>
      <c r="X643" s="1" t="s">
        <v>12339</v>
      </c>
      <c r="Y643" s="1" t="s">
        <v>12340</v>
      </c>
      <c r="Z643" s="1" t="s">
        <v>12341</v>
      </c>
      <c r="AB643" s="1" t="s">
        <v>12322</v>
      </c>
      <c r="AC643" s="1" t="s">
        <v>12342</v>
      </c>
      <c r="AD643" s="1" t="s">
        <v>120</v>
      </c>
      <c r="AE643" s="1" t="s">
        <v>3973</v>
      </c>
      <c r="AF643" s="1" t="s">
        <v>12343</v>
      </c>
      <c r="AG643" s="1" t="s">
        <v>12344</v>
      </c>
      <c r="AH643" s="1" t="s">
        <v>82</v>
      </c>
      <c r="AI643" s="1" t="s">
        <v>82</v>
      </c>
      <c r="AJ643" s="1" t="s">
        <v>12345</v>
      </c>
      <c r="AK643" s="1" t="s">
        <v>12346</v>
      </c>
      <c r="AL643" s="1" t="s">
        <v>12347</v>
      </c>
      <c r="AM643" s="1" t="s">
        <v>82</v>
      </c>
      <c r="AN643" s="1">
        <v>69</v>
      </c>
      <c r="AO643" s="1">
        <v>0</v>
      </c>
      <c r="AP643" s="1">
        <v>0</v>
      </c>
      <c r="AQ643" s="1">
        <v>7</v>
      </c>
      <c r="AR643" s="1">
        <v>7</v>
      </c>
      <c r="AS643" s="1" t="s">
        <v>1700</v>
      </c>
      <c r="AT643" s="1" t="s">
        <v>329</v>
      </c>
      <c r="AU643" s="1" t="s">
        <v>1701</v>
      </c>
      <c r="AV643" s="1" t="s">
        <v>12329</v>
      </c>
      <c r="AW643" s="1" t="s">
        <v>12330</v>
      </c>
      <c r="AX643" s="1" t="s">
        <v>82</v>
      </c>
      <c r="AY643" s="1" t="s">
        <v>12331</v>
      </c>
      <c r="AZ643" s="1" t="s">
        <v>12332</v>
      </c>
      <c r="BA643" s="1" t="s">
        <v>2521</v>
      </c>
      <c r="BB643" s="1">
        <v>2022</v>
      </c>
      <c r="BC643" s="1">
        <v>103</v>
      </c>
      <c r="BD643" s="1" t="s">
        <v>82</v>
      </c>
      <c r="BE643" s="1" t="s">
        <v>82</v>
      </c>
      <c r="BF643" s="1" t="s">
        <v>82</v>
      </c>
      <c r="BG643" s="1" t="s">
        <v>82</v>
      </c>
      <c r="BH643" s="1" t="s">
        <v>82</v>
      </c>
      <c r="BI643" s="1" t="s">
        <v>82</v>
      </c>
      <c r="BJ643" s="1" t="s">
        <v>82</v>
      </c>
      <c r="BK643" s="1">
        <v>104447</v>
      </c>
      <c r="BL643" s="1" t="s">
        <v>12348</v>
      </c>
      <c r="BM643" s="1" t="str">
        <f>HYPERLINK("http://dx.doi.org/10.1016/j.bse.2022.104447","http://dx.doi.org/10.1016/j.bse.2022.104447")</f>
        <v>http://dx.doi.org/10.1016/j.bse.2022.104447</v>
      </c>
      <c r="BN643" s="1" t="s">
        <v>82</v>
      </c>
      <c r="BO643" s="1" t="s">
        <v>1257</v>
      </c>
      <c r="BP643" s="1">
        <v>5</v>
      </c>
      <c r="BQ643" s="1" t="s">
        <v>1788</v>
      </c>
      <c r="BR643" s="1" t="s">
        <v>104</v>
      </c>
      <c r="BS643" s="1" t="s">
        <v>1789</v>
      </c>
      <c r="BT643" s="1" t="s">
        <v>12349</v>
      </c>
      <c r="BU643" s="1" t="s">
        <v>82</v>
      </c>
      <c r="BV643" s="1" t="s">
        <v>82</v>
      </c>
      <c r="BW643" s="1" t="s">
        <v>82</v>
      </c>
      <c r="BX643" s="1" t="s">
        <v>82</v>
      </c>
      <c r="BY643" s="1" t="s">
        <v>108</v>
      </c>
      <c r="BZ643" s="1" t="s">
        <v>12350</v>
      </c>
      <c r="CA643" s="1" t="str">
        <f>HYPERLINK("https%3A%2F%2Fwww.webofscience.com%2Fwos%2Fwoscc%2Ffull-record%2FWOS:000825106900001","View Full Record in Web of Science")</f>
        <v>View Full Record in Web of Science</v>
      </c>
    </row>
    <row r="644" s="1" customFormat="1" ht="14.4" spans="1:79">
      <c r="A644">
        <v>643</v>
      </c>
      <c r="B644" s="2" t="s">
        <v>79</v>
      </c>
      <c r="C644" s="1" t="s">
        <v>80</v>
      </c>
      <c r="D644" s="1" t="s">
        <v>12351</v>
      </c>
      <c r="E644" s="1" t="s">
        <v>82</v>
      </c>
      <c r="F644" s="1" t="s">
        <v>82</v>
      </c>
      <c r="G644" s="1" t="s">
        <v>82</v>
      </c>
      <c r="H644" s="1" t="s">
        <v>12352</v>
      </c>
      <c r="I644" s="1" t="s">
        <v>82</v>
      </c>
      <c r="J644" s="1" t="s">
        <v>82</v>
      </c>
      <c r="K644" s="1" t="s">
        <v>12353</v>
      </c>
      <c r="L644" s="1" t="s">
        <v>12318</v>
      </c>
      <c r="M644" s="1">
        <v>1.462</v>
      </c>
      <c r="O644" s="1" t="s">
        <v>82</v>
      </c>
      <c r="P644" s="1" t="s">
        <v>82</v>
      </c>
      <c r="Q644" s="1" t="s">
        <v>87</v>
      </c>
      <c r="R644" s="1" t="s">
        <v>115</v>
      </c>
      <c r="S644" s="1" t="s">
        <v>82</v>
      </c>
      <c r="T644" s="1" t="s">
        <v>82</v>
      </c>
      <c r="U644" s="1" t="s">
        <v>82</v>
      </c>
      <c r="V644" s="1" t="s">
        <v>82</v>
      </c>
      <c r="W644" s="1" t="s">
        <v>82</v>
      </c>
      <c r="X644" s="1" t="s">
        <v>12354</v>
      </c>
      <c r="Y644" s="1" t="s">
        <v>12355</v>
      </c>
      <c r="Z644" s="1" t="s">
        <v>12356</v>
      </c>
      <c r="AB644" s="1" t="s">
        <v>12357</v>
      </c>
      <c r="AC644" s="1" t="s">
        <v>12358</v>
      </c>
      <c r="AD644" s="1" t="s">
        <v>120</v>
      </c>
      <c r="AE644" s="1" t="s">
        <v>12359</v>
      </c>
      <c r="AF644" s="1" t="s">
        <v>12360</v>
      </c>
      <c r="AG644" s="1" t="s">
        <v>9675</v>
      </c>
      <c r="AH644" s="1" t="s">
        <v>7974</v>
      </c>
      <c r="AI644" s="1" t="s">
        <v>82</v>
      </c>
      <c r="AJ644" s="1" t="s">
        <v>12361</v>
      </c>
      <c r="AK644" s="1" t="s">
        <v>12362</v>
      </c>
      <c r="AL644" s="1" t="s">
        <v>12363</v>
      </c>
      <c r="AM644" s="1" t="s">
        <v>82</v>
      </c>
      <c r="AN644" s="1">
        <v>62</v>
      </c>
      <c r="AO644" s="1">
        <v>2</v>
      </c>
      <c r="AP644" s="1">
        <v>2</v>
      </c>
      <c r="AQ644" s="1">
        <v>0</v>
      </c>
      <c r="AR644" s="1">
        <v>4</v>
      </c>
      <c r="AS644" s="1" t="s">
        <v>1700</v>
      </c>
      <c r="AT644" s="1" t="s">
        <v>329</v>
      </c>
      <c r="AU644" s="1" t="s">
        <v>1701</v>
      </c>
      <c r="AV644" s="1" t="s">
        <v>12329</v>
      </c>
      <c r="AW644" s="1" t="s">
        <v>12330</v>
      </c>
      <c r="AX644" s="1" t="s">
        <v>82</v>
      </c>
      <c r="AY644" s="1" t="s">
        <v>12331</v>
      </c>
      <c r="AZ644" s="1" t="s">
        <v>12332</v>
      </c>
      <c r="BA644" s="1" t="s">
        <v>1146</v>
      </c>
      <c r="BB644" s="1">
        <v>2022</v>
      </c>
      <c r="BC644" s="1">
        <v>102</v>
      </c>
      <c r="BD644" s="1" t="s">
        <v>82</v>
      </c>
      <c r="BE644" s="1" t="s">
        <v>82</v>
      </c>
      <c r="BF644" s="1" t="s">
        <v>82</v>
      </c>
      <c r="BG644" s="1" t="s">
        <v>82</v>
      </c>
      <c r="BH644" s="1" t="s">
        <v>82</v>
      </c>
      <c r="BI644" s="1" t="s">
        <v>82</v>
      </c>
      <c r="BJ644" s="1" t="s">
        <v>82</v>
      </c>
      <c r="BK644" s="1">
        <v>104414</v>
      </c>
      <c r="BL644" s="1" t="s">
        <v>12364</v>
      </c>
      <c r="BM644" s="1" t="str">
        <f>HYPERLINK("http://dx.doi.org/10.1016/j.bse.2022.104414","http://dx.doi.org/10.1016/j.bse.2022.104414")</f>
        <v>http://dx.doi.org/10.1016/j.bse.2022.104414</v>
      </c>
      <c r="BN644" s="1" t="s">
        <v>82</v>
      </c>
      <c r="BO644" s="1" t="s">
        <v>247</v>
      </c>
      <c r="BP644" s="1">
        <v>4</v>
      </c>
      <c r="BQ644" s="1" t="s">
        <v>1788</v>
      </c>
      <c r="BR644" s="1" t="s">
        <v>104</v>
      </c>
      <c r="BS644" s="1" t="s">
        <v>1789</v>
      </c>
      <c r="BT644" s="1" t="s">
        <v>12365</v>
      </c>
      <c r="BU644" s="1" t="s">
        <v>82</v>
      </c>
      <c r="BV644" s="1" t="s">
        <v>82</v>
      </c>
      <c r="BW644" s="1" t="s">
        <v>82</v>
      </c>
      <c r="BX644" s="1" t="s">
        <v>82</v>
      </c>
      <c r="BY644" s="1" t="s">
        <v>108</v>
      </c>
      <c r="BZ644" s="1" t="s">
        <v>12366</v>
      </c>
      <c r="CA644" s="1" t="str">
        <f>HYPERLINK("https%3A%2F%2Fwww.webofscience.com%2Fwos%2Fwoscc%2Ffull-record%2FWOS:000799984700002","View Full Record in Web of Science")</f>
        <v>View Full Record in Web of Science</v>
      </c>
    </row>
    <row r="645" s="1" customFormat="1" ht="14.4" spans="1:79">
      <c r="A645">
        <v>644</v>
      </c>
      <c r="B645" s="2" t="s">
        <v>79</v>
      </c>
      <c r="C645" s="1" t="s">
        <v>80</v>
      </c>
      <c r="D645" s="1" t="s">
        <v>12367</v>
      </c>
      <c r="E645" s="1" t="s">
        <v>82</v>
      </c>
      <c r="F645" s="1" t="s">
        <v>82</v>
      </c>
      <c r="G645" s="1" t="s">
        <v>82</v>
      </c>
      <c r="H645" s="1" t="s">
        <v>12368</v>
      </c>
      <c r="I645" s="1" t="s">
        <v>82</v>
      </c>
      <c r="J645" s="1" t="s">
        <v>82</v>
      </c>
      <c r="K645" s="1" t="s">
        <v>12369</v>
      </c>
      <c r="L645" s="1" t="s">
        <v>12370</v>
      </c>
      <c r="M645" s="1">
        <v>1.429</v>
      </c>
      <c r="O645" s="1" t="s">
        <v>82</v>
      </c>
      <c r="P645" s="1" t="s">
        <v>82</v>
      </c>
      <c r="Q645" s="1" t="s">
        <v>87</v>
      </c>
      <c r="R645" s="1" t="s">
        <v>115</v>
      </c>
      <c r="S645" s="1" t="s">
        <v>82</v>
      </c>
      <c r="T645" s="1" t="s">
        <v>82</v>
      </c>
      <c r="U645" s="1" t="s">
        <v>82</v>
      </c>
      <c r="V645" s="1" t="s">
        <v>82</v>
      </c>
      <c r="W645" s="1" t="s">
        <v>82</v>
      </c>
      <c r="X645" s="1" t="s">
        <v>12371</v>
      </c>
      <c r="Y645" s="1" t="s">
        <v>12372</v>
      </c>
      <c r="Z645" s="1" t="s">
        <v>12373</v>
      </c>
      <c r="AA645" s="1">
        <v>1</v>
      </c>
      <c r="AB645" s="1" t="s">
        <v>3216</v>
      </c>
      <c r="AC645" s="1" t="s">
        <v>12374</v>
      </c>
      <c r="AD645" s="1" t="s">
        <v>93</v>
      </c>
      <c r="AE645" s="1" t="s">
        <v>6003</v>
      </c>
      <c r="AF645" s="1" t="s">
        <v>12375</v>
      </c>
      <c r="AG645" s="1" t="s">
        <v>12376</v>
      </c>
      <c r="AH645" s="1" t="s">
        <v>82</v>
      </c>
      <c r="AI645" s="1" t="s">
        <v>82</v>
      </c>
      <c r="AJ645" s="1" t="s">
        <v>12377</v>
      </c>
      <c r="AK645" s="1" t="s">
        <v>12378</v>
      </c>
      <c r="AL645" s="1" t="s">
        <v>12379</v>
      </c>
      <c r="AM645" s="1" t="s">
        <v>82</v>
      </c>
      <c r="AN645" s="1">
        <v>19</v>
      </c>
      <c r="AO645" s="1">
        <v>3</v>
      </c>
      <c r="AP645" s="1">
        <v>4</v>
      </c>
      <c r="AQ645" s="1">
        <v>1</v>
      </c>
      <c r="AR645" s="1">
        <v>1</v>
      </c>
      <c r="AS645" s="1" t="s">
        <v>12380</v>
      </c>
      <c r="AT645" s="1" t="s">
        <v>12381</v>
      </c>
      <c r="AU645" s="1" t="s">
        <v>12382</v>
      </c>
      <c r="AV645" s="1" t="s">
        <v>12383</v>
      </c>
      <c r="AW645" s="1" t="s">
        <v>12384</v>
      </c>
      <c r="AX645" s="1" t="s">
        <v>82</v>
      </c>
      <c r="AY645" s="1" t="s">
        <v>12385</v>
      </c>
      <c r="AZ645" s="1" t="s">
        <v>12386</v>
      </c>
      <c r="BA645" s="1" t="s">
        <v>82</v>
      </c>
      <c r="BB645" s="1">
        <v>2022</v>
      </c>
      <c r="BC645" s="1">
        <v>46</v>
      </c>
      <c r="BD645" s="1">
        <v>2</v>
      </c>
      <c r="BE645" s="1" t="s">
        <v>82</v>
      </c>
      <c r="BF645" s="1" t="s">
        <v>82</v>
      </c>
      <c r="BG645" s="1" t="s">
        <v>82</v>
      </c>
      <c r="BH645" s="1" t="s">
        <v>82</v>
      </c>
      <c r="BI645" s="1">
        <v>176</v>
      </c>
      <c r="BJ645" s="1" t="s">
        <v>171</v>
      </c>
      <c r="BK645" s="1" t="s">
        <v>82</v>
      </c>
      <c r="BL645" s="1" t="s">
        <v>12387</v>
      </c>
      <c r="BM645" s="1" t="str">
        <f>HYPERLINK("http://dx.doi.org/10.55730/1300-008X.2680","http://dx.doi.org/10.55730/1300-008X.2680")</f>
        <v>http://dx.doi.org/10.55730/1300-008X.2680</v>
      </c>
      <c r="BN645" s="1" t="s">
        <v>82</v>
      </c>
      <c r="BO645" s="1" t="s">
        <v>82</v>
      </c>
      <c r="BP645" s="1">
        <v>9</v>
      </c>
      <c r="BQ645" s="1" t="s">
        <v>378</v>
      </c>
      <c r="BR645" s="1" t="s">
        <v>104</v>
      </c>
      <c r="BS645" s="1" t="s">
        <v>378</v>
      </c>
      <c r="BT645" s="1" t="s">
        <v>12388</v>
      </c>
      <c r="BU645" s="1" t="s">
        <v>82</v>
      </c>
      <c r="BV645" s="1" t="s">
        <v>107</v>
      </c>
      <c r="BW645" s="1" t="s">
        <v>82</v>
      </c>
      <c r="BX645" s="1" t="s">
        <v>82</v>
      </c>
      <c r="BY645" s="1" t="s">
        <v>108</v>
      </c>
      <c r="BZ645" s="1" t="s">
        <v>12389</v>
      </c>
      <c r="CA645" s="1" t="str">
        <f>HYPERLINK("https%3A%2F%2Fwww.webofscience.com%2Fwos%2Fwoscc%2Ffull-record%2FWOS:000800825200004","View Full Record in Web of Science")</f>
        <v>View Full Record in Web of Science</v>
      </c>
    </row>
    <row r="646" s="1" customFormat="1" ht="14.4" spans="1:79">
      <c r="A646">
        <v>645</v>
      </c>
      <c r="B646" s="2" t="s">
        <v>79</v>
      </c>
      <c r="C646" s="1" t="s">
        <v>80</v>
      </c>
      <c r="D646" s="1" t="s">
        <v>12390</v>
      </c>
      <c r="E646" s="1" t="s">
        <v>82</v>
      </c>
      <c r="F646" s="1" t="s">
        <v>82</v>
      </c>
      <c r="G646" s="1" t="s">
        <v>82</v>
      </c>
      <c r="H646" s="1" t="s">
        <v>12391</v>
      </c>
      <c r="I646" s="1" t="s">
        <v>82</v>
      </c>
      <c r="J646" s="1" t="s">
        <v>82</v>
      </c>
      <c r="K646" s="1" t="s">
        <v>12392</v>
      </c>
      <c r="L646" s="1" t="s">
        <v>12370</v>
      </c>
      <c r="M646" s="1">
        <v>1.429</v>
      </c>
      <c r="O646" s="1" t="s">
        <v>82</v>
      </c>
      <c r="P646" s="1" t="s">
        <v>82</v>
      </c>
      <c r="Q646" s="1" t="s">
        <v>87</v>
      </c>
      <c r="R646" s="1" t="s">
        <v>115</v>
      </c>
      <c r="S646" s="1" t="s">
        <v>82</v>
      </c>
      <c r="T646" s="1" t="s">
        <v>82</v>
      </c>
      <c r="U646" s="1" t="s">
        <v>82</v>
      </c>
      <c r="V646" s="1" t="s">
        <v>82</v>
      </c>
      <c r="W646" s="1" t="s">
        <v>82</v>
      </c>
      <c r="X646" s="1" t="s">
        <v>12393</v>
      </c>
      <c r="Y646" s="1" t="s">
        <v>12394</v>
      </c>
      <c r="Z646" s="1" t="s">
        <v>12395</v>
      </c>
      <c r="AB646" s="1" t="s">
        <v>12396</v>
      </c>
      <c r="AC646" s="1" t="s">
        <v>12397</v>
      </c>
      <c r="AD646" s="1" t="s">
        <v>206</v>
      </c>
      <c r="AE646" s="1" t="s">
        <v>3632</v>
      </c>
      <c r="AF646" s="1" t="s">
        <v>12398</v>
      </c>
      <c r="AG646" s="1" t="s">
        <v>12399</v>
      </c>
      <c r="AH646" s="1" t="s">
        <v>12400</v>
      </c>
      <c r="AI646" s="1" t="s">
        <v>82</v>
      </c>
      <c r="AJ646" s="1" t="s">
        <v>12401</v>
      </c>
      <c r="AK646" s="1" t="s">
        <v>442</v>
      </c>
      <c r="AL646" s="1" t="s">
        <v>12402</v>
      </c>
      <c r="AM646" s="1" t="s">
        <v>82</v>
      </c>
      <c r="AN646" s="1">
        <v>24</v>
      </c>
      <c r="AO646" s="1">
        <v>0</v>
      </c>
      <c r="AP646" s="1">
        <v>0</v>
      </c>
      <c r="AQ646" s="1">
        <v>1</v>
      </c>
      <c r="AR646" s="1">
        <v>1</v>
      </c>
      <c r="AS646" s="1" t="s">
        <v>12403</v>
      </c>
      <c r="AT646" s="1" t="s">
        <v>12381</v>
      </c>
      <c r="AU646" s="1" t="s">
        <v>12404</v>
      </c>
      <c r="AV646" s="1" t="s">
        <v>12383</v>
      </c>
      <c r="AW646" s="1" t="s">
        <v>12384</v>
      </c>
      <c r="AX646" s="1" t="s">
        <v>82</v>
      </c>
      <c r="AY646" s="1" t="s">
        <v>12385</v>
      </c>
      <c r="AZ646" s="1" t="s">
        <v>12386</v>
      </c>
      <c r="BA646" s="1" t="s">
        <v>82</v>
      </c>
      <c r="BB646" s="1">
        <v>2022</v>
      </c>
      <c r="BC646" s="1">
        <v>46</v>
      </c>
      <c r="BD646" s="1">
        <v>1</v>
      </c>
      <c r="BE646" s="1" t="s">
        <v>82</v>
      </c>
      <c r="BF646" s="1" t="s">
        <v>82</v>
      </c>
      <c r="BG646" s="1" t="s">
        <v>82</v>
      </c>
      <c r="BH646" s="1" t="s">
        <v>82</v>
      </c>
      <c r="BI646" s="1">
        <v>80</v>
      </c>
      <c r="BJ646" s="1">
        <v>91</v>
      </c>
      <c r="BK646" s="1" t="s">
        <v>82</v>
      </c>
      <c r="BL646" s="1" t="s">
        <v>12405</v>
      </c>
      <c r="BM646" s="1" t="str">
        <f>HYPERLINK("http://dx.doi.org/10.3906/bot-2106-1","http://dx.doi.org/10.3906/bot-2106-1")</f>
        <v>http://dx.doi.org/10.3906/bot-2106-1</v>
      </c>
      <c r="BN646" s="1" t="s">
        <v>82</v>
      </c>
      <c r="BO646" s="1" t="s">
        <v>82</v>
      </c>
      <c r="BP646" s="1">
        <v>12</v>
      </c>
      <c r="BQ646" s="1" t="s">
        <v>378</v>
      </c>
      <c r="BR646" s="1" t="s">
        <v>104</v>
      </c>
      <c r="BS646" s="1" t="s">
        <v>378</v>
      </c>
      <c r="BT646" s="1" t="s">
        <v>12406</v>
      </c>
      <c r="BU646" s="1" t="s">
        <v>82</v>
      </c>
      <c r="BV646" s="1" t="s">
        <v>82</v>
      </c>
      <c r="BW646" s="1" t="s">
        <v>82</v>
      </c>
      <c r="BX646" s="1" t="s">
        <v>82</v>
      </c>
      <c r="BY646" s="1" t="s">
        <v>108</v>
      </c>
      <c r="BZ646" s="1" t="s">
        <v>12407</v>
      </c>
      <c r="CA646" s="1" t="str">
        <f>HYPERLINK("https%3A%2F%2Fwww.webofscience.com%2Fwos%2Fwoscc%2Ffull-record%2FWOS:000751657400001","View Full Record in Web of Science")</f>
        <v>View Full Record in Web of Science</v>
      </c>
    </row>
    <row r="647" s="1" customFormat="1" ht="14.4" spans="1:79">
      <c r="A647">
        <v>646</v>
      </c>
      <c r="B647" s="2" t="s">
        <v>110</v>
      </c>
      <c r="C647" s="1" t="s">
        <v>80</v>
      </c>
      <c r="D647" s="1" t="s">
        <v>12408</v>
      </c>
      <c r="E647" s="1" t="s">
        <v>82</v>
      </c>
      <c r="F647" s="1" t="s">
        <v>82</v>
      </c>
      <c r="G647" s="1" t="s">
        <v>82</v>
      </c>
      <c r="H647" s="1" t="s">
        <v>12409</v>
      </c>
      <c r="I647" s="1" t="s">
        <v>82</v>
      </c>
      <c r="J647" s="1" t="s">
        <v>82</v>
      </c>
      <c r="K647" s="1" t="s">
        <v>12410</v>
      </c>
      <c r="L647" s="1" t="s">
        <v>12411</v>
      </c>
      <c r="M647" s="1">
        <v>1.407</v>
      </c>
      <c r="O647" s="1" t="s">
        <v>82</v>
      </c>
      <c r="P647" s="1" t="s">
        <v>82</v>
      </c>
      <c r="Q647" s="1" t="s">
        <v>87</v>
      </c>
      <c r="R647" s="1" t="s">
        <v>115</v>
      </c>
      <c r="S647" s="1" t="s">
        <v>82</v>
      </c>
      <c r="T647" s="1" t="s">
        <v>82</v>
      </c>
      <c r="U647" s="1" t="s">
        <v>82</v>
      </c>
      <c r="V647" s="1" t="s">
        <v>82</v>
      </c>
      <c r="W647" s="1" t="s">
        <v>82</v>
      </c>
      <c r="X647" s="1" t="s">
        <v>12412</v>
      </c>
      <c r="Y647" s="1" t="s">
        <v>12413</v>
      </c>
      <c r="Z647" s="1" t="s">
        <v>12414</v>
      </c>
      <c r="AB647" s="1" t="s">
        <v>12415</v>
      </c>
      <c r="AC647" s="1" t="s">
        <v>12416</v>
      </c>
      <c r="AD647" s="1" t="s">
        <v>206</v>
      </c>
      <c r="AE647" s="1" t="s">
        <v>12417</v>
      </c>
      <c r="AF647" s="1" t="s">
        <v>12418</v>
      </c>
      <c r="AG647" s="1" t="s">
        <v>12419</v>
      </c>
      <c r="AH647" s="1" t="s">
        <v>82</v>
      </c>
      <c r="AI647" s="1" t="s">
        <v>82</v>
      </c>
      <c r="AJ647" s="1" t="s">
        <v>12420</v>
      </c>
      <c r="AK647" s="1" t="s">
        <v>12421</v>
      </c>
      <c r="AL647" s="1" t="s">
        <v>12422</v>
      </c>
      <c r="AM647" s="1" t="s">
        <v>82</v>
      </c>
      <c r="AN647" s="1">
        <v>19</v>
      </c>
      <c r="AO647" s="1">
        <v>0</v>
      </c>
      <c r="AP647" s="1">
        <v>0</v>
      </c>
      <c r="AQ647" s="1">
        <v>3</v>
      </c>
      <c r="AR647" s="1">
        <v>4</v>
      </c>
      <c r="AS647" s="1" t="s">
        <v>12423</v>
      </c>
      <c r="AT647" s="1" t="s">
        <v>12424</v>
      </c>
      <c r="AU647" s="1" t="s">
        <v>12425</v>
      </c>
      <c r="AV647" s="1" t="s">
        <v>12426</v>
      </c>
      <c r="AW647" s="1" t="s">
        <v>12427</v>
      </c>
      <c r="AX647" s="1" t="s">
        <v>82</v>
      </c>
      <c r="AY647" s="1" t="s">
        <v>12428</v>
      </c>
      <c r="AZ647" s="1" t="s">
        <v>12429</v>
      </c>
      <c r="BA647" s="1" t="s">
        <v>82</v>
      </c>
      <c r="BB647" s="1">
        <v>2022</v>
      </c>
      <c r="BC647" s="1">
        <v>91</v>
      </c>
      <c r="BD647" s="1">
        <v>8</v>
      </c>
      <c r="BE647" s="1" t="s">
        <v>82</v>
      </c>
      <c r="BF647" s="1" t="s">
        <v>82</v>
      </c>
      <c r="BG647" s="1" t="s">
        <v>82</v>
      </c>
      <c r="BH647" s="1" t="s">
        <v>82</v>
      </c>
      <c r="BI647" s="1">
        <v>1809</v>
      </c>
      <c r="BJ647" s="1">
        <v>1816</v>
      </c>
      <c r="BK647" s="1" t="s">
        <v>82</v>
      </c>
      <c r="BL647" s="1" t="s">
        <v>12430</v>
      </c>
      <c r="BM647" s="1" t="str">
        <f>HYPERLINK("http://dx.doi.org/10.32604/phyton.2022.020935","http://dx.doi.org/10.32604/phyton.2022.020935")</f>
        <v>http://dx.doi.org/10.32604/phyton.2022.020935</v>
      </c>
      <c r="BN647" s="1" t="s">
        <v>82</v>
      </c>
      <c r="BO647" s="1" t="s">
        <v>82</v>
      </c>
      <c r="BP647" s="1">
        <v>8</v>
      </c>
      <c r="BQ647" s="1" t="s">
        <v>378</v>
      </c>
      <c r="BR647" s="1" t="s">
        <v>104</v>
      </c>
      <c r="BS647" s="1" t="s">
        <v>378</v>
      </c>
      <c r="BT647" s="1" t="s">
        <v>12431</v>
      </c>
      <c r="BU647" s="1" t="s">
        <v>82</v>
      </c>
      <c r="BV647" s="1" t="s">
        <v>808</v>
      </c>
      <c r="BW647" s="1" t="s">
        <v>82</v>
      </c>
      <c r="BX647" s="1" t="s">
        <v>82</v>
      </c>
      <c r="BY647" s="1" t="s">
        <v>108</v>
      </c>
      <c r="BZ647" s="1" t="s">
        <v>12432</v>
      </c>
      <c r="CA647" s="1" t="str">
        <f>HYPERLINK("https%3A%2F%2Fwww.webofscience.com%2Fwos%2Fwoscc%2Ffull-record%2FWOS:000789076500005","View Full Record in Web of Science")</f>
        <v>View Full Record in Web of Science</v>
      </c>
    </row>
    <row r="648" s="1" customFormat="1" ht="14.4" spans="1:79">
      <c r="A648">
        <v>647</v>
      </c>
      <c r="B648" s="2" t="s">
        <v>79</v>
      </c>
      <c r="C648" s="1" t="s">
        <v>80</v>
      </c>
      <c r="D648" s="1" t="s">
        <v>12433</v>
      </c>
      <c r="E648" s="1" t="s">
        <v>82</v>
      </c>
      <c r="F648" s="1" t="s">
        <v>82</v>
      </c>
      <c r="G648" s="1" t="s">
        <v>82</v>
      </c>
      <c r="H648" s="1" t="s">
        <v>12434</v>
      </c>
      <c r="I648" s="1" t="s">
        <v>82</v>
      </c>
      <c r="J648" s="1" t="s">
        <v>82</v>
      </c>
      <c r="K648" s="1" t="s">
        <v>12435</v>
      </c>
      <c r="L648" s="1" t="s">
        <v>12436</v>
      </c>
      <c r="M648" s="1">
        <v>1.398</v>
      </c>
      <c r="O648" s="1" t="s">
        <v>82</v>
      </c>
      <c r="P648" s="1" t="s">
        <v>82</v>
      </c>
      <c r="Q648" s="1" t="s">
        <v>87</v>
      </c>
      <c r="R648" s="1" t="s">
        <v>115</v>
      </c>
      <c r="S648" s="1" t="s">
        <v>82</v>
      </c>
      <c r="T648" s="1" t="s">
        <v>82</v>
      </c>
      <c r="U648" s="1" t="s">
        <v>82</v>
      </c>
      <c r="V648" s="1" t="s">
        <v>82</v>
      </c>
      <c r="W648" s="1" t="s">
        <v>82</v>
      </c>
      <c r="X648" s="1" t="s">
        <v>12437</v>
      </c>
      <c r="Y648" s="1" t="s">
        <v>12438</v>
      </c>
      <c r="Z648" s="1" t="s">
        <v>12439</v>
      </c>
      <c r="AB648" s="1" t="s">
        <v>11577</v>
      </c>
      <c r="AC648" s="1" t="s">
        <v>12440</v>
      </c>
      <c r="AD648" s="1" t="s">
        <v>120</v>
      </c>
      <c r="AE648" s="1" t="s">
        <v>12441</v>
      </c>
      <c r="AF648" s="1" t="s">
        <v>11580</v>
      </c>
      <c r="AG648" s="1" t="s">
        <v>12442</v>
      </c>
      <c r="AH648" s="1" t="s">
        <v>82</v>
      </c>
      <c r="AI648" s="1" t="s">
        <v>82</v>
      </c>
      <c r="AJ648" s="1" t="s">
        <v>12443</v>
      </c>
      <c r="AK648" s="1" t="s">
        <v>12444</v>
      </c>
      <c r="AL648" s="1" t="s">
        <v>12445</v>
      </c>
      <c r="AM648" s="1" t="s">
        <v>82</v>
      </c>
      <c r="AN648" s="1">
        <v>80</v>
      </c>
      <c r="AO648" s="1">
        <v>0</v>
      </c>
      <c r="AP648" s="1">
        <v>0</v>
      </c>
      <c r="AQ648" s="1">
        <v>1</v>
      </c>
      <c r="AR648" s="1">
        <v>1</v>
      </c>
      <c r="AS648" s="1" t="s">
        <v>12446</v>
      </c>
      <c r="AT648" s="1" t="s">
        <v>12447</v>
      </c>
      <c r="AU648" s="1" t="s">
        <v>12448</v>
      </c>
      <c r="AV648" s="1" t="s">
        <v>82</v>
      </c>
      <c r="AW648" s="1" t="s">
        <v>12449</v>
      </c>
      <c r="AX648" s="1" t="s">
        <v>82</v>
      </c>
      <c r="AY648" s="1" t="s">
        <v>12450</v>
      </c>
      <c r="AZ648" s="1" t="s">
        <v>12451</v>
      </c>
      <c r="BA648" s="1" t="s">
        <v>7011</v>
      </c>
      <c r="BB648" s="1">
        <v>2022</v>
      </c>
      <c r="BC648" s="1">
        <v>847</v>
      </c>
      <c r="BD648" s="1" t="s">
        <v>82</v>
      </c>
      <c r="BE648" s="1" t="s">
        <v>82</v>
      </c>
      <c r="BF648" s="1" t="s">
        <v>82</v>
      </c>
      <c r="BG648" s="1" t="s">
        <v>82</v>
      </c>
      <c r="BH648" s="1" t="s">
        <v>82</v>
      </c>
      <c r="BI648" s="1">
        <v>46</v>
      </c>
      <c r="BJ648" s="1">
        <v>72</v>
      </c>
      <c r="BK648" s="1" t="s">
        <v>82</v>
      </c>
      <c r="BL648" s="1" t="s">
        <v>12452</v>
      </c>
      <c r="BM648" s="1" t="str">
        <f>HYPERLINK("http://dx.doi.org/10.5852/ejt.2022.847.1981","http://dx.doi.org/10.5852/ejt.2022.847.1981")</f>
        <v>http://dx.doi.org/10.5852/ejt.2022.847.1981</v>
      </c>
      <c r="BN648" s="1" t="s">
        <v>82</v>
      </c>
      <c r="BO648" s="1" t="s">
        <v>82</v>
      </c>
      <c r="BP648" s="1">
        <v>27</v>
      </c>
      <c r="BQ648" s="1" t="s">
        <v>12453</v>
      </c>
      <c r="BR648" s="1" t="s">
        <v>104</v>
      </c>
      <c r="BS648" s="1" t="s">
        <v>12453</v>
      </c>
      <c r="BT648" s="1" t="s">
        <v>12454</v>
      </c>
      <c r="BU648" s="1" t="s">
        <v>82</v>
      </c>
      <c r="BV648" s="1" t="s">
        <v>592</v>
      </c>
      <c r="BW648" s="1" t="s">
        <v>82</v>
      </c>
      <c r="BX648" s="1" t="s">
        <v>82</v>
      </c>
      <c r="BY648" s="1" t="s">
        <v>108</v>
      </c>
      <c r="BZ648" s="1" t="s">
        <v>12455</v>
      </c>
      <c r="CA648" s="1" t="str">
        <f>HYPERLINK("https%3A%2F%2Fwww.webofscience.com%2Fwos%2Fwoscc%2Ffull-record%2FWOS:000898681600001","View Full Record in Web of Science")</f>
        <v>View Full Record in Web of Science</v>
      </c>
    </row>
    <row r="649" s="1" customFormat="1" ht="14.4" spans="1:79">
      <c r="A649">
        <v>648</v>
      </c>
      <c r="B649" s="2" t="s">
        <v>79</v>
      </c>
      <c r="C649" s="1" t="s">
        <v>80</v>
      </c>
      <c r="D649" s="1" t="s">
        <v>12456</v>
      </c>
      <c r="E649" s="1" t="s">
        <v>82</v>
      </c>
      <c r="F649" s="1" t="s">
        <v>82</v>
      </c>
      <c r="G649" s="1" t="s">
        <v>82</v>
      </c>
      <c r="H649" s="1" t="s">
        <v>12457</v>
      </c>
      <c r="I649" s="1" t="s">
        <v>82</v>
      </c>
      <c r="J649" s="1" t="s">
        <v>82</v>
      </c>
      <c r="K649" s="1" t="s">
        <v>12458</v>
      </c>
      <c r="L649" s="1" t="s">
        <v>12459</v>
      </c>
      <c r="M649" s="1">
        <v>1.375</v>
      </c>
      <c r="O649" s="1" t="s">
        <v>82</v>
      </c>
      <c r="P649" s="1" t="s">
        <v>82</v>
      </c>
      <c r="Q649" s="1" t="s">
        <v>87</v>
      </c>
      <c r="R649" s="1" t="s">
        <v>115</v>
      </c>
      <c r="S649" s="1" t="s">
        <v>82</v>
      </c>
      <c r="T649" s="1" t="s">
        <v>82</v>
      </c>
      <c r="U649" s="1" t="s">
        <v>82</v>
      </c>
      <c r="V649" s="1" t="s">
        <v>82</v>
      </c>
      <c r="W649" s="1" t="s">
        <v>82</v>
      </c>
      <c r="X649" s="1" t="s">
        <v>12460</v>
      </c>
      <c r="Y649" s="1" t="s">
        <v>12461</v>
      </c>
      <c r="Z649" s="1" t="s">
        <v>12462</v>
      </c>
      <c r="AB649" s="1" t="s">
        <v>12463</v>
      </c>
      <c r="AC649" s="1" t="s">
        <v>12464</v>
      </c>
      <c r="AD649" s="1" t="s">
        <v>206</v>
      </c>
      <c r="AE649" s="1" t="s">
        <v>12465</v>
      </c>
      <c r="AF649" s="1" t="s">
        <v>12466</v>
      </c>
      <c r="AG649" s="1" t="s">
        <v>12467</v>
      </c>
      <c r="AH649" s="1" t="s">
        <v>12468</v>
      </c>
      <c r="AI649" s="1" t="s">
        <v>12469</v>
      </c>
      <c r="AJ649" s="1" t="s">
        <v>12470</v>
      </c>
      <c r="AK649" s="1" t="s">
        <v>12471</v>
      </c>
      <c r="AL649" s="1" t="s">
        <v>12472</v>
      </c>
      <c r="AM649" s="1" t="s">
        <v>82</v>
      </c>
      <c r="AN649" s="1">
        <v>41</v>
      </c>
      <c r="AO649" s="1">
        <v>0</v>
      </c>
      <c r="AP649" s="1">
        <v>0</v>
      </c>
      <c r="AQ649" s="1">
        <v>3</v>
      </c>
      <c r="AR649" s="1">
        <v>6</v>
      </c>
      <c r="AS649" s="1" t="s">
        <v>12473</v>
      </c>
      <c r="AT649" s="1" t="s">
        <v>12474</v>
      </c>
      <c r="AU649" s="1" t="s">
        <v>12475</v>
      </c>
      <c r="AV649" s="1" t="s">
        <v>12476</v>
      </c>
      <c r="AW649" s="1" t="s">
        <v>12477</v>
      </c>
      <c r="AX649" s="1" t="s">
        <v>82</v>
      </c>
      <c r="AY649" s="1" t="s">
        <v>12478</v>
      </c>
      <c r="AZ649" s="1" t="s">
        <v>12479</v>
      </c>
      <c r="BA649" s="1" t="s">
        <v>397</v>
      </c>
      <c r="BB649" s="1">
        <v>2022</v>
      </c>
      <c r="BC649" s="1">
        <v>102</v>
      </c>
      <c r="BD649" s="1">
        <v>1</v>
      </c>
      <c r="BE649" s="1" t="s">
        <v>82</v>
      </c>
      <c r="BF649" s="1" t="s">
        <v>82</v>
      </c>
      <c r="BG649" s="1" t="s">
        <v>82</v>
      </c>
      <c r="BH649" s="1" t="s">
        <v>82</v>
      </c>
      <c r="BI649" s="1">
        <v>207</v>
      </c>
      <c r="BJ649" s="1">
        <v>215</v>
      </c>
      <c r="BK649" s="1" t="s">
        <v>82</v>
      </c>
      <c r="BL649" s="1" t="s">
        <v>12480</v>
      </c>
      <c r="BM649" s="1" t="str">
        <f>HYPERLINK("http://dx.doi.org/10.1139/cjps-2020-0302","http://dx.doi.org/10.1139/cjps-2020-0302")</f>
        <v>http://dx.doi.org/10.1139/cjps-2020-0302</v>
      </c>
      <c r="BN649" s="1" t="s">
        <v>82</v>
      </c>
      <c r="BO649" s="1" t="s">
        <v>82</v>
      </c>
      <c r="BP649" s="1">
        <v>9</v>
      </c>
      <c r="BQ649" s="1" t="s">
        <v>8077</v>
      </c>
      <c r="BR649" s="1" t="s">
        <v>104</v>
      </c>
      <c r="BS649" s="1" t="s">
        <v>6677</v>
      </c>
      <c r="BT649" s="1" t="s">
        <v>12481</v>
      </c>
      <c r="BU649" s="1" t="s">
        <v>82</v>
      </c>
      <c r="BV649" s="1" t="s">
        <v>353</v>
      </c>
      <c r="BW649" s="1" t="s">
        <v>82</v>
      </c>
      <c r="BX649" s="1" t="s">
        <v>82</v>
      </c>
      <c r="BY649" s="1" t="s">
        <v>108</v>
      </c>
      <c r="BZ649" s="1" t="s">
        <v>12482</v>
      </c>
      <c r="CA649" s="1" t="str">
        <f>HYPERLINK("https%3A%2F%2Fwww.webofscience.com%2Fwos%2Fwoscc%2Ffull-record%2FWOS:000754692500018","View Full Record in Web of Science")</f>
        <v>View Full Record in Web of Science</v>
      </c>
    </row>
    <row r="650" s="1" customFormat="1" ht="14.4" spans="1:79">
      <c r="A650">
        <v>649</v>
      </c>
      <c r="B650" s="2" t="s">
        <v>79</v>
      </c>
      <c r="C650" s="1" t="s">
        <v>80</v>
      </c>
      <c r="D650" s="1" t="s">
        <v>12483</v>
      </c>
      <c r="E650" s="1" t="s">
        <v>82</v>
      </c>
      <c r="F650" s="1" t="s">
        <v>82</v>
      </c>
      <c r="G650" s="1" t="s">
        <v>82</v>
      </c>
      <c r="H650" s="1" t="s">
        <v>12484</v>
      </c>
      <c r="I650" s="1" t="s">
        <v>82</v>
      </c>
      <c r="J650" s="1" t="s">
        <v>82</v>
      </c>
      <c r="K650" s="1" t="s">
        <v>12485</v>
      </c>
      <c r="L650" s="1" t="s">
        <v>12486</v>
      </c>
      <c r="M650" s="1">
        <v>1.361</v>
      </c>
      <c r="O650" s="1" t="s">
        <v>82</v>
      </c>
      <c r="P650" s="1" t="s">
        <v>82</v>
      </c>
      <c r="Q650" s="1" t="s">
        <v>87</v>
      </c>
      <c r="R650" s="1" t="s">
        <v>115</v>
      </c>
      <c r="S650" s="1" t="s">
        <v>82</v>
      </c>
      <c r="T650" s="1" t="s">
        <v>82</v>
      </c>
      <c r="U650" s="1" t="s">
        <v>82</v>
      </c>
      <c r="V650" s="1" t="s">
        <v>82</v>
      </c>
      <c r="W650" s="1" t="s">
        <v>82</v>
      </c>
      <c r="X650" s="1" t="s">
        <v>12487</v>
      </c>
      <c r="Y650" s="1" t="s">
        <v>12488</v>
      </c>
      <c r="Z650" s="1" t="s">
        <v>12489</v>
      </c>
      <c r="AA650" s="1">
        <v>1</v>
      </c>
      <c r="AB650" s="1" t="s">
        <v>579</v>
      </c>
      <c r="AC650" s="1" t="s">
        <v>12490</v>
      </c>
      <c r="AD650" s="1" t="s">
        <v>93</v>
      </c>
      <c r="AE650" s="1" t="s">
        <v>12491</v>
      </c>
      <c r="AF650" s="1" t="s">
        <v>12492</v>
      </c>
      <c r="AG650" s="1" t="s">
        <v>12493</v>
      </c>
      <c r="AH650" s="1" t="s">
        <v>584</v>
      </c>
      <c r="AI650" s="1" t="s">
        <v>82</v>
      </c>
      <c r="AJ650" s="1" t="s">
        <v>12494</v>
      </c>
      <c r="AK650" s="1" t="s">
        <v>12495</v>
      </c>
      <c r="AL650" s="1" t="s">
        <v>12496</v>
      </c>
      <c r="AM650" s="1" t="s">
        <v>82</v>
      </c>
      <c r="AN650" s="1">
        <v>63</v>
      </c>
      <c r="AO650" s="1">
        <v>1</v>
      </c>
      <c r="AP650" s="1">
        <v>1</v>
      </c>
      <c r="AQ650" s="1">
        <v>8</v>
      </c>
      <c r="AR650" s="1">
        <v>13</v>
      </c>
      <c r="AS650" s="1" t="s">
        <v>12473</v>
      </c>
      <c r="AT650" s="1" t="s">
        <v>12474</v>
      </c>
      <c r="AU650" s="1" t="s">
        <v>12475</v>
      </c>
      <c r="AV650" s="1" t="s">
        <v>12497</v>
      </c>
      <c r="AW650" s="1" t="s">
        <v>12498</v>
      </c>
      <c r="AX650" s="1" t="s">
        <v>82</v>
      </c>
      <c r="AY650" s="1" t="s">
        <v>12486</v>
      </c>
      <c r="AZ650" s="1" t="s">
        <v>12499</v>
      </c>
      <c r="BA650" s="1" t="s">
        <v>1403</v>
      </c>
      <c r="BB650" s="1">
        <v>2022</v>
      </c>
      <c r="BC650" s="1">
        <v>100</v>
      </c>
      <c r="BD650" s="1">
        <v>7</v>
      </c>
      <c r="BE650" s="1" t="s">
        <v>82</v>
      </c>
      <c r="BF650" s="1" t="s">
        <v>82</v>
      </c>
      <c r="BG650" s="1" t="s">
        <v>82</v>
      </c>
      <c r="BH650" s="1" t="s">
        <v>82</v>
      </c>
      <c r="BI650" s="1">
        <v>519</v>
      </c>
      <c r="BJ650" s="1">
        <v>532</v>
      </c>
      <c r="BK650" s="1" t="s">
        <v>82</v>
      </c>
      <c r="BL650" s="1" t="s">
        <v>12500</v>
      </c>
      <c r="BM650" s="1" t="str">
        <f>HYPERLINK("http://dx.doi.org/10.1139/cjb-2020-0227","http://dx.doi.org/10.1139/cjb-2020-0227")</f>
        <v>http://dx.doi.org/10.1139/cjb-2020-0227</v>
      </c>
      <c r="BN650" s="1" t="s">
        <v>82</v>
      </c>
      <c r="BO650" s="1" t="s">
        <v>267</v>
      </c>
      <c r="BP650" s="1">
        <v>14</v>
      </c>
      <c r="BQ650" s="1" t="s">
        <v>378</v>
      </c>
      <c r="BR650" s="1" t="s">
        <v>104</v>
      </c>
      <c r="BS650" s="1" t="s">
        <v>378</v>
      </c>
      <c r="BT650" s="1" t="s">
        <v>12501</v>
      </c>
      <c r="BU650" s="1" t="s">
        <v>82</v>
      </c>
      <c r="BV650" s="1" t="s">
        <v>82</v>
      </c>
      <c r="BW650" s="1" t="s">
        <v>82</v>
      </c>
      <c r="BX650" s="1" t="s">
        <v>82</v>
      </c>
      <c r="BY650" s="1" t="s">
        <v>108</v>
      </c>
      <c r="BZ650" s="1" t="s">
        <v>12502</v>
      </c>
      <c r="CA650" s="1" t="str">
        <f>HYPERLINK("https%3A%2F%2Fwww.webofscience.com%2Fwos%2Fwoscc%2Ffull-record%2FWOS:000791428300001","View Full Record in Web of Science")</f>
        <v>View Full Record in Web of Science</v>
      </c>
    </row>
    <row r="651" s="1" customFormat="1" ht="14.4" spans="1:79">
      <c r="A651">
        <v>650</v>
      </c>
      <c r="B651" t="s">
        <v>79</v>
      </c>
      <c r="C651" t="s">
        <v>80</v>
      </c>
      <c r="D651" t="s">
        <v>12503</v>
      </c>
      <c r="E651" t="s">
        <v>82</v>
      </c>
      <c r="F651" t="s">
        <v>82</v>
      </c>
      <c r="G651" t="s">
        <v>82</v>
      </c>
      <c r="H651" t="s">
        <v>12504</v>
      </c>
      <c r="I651" t="s">
        <v>82</v>
      </c>
      <c r="J651" t="s">
        <v>82</v>
      </c>
      <c r="K651" t="s">
        <v>12505</v>
      </c>
      <c r="L651" t="s">
        <v>12506</v>
      </c>
      <c r="M651">
        <v>1.333</v>
      </c>
      <c r="N651"/>
      <c r="O651" t="s">
        <v>82</v>
      </c>
      <c r="P651" t="s">
        <v>82</v>
      </c>
      <c r="Q651" t="s">
        <v>87</v>
      </c>
      <c r="R651" t="s">
        <v>115</v>
      </c>
      <c r="S651" t="s">
        <v>82</v>
      </c>
      <c r="T651" t="s">
        <v>82</v>
      </c>
      <c r="U651" t="s">
        <v>82</v>
      </c>
      <c r="V651" t="s">
        <v>82</v>
      </c>
      <c r="W651" t="s">
        <v>82</v>
      </c>
      <c r="X651" t="s">
        <v>12507</v>
      </c>
      <c r="Y651" t="s">
        <v>12508</v>
      </c>
      <c r="Z651" t="s">
        <v>12509</v>
      </c>
      <c r="AA651"/>
      <c r="AB651" t="s">
        <v>12510</v>
      </c>
      <c r="AC651" t="s">
        <v>12511</v>
      </c>
      <c r="AD651" s="1" t="s">
        <v>120</v>
      </c>
      <c r="AE651" t="s">
        <v>12512</v>
      </c>
      <c r="AF651" t="s">
        <v>12513</v>
      </c>
      <c r="AG651" t="s">
        <v>12514</v>
      </c>
      <c r="AH651" t="s">
        <v>82</v>
      </c>
      <c r="AI651" t="s">
        <v>82</v>
      </c>
      <c r="AJ651" t="s">
        <v>82</v>
      </c>
      <c r="AK651" t="s">
        <v>82</v>
      </c>
      <c r="AL651" t="s">
        <v>82</v>
      </c>
      <c r="AM651" t="s">
        <v>82</v>
      </c>
      <c r="AN651">
        <v>82</v>
      </c>
      <c r="AO651">
        <v>0</v>
      </c>
      <c r="AP651">
        <v>0</v>
      </c>
      <c r="AQ651">
        <v>0</v>
      </c>
      <c r="AR651">
        <v>0</v>
      </c>
      <c r="AS651" t="s">
        <v>12515</v>
      </c>
      <c r="AT651" t="s">
        <v>9696</v>
      </c>
      <c r="AU651" t="s">
        <v>12516</v>
      </c>
      <c r="AV651" t="s">
        <v>12517</v>
      </c>
      <c r="AW651" t="s">
        <v>12518</v>
      </c>
      <c r="AX651" t="s">
        <v>82</v>
      </c>
      <c r="AY651" t="s">
        <v>12506</v>
      </c>
      <c r="AZ651" t="s">
        <v>12519</v>
      </c>
      <c r="BA651" t="s">
        <v>82</v>
      </c>
      <c r="BB651">
        <v>2022</v>
      </c>
      <c r="BC651">
        <v>63</v>
      </c>
      <c r="BD651">
        <v>5</v>
      </c>
      <c r="BE651" t="s">
        <v>82</v>
      </c>
      <c r="BF651" t="s">
        <v>82</v>
      </c>
      <c r="BG651" t="s">
        <v>82</v>
      </c>
      <c r="BH651" t="s">
        <v>82</v>
      </c>
      <c r="BI651">
        <v>197</v>
      </c>
      <c r="BJ651">
        <v>214</v>
      </c>
      <c r="BK651" t="s">
        <v>82</v>
      </c>
      <c r="BL651" t="s">
        <v>12520</v>
      </c>
      <c r="BM651" t="s">
        <v>12521</v>
      </c>
      <c r="BN651" t="s">
        <v>82</v>
      </c>
      <c r="BO651" t="s">
        <v>82</v>
      </c>
      <c r="BP651">
        <v>18</v>
      </c>
      <c r="BQ651" t="s">
        <v>225</v>
      </c>
      <c r="BR651" t="s">
        <v>104</v>
      </c>
      <c r="BS651" t="s">
        <v>225</v>
      </c>
      <c r="BT651" t="s">
        <v>12522</v>
      </c>
      <c r="BU651" t="s">
        <v>82</v>
      </c>
      <c r="BV651" t="s">
        <v>808</v>
      </c>
      <c r="BW651" t="s">
        <v>82</v>
      </c>
      <c r="BX651" t="s">
        <v>82</v>
      </c>
      <c r="BY651" t="s">
        <v>340</v>
      </c>
      <c r="BZ651" t="s">
        <v>12523</v>
      </c>
      <c r="CA651" t="s">
        <v>342</v>
      </c>
    </row>
    <row r="652" s="1" customFormat="1" ht="14.4" spans="1:79">
      <c r="A652">
        <v>651</v>
      </c>
      <c r="B652" s="2" t="s">
        <v>79</v>
      </c>
      <c r="C652" s="1" t="s">
        <v>80</v>
      </c>
      <c r="D652" s="1" t="s">
        <v>12524</v>
      </c>
      <c r="E652" s="1" t="s">
        <v>82</v>
      </c>
      <c r="F652" s="1" t="s">
        <v>82</v>
      </c>
      <c r="G652" s="1" t="s">
        <v>82</v>
      </c>
      <c r="H652" s="1" t="s">
        <v>12525</v>
      </c>
      <c r="I652" s="1" t="s">
        <v>82</v>
      </c>
      <c r="J652" s="1" t="s">
        <v>82</v>
      </c>
      <c r="K652" s="1" t="s">
        <v>12526</v>
      </c>
      <c r="L652" s="1" t="s">
        <v>12506</v>
      </c>
      <c r="M652" s="1">
        <v>1.333</v>
      </c>
      <c r="O652" s="1" t="s">
        <v>82</v>
      </c>
      <c r="P652" s="1" t="s">
        <v>82</v>
      </c>
      <c r="Q652" s="1" t="s">
        <v>87</v>
      </c>
      <c r="R652" s="1" t="s">
        <v>115</v>
      </c>
      <c r="S652" s="1" t="s">
        <v>82</v>
      </c>
      <c r="T652" s="1" t="s">
        <v>82</v>
      </c>
      <c r="U652" s="1" t="s">
        <v>82</v>
      </c>
      <c r="V652" s="1" t="s">
        <v>82</v>
      </c>
      <c r="W652" s="1" t="s">
        <v>82</v>
      </c>
      <c r="X652" s="1" t="s">
        <v>12527</v>
      </c>
      <c r="Y652" s="1" t="s">
        <v>12528</v>
      </c>
      <c r="Z652" s="1" t="s">
        <v>12529</v>
      </c>
      <c r="AB652" s="1" t="s">
        <v>12530</v>
      </c>
      <c r="AC652" s="1" t="s">
        <v>12531</v>
      </c>
      <c r="AD652" s="1" t="s">
        <v>206</v>
      </c>
      <c r="AE652" s="1" t="s">
        <v>4787</v>
      </c>
      <c r="AF652" s="1" t="s">
        <v>12532</v>
      </c>
      <c r="AG652" s="1" t="s">
        <v>12533</v>
      </c>
      <c r="AH652" s="1" t="s">
        <v>82</v>
      </c>
      <c r="AI652" s="1" t="s">
        <v>82</v>
      </c>
      <c r="AJ652" s="1" t="s">
        <v>12534</v>
      </c>
      <c r="AK652" s="1" t="s">
        <v>5131</v>
      </c>
      <c r="AL652" s="1" t="s">
        <v>12535</v>
      </c>
      <c r="AM652" s="1" t="s">
        <v>82</v>
      </c>
      <c r="AN652" s="1">
        <v>53</v>
      </c>
      <c r="AO652" s="1">
        <v>0</v>
      </c>
      <c r="AP652" s="1">
        <v>0</v>
      </c>
      <c r="AQ652" s="1">
        <v>4</v>
      </c>
      <c r="AR652" s="1">
        <v>4</v>
      </c>
      <c r="AS652" s="1" t="s">
        <v>12515</v>
      </c>
      <c r="AT652" s="1" t="s">
        <v>9696</v>
      </c>
      <c r="AU652" s="1" t="s">
        <v>12516</v>
      </c>
      <c r="AV652" s="1" t="s">
        <v>12517</v>
      </c>
      <c r="AW652" s="1" t="s">
        <v>12518</v>
      </c>
      <c r="AX652" s="1" t="s">
        <v>82</v>
      </c>
      <c r="AY652" s="1" t="s">
        <v>12506</v>
      </c>
      <c r="AZ652" s="1" t="s">
        <v>12519</v>
      </c>
      <c r="BA652" s="1" t="s">
        <v>82</v>
      </c>
      <c r="BB652" s="1">
        <v>2022</v>
      </c>
      <c r="BC652" s="1">
        <v>63</v>
      </c>
      <c r="BD652" s="1">
        <v>2</v>
      </c>
      <c r="BE652" s="1" t="s">
        <v>82</v>
      </c>
      <c r="BF652" s="1" t="s">
        <v>82</v>
      </c>
      <c r="BG652" s="1" t="s">
        <v>82</v>
      </c>
      <c r="BH652" s="1" t="s">
        <v>82</v>
      </c>
      <c r="BI652" s="1">
        <v>65</v>
      </c>
      <c r="BJ652" s="1">
        <v>72</v>
      </c>
      <c r="BK652" s="1" t="s">
        <v>82</v>
      </c>
      <c r="BL652" s="1" t="s">
        <v>12536</v>
      </c>
      <c r="BM652" s="1" t="str">
        <f>HYPERLINK("http://dx.doi.org/10.47371/mycosci.2022.02.002","http://dx.doi.org/10.47371/mycosci.2022.02.002")</f>
        <v>http://dx.doi.org/10.47371/mycosci.2022.02.002</v>
      </c>
      <c r="BN652" s="1" t="s">
        <v>82</v>
      </c>
      <c r="BO652" s="1" t="s">
        <v>82</v>
      </c>
      <c r="BP652" s="1">
        <v>8</v>
      </c>
      <c r="BQ652" s="1" t="s">
        <v>225</v>
      </c>
      <c r="BR652" s="1" t="s">
        <v>104</v>
      </c>
      <c r="BS652" s="1" t="s">
        <v>225</v>
      </c>
      <c r="BT652" s="1" t="s">
        <v>12537</v>
      </c>
      <c r="BU652" s="1" t="s">
        <v>82</v>
      </c>
      <c r="BV652" s="1" t="s">
        <v>808</v>
      </c>
      <c r="BW652" s="1" t="s">
        <v>82</v>
      </c>
      <c r="BX652" s="1" t="s">
        <v>82</v>
      </c>
      <c r="BY652" s="1" t="s">
        <v>108</v>
      </c>
      <c r="BZ652" s="1" t="s">
        <v>12538</v>
      </c>
      <c r="CA652" s="1" t="str">
        <f>HYPERLINK("https%3A%2F%2Fwww.webofscience.com%2Fwos%2Fwoscc%2Ffull-record%2FWOS:000821800800002","View Full Record in Web of Science")</f>
        <v>View Full Record in Web of Science</v>
      </c>
    </row>
    <row r="653" s="1" customFormat="1" ht="14.4" spans="1:79">
      <c r="A653">
        <v>652</v>
      </c>
      <c r="B653" s="2" t="s">
        <v>79</v>
      </c>
      <c r="C653" s="1" t="s">
        <v>80</v>
      </c>
      <c r="D653" s="1" t="s">
        <v>12539</v>
      </c>
      <c r="E653" s="1" t="s">
        <v>82</v>
      </c>
      <c r="F653" s="1" t="s">
        <v>82</v>
      </c>
      <c r="G653" s="1" t="s">
        <v>82</v>
      </c>
      <c r="H653" s="1" t="s">
        <v>12540</v>
      </c>
      <c r="I653" s="1" t="s">
        <v>82</v>
      </c>
      <c r="J653" s="1" t="s">
        <v>82</v>
      </c>
      <c r="K653" s="1" t="s">
        <v>12541</v>
      </c>
      <c r="L653" s="1" t="s">
        <v>12542</v>
      </c>
      <c r="M653" s="1">
        <v>1.317</v>
      </c>
      <c r="O653" s="1" t="s">
        <v>82</v>
      </c>
      <c r="P653" s="1" t="s">
        <v>82</v>
      </c>
      <c r="Q653" s="1" t="s">
        <v>87</v>
      </c>
      <c r="R653" s="1" t="s">
        <v>115</v>
      </c>
      <c r="S653" s="1" t="s">
        <v>82</v>
      </c>
      <c r="T653" s="1" t="s">
        <v>82</v>
      </c>
      <c r="U653" s="1" t="s">
        <v>82</v>
      </c>
      <c r="V653" s="1" t="s">
        <v>82</v>
      </c>
      <c r="W653" s="1" t="s">
        <v>82</v>
      </c>
      <c r="X653" s="1" t="s">
        <v>12543</v>
      </c>
      <c r="Y653" s="1" t="s">
        <v>12544</v>
      </c>
      <c r="Z653" s="1" t="s">
        <v>12545</v>
      </c>
      <c r="AB653" s="1" t="s">
        <v>12546</v>
      </c>
      <c r="AC653" s="1" t="s">
        <v>12547</v>
      </c>
      <c r="AD653" s="1" t="s">
        <v>206</v>
      </c>
      <c r="AE653" s="1" t="s">
        <v>12548</v>
      </c>
      <c r="AF653" s="1" t="s">
        <v>12549</v>
      </c>
      <c r="AG653" s="1" t="s">
        <v>1609</v>
      </c>
      <c r="AH653" s="1" t="s">
        <v>82</v>
      </c>
      <c r="AI653" s="1" t="s">
        <v>82</v>
      </c>
      <c r="AJ653" s="1" t="s">
        <v>12550</v>
      </c>
      <c r="AK653" s="1" t="s">
        <v>12551</v>
      </c>
      <c r="AL653" s="1" t="s">
        <v>12552</v>
      </c>
      <c r="AM653" s="1" t="s">
        <v>82</v>
      </c>
      <c r="AN653" s="1">
        <v>28</v>
      </c>
      <c r="AO653" s="1">
        <v>0</v>
      </c>
      <c r="AP653" s="1">
        <v>0</v>
      </c>
      <c r="AQ653" s="1">
        <v>1</v>
      </c>
      <c r="AR653" s="1">
        <v>1</v>
      </c>
      <c r="AS653" s="1" t="s">
        <v>9830</v>
      </c>
      <c r="AT653" s="1" t="s">
        <v>9831</v>
      </c>
      <c r="AU653" s="1" t="s">
        <v>9832</v>
      </c>
      <c r="AV653" s="1" t="s">
        <v>12553</v>
      </c>
      <c r="AW653" s="1" t="s">
        <v>12554</v>
      </c>
      <c r="AX653" s="1" t="s">
        <v>82</v>
      </c>
      <c r="AY653" s="1" t="s">
        <v>12542</v>
      </c>
      <c r="AZ653" s="1" t="s">
        <v>12555</v>
      </c>
      <c r="BA653" s="1" t="s">
        <v>12556</v>
      </c>
      <c r="BB653" s="1">
        <v>2022</v>
      </c>
      <c r="BC653" s="1" t="s">
        <v>82</v>
      </c>
      <c r="BD653" s="1">
        <v>215</v>
      </c>
      <c r="BE653" s="1" t="s">
        <v>82</v>
      </c>
      <c r="BF653" s="1" t="s">
        <v>82</v>
      </c>
      <c r="BG653" s="1" t="s">
        <v>82</v>
      </c>
      <c r="BH653" s="1" t="s">
        <v>82</v>
      </c>
      <c r="BI653" s="1">
        <v>27</v>
      </c>
      <c r="BJ653" s="1">
        <v>36</v>
      </c>
      <c r="BK653" s="1" t="s">
        <v>82</v>
      </c>
      <c r="BL653" s="1" t="s">
        <v>12557</v>
      </c>
      <c r="BM653" s="1" t="str">
        <f>HYPERLINK("http://dx.doi.org/10.3897/phytokeys.215.94010","http://dx.doi.org/10.3897/phytokeys.215.94010")</f>
        <v>http://dx.doi.org/10.3897/phytokeys.215.94010</v>
      </c>
      <c r="BN653" s="1" t="s">
        <v>82</v>
      </c>
      <c r="BO653" s="1" t="s">
        <v>82</v>
      </c>
      <c r="BP653" s="1">
        <v>10</v>
      </c>
      <c r="BQ653" s="1" t="s">
        <v>378</v>
      </c>
      <c r="BR653" s="1" t="s">
        <v>104</v>
      </c>
      <c r="BS653" s="1" t="s">
        <v>378</v>
      </c>
      <c r="BT653" s="1" t="s">
        <v>12558</v>
      </c>
      <c r="BU653" s="1" t="s">
        <v>82</v>
      </c>
      <c r="BV653" s="1" t="s">
        <v>635</v>
      </c>
      <c r="BW653" s="1" t="s">
        <v>82</v>
      </c>
      <c r="BX653" s="1" t="s">
        <v>82</v>
      </c>
      <c r="BY653" s="1" t="s">
        <v>108</v>
      </c>
      <c r="BZ653" s="1" t="s">
        <v>12559</v>
      </c>
      <c r="CA653" s="1" t="str">
        <f>HYPERLINK("https%3A%2F%2Fwww.webofscience.com%2Fwos%2Fwoscc%2Ffull-record%2FWOS:000897548400001","View Full Record in Web of Science")</f>
        <v>View Full Record in Web of Science</v>
      </c>
    </row>
    <row r="654" s="1" customFormat="1" ht="14.4" spans="1:79">
      <c r="A654">
        <v>653</v>
      </c>
      <c r="B654" s="2" t="s">
        <v>79</v>
      </c>
      <c r="C654" s="1" t="s">
        <v>80</v>
      </c>
      <c r="D654" s="1" t="s">
        <v>12560</v>
      </c>
      <c r="E654" s="1" t="s">
        <v>82</v>
      </c>
      <c r="F654" s="1" t="s">
        <v>82</v>
      </c>
      <c r="G654" s="1" t="s">
        <v>82</v>
      </c>
      <c r="H654" s="1" t="s">
        <v>12561</v>
      </c>
      <c r="I654" s="1" t="s">
        <v>82</v>
      </c>
      <c r="J654" s="1" t="s">
        <v>82</v>
      </c>
      <c r="K654" s="1" t="s">
        <v>12562</v>
      </c>
      <c r="L654" s="1" t="s">
        <v>12542</v>
      </c>
      <c r="M654" s="1">
        <v>1.317</v>
      </c>
      <c r="O654" s="1" t="s">
        <v>82</v>
      </c>
      <c r="P654" s="1" t="s">
        <v>82</v>
      </c>
      <c r="Q654" s="1" t="s">
        <v>87</v>
      </c>
      <c r="R654" s="1" t="s">
        <v>115</v>
      </c>
      <c r="S654" s="1" t="s">
        <v>82</v>
      </c>
      <c r="T654" s="1" t="s">
        <v>82</v>
      </c>
      <c r="U654" s="1" t="s">
        <v>82</v>
      </c>
      <c r="V654" s="1" t="s">
        <v>82</v>
      </c>
      <c r="W654" s="1" t="s">
        <v>82</v>
      </c>
      <c r="X654" s="1" t="s">
        <v>12563</v>
      </c>
      <c r="Y654" s="1" t="s">
        <v>12564</v>
      </c>
      <c r="Z654" s="1" t="s">
        <v>12565</v>
      </c>
      <c r="AB654" s="1" t="s">
        <v>12566</v>
      </c>
      <c r="AC654" s="1" t="s">
        <v>12567</v>
      </c>
      <c r="AD654" s="1" t="s">
        <v>206</v>
      </c>
      <c r="AE654" s="1" t="s">
        <v>12568</v>
      </c>
      <c r="AF654" s="1" t="s">
        <v>12569</v>
      </c>
      <c r="AG654" s="1" t="s">
        <v>12570</v>
      </c>
      <c r="AH654" s="1" t="s">
        <v>82</v>
      </c>
      <c r="AI654" s="1" t="s">
        <v>82</v>
      </c>
      <c r="AJ654" s="1" t="s">
        <v>12571</v>
      </c>
      <c r="AK654" s="1" t="s">
        <v>12572</v>
      </c>
      <c r="AL654" s="1" t="s">
        <v>12573</v>
      </c>
      <c r="AM654" s="1" t="s">
        <v>82</v>
      </c>
      <c r="AN654" s="1">
        <v>34</v>
      </c>
      <c r="AO654" s="1">
        <v>0</v>
      </c>
      <c r="AP654" s="1">
        <v>0</v>
      </c>
      <c r="AQ654" s="1">
        <v>4</v>
      </c>
      <c r="AR654" s="1">
        <v>4</v>
      </c>
      <c r="AS654" s="1" t="s">
        <v>9830</v>
      </c>
      <c r="AT654" s="1" t="s">
        <v>9831</v>
      </c>
      <c r="AU654" s="1" t="s">
        <v>9832</v>
      </c>
      <c r="AV654" s="1" t="s">
        <v>12553</v>
      </c>
      <c r="AW654" s="1" t="s">
        <v>12554</v>
      </c>
      <c r="AX654" s="1" t="s">
        <v>82</v>
      </c>
      <c r="AY654" s="1" t="s">
        <v>12542</v>
      </c>
      <c r="AZ654" s="1" t="s">
        <v>12555</v>
      </c>
      <c r="BA654" s="1" t="s">
        <v>5314</v>
      </c>
      <c r="BB654" s="1">
        <v>2022</v>
      </c>
      <c r="BC654" s="1" t="s">
        <v>82</v>
      </c>
      <c r="BD654" s="1">
        <v>213</v>
      </c>
      <c r="BE654" s="1" t="s">
        <v>82</v>
      </c>
      <c r="BF654" s="1" t="s">
        <v>82</v>
      </c>
      <c r="BG654" s="1" t="s">
        <v>82</v>
      </c>
      <c r="BH654" s="1" t="s">
        <v>82</v>
      </c>
      <c r="BI654" s="1">
        <v>119</v>
      </c>
      <c r="BJ654" s="1">
        <v>130</v>
      </c>
      <c r="BK654" s="1" t="s">
        <v>82</v>
      </c>
      <c r="BL654" s="1" t="s">
        <v>12574</v>
      </c>
      <c r="BM654" s="1" t="str">
        <f>HYPERLINK("http://dx.doi.org/10.3897/phytokeys.213.84349","http://dx.doi.org/10.3897/phytokeys.213.84349")</f>
        <v>http://dx.doi.org/10.3897/phytokeys.213.84349</v>
      </c>
      <c r="BN654" s="1" t="s">
        <v>82</v>
      </c>
      <c r="BO654" s="1" t="s">
        <v>82</v>
      </c>
      <c r="BP654" s="1">
        <v>12</v>
      </c>
      <c r="BQ654" s="1" t="s">
        <v>378</v>
      </c>
      <c r="BR654" s="1" t="s">
        <v>104</v>
      </c>
      <c r="BS654" s="1" t="s">
        <v>378</v>
      </c>
      <c r="BT654" s="1" t="s">
        <v>12575</v>
      </c>
      <c r="BU654" s="1" t="s">
        <v>82</v>
      </c>
      <c r="BV654" s="1" t="s">
        <v>592</v>
      </c>
      <c r="BW654" s="1" t="s">
        <v>82</v>
      </c>
      <c r="BX654" s="1" t="s">
        <v>82</v>
      </c>
      <c r="BY654" s="1" t="s">
        <v>108</v>
      </c>
      <c r="BZ654" s="1" t="s">
        <v>12576</v>
      </c>
      <c r="CA654" s="1" t="str">
        <f>HYPERLINK("https%3A%2F%2Fwww.webofscience.com%2Fwos%2Fwoscc%2Ffull-record%2FWOS:000886066200001","View Full Record in Web of Science")</f>
        <v>View Full Record in Web of Science</v>
      </c>
    </row>
    <row r="655" s="1" customFormat="1" ht="14.4" spans="1:79">
      <c r="A655">
        <v>654</v>
      </c>
      <c r="B655" s="2" t="s">
        <v>79</v>
      </c>
      <c r="C655" s="1" t="s">
        <v>80</v>
      </c>
      <c r="D655" s="1" t="s">
        <v>12577</v>
      </c>
      <c r="E655" s="1" t="s">
        <v>82</v>
      </c>
      <c r="F655" s="1" t="s">
        <v>82</v>
      </c>
      <c r="G655" s="1" t="s">
        <v>82</v>
      </c>
      <c r="H655" s="1" t="s">
        <v>12578</v>
      </c>
      <c r="I655" s="1" t="s">
        <v>82</v>
      </c>
      <c r="J655" s="1" t="s">
        <v>82</v>
      </c>
      <c r="K655" s="1" t="s">
        <v>12579</v>
      </c>
      <c r="L655" s="1" t="s">
        <v>12542</v>
      </c>
      <c r="M655" s="1">
        <v>1.317</v>
      </c>
      <c r="O655" s="1" t="s">
        <v>82</v>
      </c>
      <c r="P655" s="1" t="s">
        <v>82</v>
      </c>
      <c r="Q655" s="1" t="s">
        <v>87</v>
      </c>
      <c r="R655" s="1" t="s">
        <v>115</v>
      </c>
      <c r="S655" s="1" t="s">
        <v>82</v>
      </c>
      <c r="T655" s="1" t="s">
        <v>82</v>
      </c>
      <c r="U655" s="1" t="s">
        <v>82</v>
      </c>
      <c r="V655" s="1" t="s">
        <v>82</v>
      </c>
      <c r="W655" s="1" t="s">
        <v>82</v>
      </c>
      <c r="X655" s="1" t="s">
        <v>12580</v>
      </c>
      <c r="Y655" s="1" t="s">
        <v>12581</v>
      </c>
      <c r="Z655" s="1" t="s">
        <v>12582</v>
      </c>
      <c r="AB655" s="1" t="s">
        <v>12583</v>
      </c>
      <c r="AC655" s="1" t="s">
        <v>12584</v>
      </c>
      <c r="AD655" s="1" t="s">
        <v>120</v>
      </c>
      <c r="AE655" s="1" t="s">
        <v>12585</v>
      </c>
      <c r="AF655" s="1" t="s">
        <v>12586</v>
      </c>
      <c r="AG655" s="1" t="s">
        <v>12587</v>
      </c>
      <c r="AH655" s="1" t="s">
        <v>82</v>
      </c>
      <c r="AI655" s="1" t="s">
        <v>82</v>
      </c>
      <c r="AJ655" s="1" t="s">
        <v>12588</v>
      </c>
      <c r="AK655" s="1" t="s">
        <v>12589</v>
      </c>
      <c r="AL655" s="1" t="s">
        <v>12590</v>
      </c>
      <c r="AM655" s="1" t="s">
        <v>82</v>
      </c>
      <c r="AN655" s="1">
        <v>31</v>
      </c>
      <c r="AO655" s="1">
        <v>1</v>
      </c>
      <c r="AP655" s="1">
        <v>1</v>
      </c>
      <c r="AQ655" s="1">
        <v>7</v>
      </c>
      <c r="AR655" s="1">
        <v>7</v>
      </c>
      <c r="AS655" s="1" t="s">
        <v>9830</v>
      </c>
      <c r="AT655" s="1" t="s">
        <v>9831</v>
      </c>
      <c r="AU655" s="1" t="s">
        <v>9832</v>
      </c>
      <c r="AV655" s="1" t="s">
        <v>12553</v>
      </c>
      <c r="AW655" s="1" t="s">
        <v>12554</v>
      </c>
      <c r="AX655" s="1" t="s">
        <v>82</v>
      </c>
      <c r="AY655" s="1" t="s">
        <v>12542</v>
      </c>
      <c r="AZ655" s="1" t="s">
        <v>12555</v>
      </c>
      <c r="BA655" s="1" t="s">
        <v>3032</v>
      </c>
      <c r="BB655" s="1">
        <v>2022</v>
      </c>
      <c r="BC655" s="1" t="s">
        <v>82</v>
      </c>
      <c r="BD655" s="1">
        <v>213</v>
      </c>
      <c r="BE655" s="1" t="s">
        <v>82</v>
      </c>
      <c r="BF655" s="1" t="s">
        <v>82</v>
      </c>
      <c r="BG655" s="1" t="s">
        <v>82</v>
      </c>
      <c r="BH655" s="1" t="s">
        <v>82</v>
      </c>
      <c r="BI655" s="1">
        <v>1</v>
      </c>
      <c r="BJ655" s="1">
        <v>18</v>
      </c>
      <c r="BK655" s="1" t="s">
        <v>82</v>
      </c>
      <c r="BL655" s="1" t="s">
        <v>12591</v>
      </c>
      <c r="BM655" s="1" t="str">
        <f>HYPERLINK("http://dx.doi.org/10.3897/phytokeys.213.90377","http://dx.doi.org/10.3897/phytokeys.213.90377")</f>
        <v>http://dx.doi.org/10.3897/phytokeys.213.90377</v>
      </c>
      <c r="BN655" s="1" t="s">
        <v>82</v>
      </c>
      <c r="BO655" s="1" t="s">
        <v>82</v>
      </c>
      <c r="BP655" s="1">
        <v>18</v>
      </c>
      <c r="BQ655" s="1" t="s">
        <v>378</v>
      </c>
      <c r="BR655" s="1" t="s">
        <v>104</v>
      </c>
      <c r="BS655" s="1" t="s">
        <v>378</v>
      </c>
      <c r="BT655" s="1" t="s">
        <v>12592</v>
      </c>
      <c r="BU655" s="1" t="s">
        <v>82</v>
      </c>
      <c r="BV655" s="1" t="s">
        <v>8988</v>
      </c>
      <c r="BW655" s="1" t="s">
        <v>82</v>
      </c>
      <c r="BX655" s="1" t="s">
        <v>82</v>
      </c>
      <c r="BY655" s="1" t="s">
        <v>108</v>
      </c>
      <c r="BZ655" s="1" t="s">
        <v>12593</v>
      </c>
      <c r="CA655" s="1" t="str">
        <f>HYPERLINK("https%3A%2F%2Fwww.webofscience.com%2Fwos%2Fwoscc%2Ffull-record%2FWOS:000886206700001","View Full Record in Web of Science")</f>
        <v>View Full Record in Web of Science</v>
      </c>
    </row>
    <row r="656" s="1" customFormat="1" ht="14.4" spans="1:79">
      <c r="A656">
        <v>655</v>
      </c>
      <c r="B656" s="2" t="s">
        <v>79</v>
      </c>
      <c r="C656" s="1" t="s">
        <v>80</v>
      </c>
      <c r="D656" s="1" t="s">
        <v>12594</v>
      </c>
      <c r="E656" s="1" t="s">
        <v>82</v>
      </c>
      <c r="F656" s="1" t="s">
        <v>82</v>
      </c>
      <c r="G656" s="1" t="s">
        <v>82</v>
      </c>
      <c r="H656" s="1" t="s">
        <v>12595</v>
      </c>
      <c r="I656" s="1" t="s">
        <v>82</v>
      </c>
      <c r="J656" s="1" t="s">
        <v>82</v>
      </c>
      <c r="K656" s="1" t="s">
        <v>12596</v>
      </c>
      <c r="L656" s="1" t="s">
        <v>12542</v>
      </c>
      <c r="M656" s="1">
        <v>1.317</v>
      </c>
      <c r="O656" s="1" t="s">
        <v>82</v>
      </c>
      <c r="P656" s="1" t="s">
        <v>82</v>
      </c>
      <c r="Q656" s="1" t="s">
        <v>87</v>
      </c>
      <c r="R656" s="1" t="s">
        <v>115</v>
      </c>
      <c r="S656" s="1" t="s">
        <v>82</v>
      </c>
      <c r="T656" s="1" t="s">
        <v>82</v>
      </c>
      <c r="U656" s="1" t="s">
        <v>82</v>
      </c>
      <c r="V656" s="1" t="s">
        <v>82</v>
      </c>
      <c r="W656" s="1" t="s">
        <v>82</v>
      </c>
      <c r="X656" s="1" t="s">
        <v>12597</v>
      </c>
      <c r="Y656" s="1" t="s">
        <v>12598</v>
      </c>
      <c r="Z656" s="1" t="s">
        <v>12599</v>
      </c>
      <c r="AA656" s="1">
        <v>1</v>
      </c>
      <c r="AB656" s="1" t="s">
        <v>3216</v>
      </c>
      <c r="AC656" s="1" t="s">
        <v>12600</v>
      </c>
      <c r="AD656" s="1" t="s">
        <v>93</v>
      </c>
      <c r="AE656" s="1" t="s">
        <v>94</v>
      </c>
      <c r="AF656" s="1" t="s">
        <v>12601</v>
      </c>
      <c r="AG656" s="1" t="s">
        <v>12602</v>
      </c>
      <c r="AH656" s="1" t="s">
        <v>82</v>
      </c>
      <c r="AI656" s="1" t="s">
        <v>82</v>
      </c>
      <c r="AJ656" s="1" t="s">
        <v>12603</v>
      </c>
      <c r="AK656" s="1" t="s">
        <v>12604</v>
      </c>
      <c r="AL656" s="1" t="s">
        <v>12605</v>
      </c>
      <c r="AM656" s="1" t="s">
        <v>82</v>
      </c>
      <c r="AN656" s="1">
        <v>17</v>
      </c>
      <c r="AO656" s="1">
        <v>1</v>
      </c>
      <c r="AP656" s="1">
        <v>1</v>
      </c>
      <c r="AQ656" s="1">
        <v>0</v>
      </c>
      <c r="AR656" s="1">
        <v>0</v>
      </c>
      <c r="AS656" s="1" t="s">
        <v>9830</v>
      </c>
      <c r="AT656" s="1" t="s">
        <v>9831</v>
      </c>
      <c r="AU656" s="1" t="s">
        <v>9832</v>
      </c>
      <c r="AV656" s="1" t="s">
        <v>12553</v>
      </c>
      <c r="AW656" s="1" t="s">
        <v>12554</v>
      </c>
      <c r="AX656" s="1" t="s">
        <v>82</v>
      </c>
      <c r="AY656" s="1" t="s">
        <v>12542</v>
      </c>
      <c r="AZ656" s="1" t="s">
        <v>12555</v>
      </c>
      <c r="BA656" s="1" t="s">
        <v>4589</v>
      </c>
      <c r="BB656" s="1">
        <v>2022</v>
      </c>
      <c r="BC656" s="1" t="s">
        <v>82</v>
      </c>
      <c r="BD656" s="1">
        <v>212</v>
      </c>
      <c r="BE656" s="1" t="s">
        <v>82</v>
      </c>
      <c r="BF656" s="1" t="s">
        <v>82</v>
      </c>
      <c r="BG656" s="1" t="s">
        <v>82</v>
      </c>
      <c r="BH656" s="1" t="s">
        <v>82</v>
      </c>
      <c r="BI656" s="1">
        <v>85</v>
      </c>
      <c r="BJ656" s="1">
        <v>96</v>
      </c>
      <c r="BK656" s="1">
        <v>91174</v>
      </c>
      <c r="BL656" s="1" t="s">
        <v>12606</v>
      </c>
      <c r="BM656" s="1" t="str">
        <f>HYPERLINK("http://dx.doi.org/10.3897/phytokeys.212.91174","http://dx.doi.org/10.3897/phytokeys.212.91174")</f>
        <v>http://dx.doi.org/10.3897/phytokeys.212.91174</v>
      </c>
      <c r="BN656" s="1" t="s">
        <v>82</v>
      </c>
      <c r="BO656" s="1" t="s">
        <v>82</v>
      </c>
      <c r="BP656" s="1">
        <v>12</v>
      </c>
      <c r="BQ656" s="1" t="s">
        <v>378</v>
      </c>
      <c r="BR656" s="1" t="s">
        <v>104</v>
      </c>
      <c r="BS656" s="1" t="s">
        <v>378</v>
      </c>
      <c r="BT656" s="1" t="s">
        <v>12607</v>
      </c>
      <c r="BU656" s="1" t="s">
        <v>82</v>
      </c>
      <c r="BV656" s="1" t="s">
        <v>635</v>
      </c>
      <c r="BW656" s="1" t="s">
        <v>82</v>
      </c>
      <c r="BX656" s="1" t="s">
        <v>82</v>
      </c>
      <c r="BY656" s="1" t="s">
        <v>108</v>
      </c>
      <c r="BZ656" s="1" t="s">
        <v>12608</v>
      </c>
      <c r="CA656" s="1" t="str">
        <f>HYPERLINK("https%3A%2F%2Fwww.webofscience.com%2Fwos%2Fwoscc%2Ffull-record%2FWOS:000882156100003","View Full Record in Web of Science")</f>
        <v>View Full Record in Web of Science</v>
      </c>
    </row>
    <row r="657" s="1" customFormat="1" ht="14.4" spans="1:79">
      <c r="A657">
        <v>656</v>
      </c>
      <c r="B657" s="2" t="s">
        <v>79</v>
      </c>
      <c r="C657" s="1" t="s">
        <v>80</v>
      </c>
      <c r="D657" s="1" t="s">
        <v>12609</v>
      </c>
      <c r="E657" s="1" t="s">
        <v>82</v>
      </c>
      <c r="F657" s="1" t="s">
        <v>82</v>
      </c>
      <c r="G657" s="1" t="s">
        <v>82</v>
      </c>
      <c r="H657" s="1" t="s">
        <v>12610</v>
      </c>
      <c r="I657" s="1" t="s">
        <v>82</v>
      </c>
      <c r="J657" s="1" t="s">
        <v>82</v>
      </c>
      <c r="K657" s="1" t="s">
        <v>12611</v>
      </c>
      <c r="L657" s="1" t="s">
        <v>12542</v>
      </c>
      <c r="M657" s="1">
        <v>1.317</v>
      </c>
      <c r="O657" s="1" t="s">
        <v>82</v>
      </c>
      <c r="P657" s="1" t="s">
        <v>82</v>
      </c>
      <c r="Q657" s="1" t="s">
        <v>87</v>
      </c>
      <c r="R657" s="1" t="s">
        <v>115</v>
      </c>
      <c r="S657" s="1" t="s">
        <v>82</v>
      </c>
      <c r="T657" s="1" t="s">
        <v>82</v>
      </c>
      <c r="U657" s="1" t="s">
        <v>82</v>
      </c>
      <c r="V657" s="1" t="s">
        <v>82</v>
      </c>
      <c r="W657" s="1" t="s">
        <v>82</v>
      </c>
      <c r="X657" s="1" t="s">
        <v>12612</v>
      </c>
      <c r="Y657" s="1" t="s">
        <v>12613</v>
      </c>
      <c r="Z657" s="1" t="s">
        <v>12614</v>
      </c>
      <c r="AB657" s="1" t="s">
        <v>7255</v>
      </c>
      <c r="AC657" s="1" t="s">
        <v>12615</v>
      </c>
      <c r="AD657" s="1" t="s">
        <v>120</v>
      </c>
      <c r="AE657" s="1" t="s">
        <v>12616</v>
      </c>
      <c r="AF657" s="1" t="s">
        <v>7258</v>
      </c>
      <c r="AG657" s="1" t="s">
        <v>7259</v>
      </c>
      <c r="AH657" s="1" t="s">
        <v>12617</v>
      </c>
      <c r="AI657" s="1" t="s">
        <v>82</v>
      </c>
      <c r="AJ657" s="1" t="s">
        <v>12618</v>
      </c>
      <c r="AK657" s="1" t="s">
        <v>12619</v>
      </c>
      <c r="AL657" s="1" t="s">
        <v>12620</v>
      </c>
      <c r="AM657" s="1" t="s">
        <v>82</v>
      </c>
      <c r="AN657" s="1">
        <v>22</v>
      </c>
      <c r="AO657" s="1">
        <v>0</v>
      </c>
      <c r="AP657" s="1">
        <v>0</v>
      </c>
      <c r="AQ657" s="1">
        <v>5</v>
      </c>
      <c r="AR657" s="1">
        <v>5</v>
      </c>
      <c r="AS657" s="1" t="s">
        <v>9830</v>
      </c>
      <c r="AT657" s="1" t="s">
        <v>9831</v>
      </c>
      <c r="AU657" s="1" t="s">
        <v>9832</v>
      </c>
      <c r="AV657" s="1" t="s">
        <v>12553</v>
      </c>
      <c r="AW657" s="1" t="s">
        <v>12554</v>
      </c>
      <c r="AX657" s="1" t="s">
        <v>82</v>
      </c>
      <c r="AY657" s="1" t="s">
        <v>12542</v>
      </c>
      <c r="AZ657" s="1" t="s">
        <v>12555</v>
      </c>
      <c r="BA657" s="1" t="s">
        <v>12621</v>
      </c>
      <c r="BB657" s="1">
        <v>2022</v>
      </c>
      <c r="BC657" s="1" t="s">
        <v>82</v>
      </c>
      <c r="BD657" s="1">
        <v>210</v>
      </c>
      <c r="BE657" s="1" t="s">
        <v>82</v>
      </c>
      <c r="BF657" s="1" t="s">
        <v>82</v>
      </c>
      <c r="BG657" s="1" t="s">
        <v>82</v>
      </c>
      <c r="BH657" s="1" t="s">
        <v>82</v>
      </c>
      <c r="BI657" s="1">
        <v>1</v>
      </c>
      <c r="BJ657" s="1">
        <v>13</v>
      </c>
      <c r="BK657" s="1" t="s">
        <v>82</v>
      </c>
      <c r="BL657" s="1" t="s">
        <v>12622</v>
      </c>
      <c r="BM657" s="1" t="str">
        <f>HYPERLINK("http://dx.doi.org/10.3897/phytokeys.210.89480","http://dx.doi.org/10.3897/phytokeys.210.89480")</f>
        <v>http://dx.doi.org/10.3897/phytokeys.210.89480</v>
      </c>
      <c r="BN657" s="1" t="s">
        <v>82</v>
      </c>
      <c r="BO657" s="1" t="s">
        <v>82</v>
      </c>
      <c r="BP657" s="1">
        <v>13</v>
      </c>
      <c r="BQ657" s="1" t="s">
        <v>378</v>
      </c>
      <c r="BR657" s="1" t="s">
        <v>104</v>
      </c>
      <c r="BS657" s="1" t="s">
        <v>378</v>
      </c>
      <c r="BT657" s="1" t="s">
        <v>12623</v>
      </c>
      <c r="BU657" s="1" t="s">
        <v>82</v>
      </c>
      <c r="BV657" s="1" t="s">
        <v>635</v>
      </c>
      <c r="BW657" s="1" t="s">
        <v>82</v>
      </c>
      <c r="BX657" s="1" t="s">
        <v>82</v>
      </c>
      <c r="BY657" s="1" t="s">
        <v>108</v>
      </c>
      <c r="BZ657" s="1" t="s">
        <v>12624</v>
      </c>
      <c r="CA657" s="1" t="str">
        <f>HYPERLINK("https%3A%2F%2Fwww.webofscience.com%2Fwos%2Fwoscc%2Ffull-record%2FWOS:000882035900001","View Full Record in Web of Science")</f>
        <v>View Full Record in Web of Science</v>
      </c>
    </row>
    <row r="658" s="1" customFormat="1" ht="14.4" spans="1:79">
      <c r="A658">
        <v>657</v>
      </c>
      <c r="B658" s="2" t="s">
        <v>79</v>
      </c>
      <c r="C658" s="1" t="s">
        <v>80</v>
      </c>
      <c r="D658" s="1" t="s">
        <v>12625</v>
      </c>
      <c r="E658" s="1" t="s">
        <v>82</v>
      </c>
      <c r="F658" s="1" t="s">
        <v>82</v>
      </c>
      <c r="G658" s="1" t="s">
        <v>82</v>
      </c>
      <c r="H658" s="1" t="s">
        <v>12626</v>
      </c>
      <c r="I658" s="1" t="s">
        <v>82</v>
      </c>
      <c r="J658" s="1" t="s">
        <v>82</v>
      </c>
      <c r="K658" s="1" t="s">
        <v>12627</v>
      </c>
      <c r="L658" s="1" t="s">
        <v>12542</v>
      </c>
      <c r="M658" s="1">
        <v>1.317</v>
      </c>
      <c r="O658" s="1" t="s">
        <v>82</v>
      </c>
      <c r="P658" s="1" t="s">
        <v>82</v>
      </c>
      <c r="Q658" s="1" t="s">
        <v>87</v>
      </c>
      <c r="R658" s="1" t="s">
        <v>115</v>
      </c>
      <c r="S658" s="1" t="s">
        <v>82</v>
      </c>
      <c r="T658" s="1" t="s">
        <v>82</v>
      </c>
      <c r="U658" s="1" t="s">
        <v>82</v>
      </c>
      <c r="V658" s="1" t="s">
        <v>82</v>
      </c>
      <c r="W658" s="1" t="s">
        <v>82</v>
      </c>
      <c r="X658" s="1" t="s">
        <v>12628</v>
      </c>
      <c r="Y658" s="1" t="s">
        <v>12629</v>
      </c>
      <c r="Z658" s="1" t="s">
        <v>12630</v>
      </c>
      <c r="AB658" s="1" t="s">
        <v>12631</v>
      </c>
      <c r="AC658" s="1" t="s">
        <v>12632</v>
      </c>
      <c r="AD658" s="1" t="s">
        <v>206</v>
      </c>
      <c r="AE658" s="1" t="s">
        <v>12633</v>
      </c>
      <c r="AF658" s="1" t="s">
        <v>12634</v>
      </c>
      <c r="AG658" s="1" t="s">
        <v>12635</v>
      </c>
      <c r="AH658" s="1" t="s">
        <v>82</v>
      </c>
      <c r="AI658" s="1" t="s">
        <v>82</v>
      </c>
      <c r="AJ658" s="1" t="s">
        <v>12636</v>
      </c>
      <c r="AK658" s="1" t="s">
        <v>12637</v>
      </c>
      <c r="AL658" s="1" t="s">
        <v>12638</v>
      </c>
      <c r="AM658" s="1" t="s">
        <v>82</v>
      </c>
      <c r="AN658" s="1">
        <v>34</v>
      </c>
      <c r="AO658" s="1">
        <v>1</v>
      </c>
      <c r="AP658" s="1">
        <v>1</v>
      </c>
      <c r="AQ658" s="1">
        <v>10</v>
      </c>
      <c r="AR658" s="1">
        <v>10</v>
      </c>
      <c r="AS658" s="1" t="s">
        <v>9830</v>
      </c>
      <c r="AT658" s="1" t="s">
        <v>9831</v>
      </c>
      <c r="AU658" s="1" t="s">
        <v>9832</v>
      </c>
      <c r="AV658" s="1" t="s">
        <v>12553</v>
      </c>
      <c r="AW658" s="1" t="s">
        <v>12554</v>
      </c>
      <c r="AX658" s="1" t="s">
        <v>82</v>
      </c>
      <c r="AY658" s="1" t="s">
        <v>12542</v>
      </c>
      <c r="AZ658" s="1" t="s">
        <v>12555</v>
      </c>
      <c r="BA658" s="1" t="s">
        <v>2584</v>
      </c>
      <c r="BB658" s="1">
        <v>2022</v>
      </c>
      <c r="BC658" s="1" t="s">
        <v>82</v>
      </c>
      <c r="BD658" s="1">
        <v>204</v>
      </c>
      <c r="BE658" s="1" t="s">
        <v>82</v>
      </c>
      <c r="BF658" s="1" t="s">
        <v>82</v>
      </c>
      <c r="BG658" s="1" t="s">
        <v>82</v>
      </c>
      <c r="BH658" s="1" t="s">
        <v>82</v>
      </c>
      <c r="BI658" s="1">
        <v>43</v>
      </c>
      <c r="BJ658" s="1">
        <v>56</v>
      </c>
      <c r="BK658" s="1" t="s">
        <v>82</v>
      </c>
      <c r="BL658" s="1" t="s">
        <v>12639</v>
      </c>
      <c r="BM658" s="1" t="str">
        <f>HYPERLINK("http://dx.doi.org/10.3897/phytokeys.204.85746","http://dx.doi.org/10.3897/phytokeys.204.85746")</f>
        <v>http://dx.doi.org/10.3897/phytokeys.204.85746</v>
      </c>
      <c r="BN658" s="1" t="s">
        <v>82</v>
      </c>
      <c r="BO658" s="1" t="s">
        <v>82</v>
      </c>
      <c r="BP658" s="1">
        <v>14</v>
      </c>
      <c r="BQ658" s="1" t="s">
        <v>378</v>
      </c>
      <c r="BR658" s="1" t="s">
        <v>104</v>
      </c>
      <c r="BS658" s="1" t="s">
        <v>378</v>
      </c>
      <c r="BT658" s="1" t="s">
        <v>12640</v>
      </c>
      <c r="BU658" s="1" t="s">
        <v>82</v>
      </c>
      <c r="BV658" s="1" t="s">
        <v>592</v>
      </c>
      <c r="BW658" s="1" t="s">
        <v>82</v>
      </c>
      <c r="BX658" s="1" t="s">
        <v>82</v>
      </c>
      <c r="BY658" s="1" t="s">
        <v>108</v>
      </c>
      <c r="BZ658" s="1" t="s">
        <v>12641</v>
      </c>
      <c r="CA658" s="1" t="str">
        <f>HYPERLINK("https%3A%2F%2Fwww.webofscience.com%2Fwos%2Fwoscc%2Ffull-record%2FWOS:000844584400001","View Full Record in Web of Science")</f>
        <v>View Full Record in Web of Science</v>
      </c>
    </row>
    <row r="659" s="1" customFormat="1" ht="14.4" spans="1:79">
      <c r="A659">
        <v>658</v>
      </c>
      <c r="B659" s="2" t="s">
        <v>79</v>
      </c>
      <c r="C659" s="1" t="s">
        <v>80</v>
      </c>
      <c r="D659" s="1" t="s">
        <v>12642</v>
      </c>
      <c r="E659" s="1" t="s">
        <v>82</v>
      </c>
      <c r="F659" s="1" t="s">
        <v>82</v>
      </c>
      <c r="G659" s="1" t="s">
        <v>82</v>
      </c>
      <c r="H659" s="1" t="s">
        <v>12643</v>
      </c>
      <c r="I659" s="1" t="s">
        <v>82</v>
      </c>
      <c r="J659" s="1" t="s">
        <v>82</v>
      </c>
      <c r="K659" s="1" t="s">
        <v>12644</v>
      </c>
      <c r="L659" s="1" t="s">
        <v>12542</v>
      </c>
      <c r="M659" s="1">
        <v>1.317</v>
      </c>
      <c r="O659" s="1" t="s">
        <v>82</v>
      </c>
      <c r="P659" s="1" t="s">
        <v>82</v>
      </c>
      <c r="Q659" s="1" t="s">
        <v>87</v>
      </c>
      <c r="R659" s="1" t="s">
        <v>115</v>
      </c>
      <c r="S659" s="1" t="s">
        <v>82</v>
      </c>
      <c r="T659" s="1" t="s">
        <v>82</v>
      </c>
      <c r="U659" s="1" t="s">
        <v>82</v>
      </c>
      <c r="V659" s="1" t="s">
        <v>82</v>
      </c>
      <c r="W659" s="1" t="s">
        <v>82</v>
      </c>
      <c r="X659" s="1" t="s">
        <v>12645</v>
      </c>
      <c r="Y659" s="1" t="s">
        <v>7550</v>
      </c>
      <c r="Z659" s="1" t="s">
        <v>12646</v>
      </c>
      <c r="AB659" s="1" t="s">
        <v>8776</v>
      </c>
      <c r="AC659" s="1" t="s">
        <v>12647</v>
      </c>
      <c r="AD659" s="1" t="s">
        <v>120</v>
      </c>
      <c r="AE659" s="1" t="s">
        <v>12648</v>
      </c>
      <c r="AF659" s="1" t="s">
        <v>12649</v>
      </c>
      <c r="AG659" s="1" t="s">
        <v>8780</v>
      </c>
      <c r="AH659" s="1" t="s">
        <v>82</v>
      </c>
      <c r="AI659" s="1" t="s">
        <v>12650</v>
      </c>
      <c r="AJ659" s="1" t="s">
        <v>12651</v>
      </c>
      <c r="AK659" s="1" t="s">
        <v>442</v>
      </c>
      <c r="AL659" s="1" t="s">
        <v>12652</v>
      </c>
      <c r="AM659" s="1" t="s">
        <v>82</v>
      </c>
      <c r="AN659" s="1">
        <v>33</v>
      </c>
      <c r="AO659" s="1">
        <v>0</v>
      </c>
      <c r="AP659" s="1">
        <v>1</v>
      </c>
      <c r="AQ659" s="1">
        <v>4</v>
      </c>
      <c r="AR659" s="1">
        <v>4</v>
      </c>
      <c r="AS659" s="1" t="s">
        <v>9830</v>
      </c>
      <c r="AT659" s="1" t="s">
        <v>9831</v>
      </c>
      <c r="AU659" s="1" t="s">
        <v>9832</v>
      </c>
      <c r="AV659" s="1" t="s">
        <v>12553</v>
      </c>
      <c r="AW659" s="1" t="s">
        <v>12554</v>
      </c>
      <c r="AX659" s="1" t="s">
        <v>82</v>
      </c>
      <c r="AY659" s="1" t="s">
        <v>12542</v>
      </c>
      <c r="AZ659" s="1" t="s">
        <v>12555</v>
      </c>
      <c r="BA659" s="1" t="s">
        <v>12653</v>
      </c>
      <c r="BB659" s="1">
        <v>2022</v>
      </c>
      <c r="BC659" s="1" t="s">
        <v>82</v>
      </c>
      <c r="BD659" s="1">
        <v>195</v>
      </c>
      <c r="BE659" s="1" t="s">
        <v>82</v>
      </c>
      <c r="BF659" s="1" t="s">
        <v>82</v>
      </c>
      <c r="BG659" s="1" t="s">
        <v>82</v>
      </c>
      <c r="BH659" s="1" t="s">
        <v>82</v>
      </c>
      <c r="BI659" s="1">
        <v>75</v>
      </c>
      <c r="BJ659" s="1">
        <v>92</v>
      </c>
      <c r="BK659" s="1" t="s">
        <v>82</v>
      </c>
      <c r="BL659" s="1" t="s">
        <v>12654</v>
      </c>
      <c r="BM659" s="1" t="str">
        <f>HYPERLINK("http://dx.doi.org/10.3897/phytokeys.195.80452","http://dx.doi.org/10.3897/phytokeys.195.80452")</f>
        <v>http://dx.doi.org/10.3897/phytokeys.195.80452</v>
      </c>
      <c r="BN659" s="1" t="s">
        <v>82</v>
      </c>
      <c r="BO659" s="1" t="s">
        <v>82</v>
      </c>
      <c r="BP659" s="1">
        <v>18</v>
      </c>
      <c r="BQ659" s="1" t="s">
        <v>378</v>
      </c>
      <c r="BR659" s="1" t="s">
        <v>104</v>
      </c>
      <c r="BS659" s="1" t="s">
        <v>378</v>
      </c>
      <c r="BT659" s="1" t="s">
        <v>12655</v>
      </c>
      <c r="BU659" s="1" t="s">
        <v>82</v>
      </c>
      <c r="BV659" s="1" t="s">
        <v>8988</v>
      </c>
      <c r="BW659" s="1" t="s">
        <v>82</v>
      </c>
      <c r="BX659" s="1" t="s">
        <v>82</v>
      </c>
      <c r="BY659" s="1" t="s">
        <v>108</v>
      </c>
      <c r="BZ659" s="1" t="s">
        <v>12656</v>
      </c>
      <c r="CA659" s="1" t="str">
        <f>HYPERLINK("https%3A%2F%2Fwww.webofscience.com%2Fwos%2Fwoscc%2Ffull-record%2FWOS:000798514100002","View Full Record in Web of Science")</f>
        <v>View Full Record in Web of Science</v>
      </c>
    </row>
    <row r="660" s="1" customFormat="1" ht="14.4" spans="1:79">
      <c r="A660">
        <v>659</v>
      </c>
      <c r="B660" s="2" t="s">
        <v>79</v>
      </c>
      <c r="C660" s="1" t="s">
        <v>80</v>
      </c>
      <c r="D660" s="1" t="s">
        <v>12657</v>
      </c>
      <c r="E660" s="1" t="s">
        <v>82</v>
      </c>
      <c r="F660" s="1" t="s">
        <v>82</v>
      </c>
      <c r="G660" s="1" t="s">
        <v>82</v>
      </c>
      <c r="H660" s="1" t="s">
        <v>12658</v>
      </c>
      <c r="I660" s="1" t="s">
        <v>82</v>
      </c>
      <c r="J660" s="1" t="s">
        <v>82</v>
      </c>
      <c r="K660" s="1" t="s">
        <v>12659</v>
      </c>
      <c r="L660" s="1" t="s">
        <v>12542</v>
      </c>
      <c r="M660" s="1">
        <v>1.317</v>
      </c>
      <c r="O660" s="1" t="s">
        <v>82</v>
      </c>
      <c r="P660" s="1" t="s">
        <v>82</v>
      </c>
      <c r="Q660" s="1" t="s">
        <v>87</v>
      </c>
      <c r="R660" s="1" t="s">
        <v>115</v>
      </c>
      <c r="S660" s="1" t="s">
        <v>82</v>
      </c>
      <c r="T660" s="1" t="s">
        <v>82</v>
      </c>
      <c r="U660" s="1" t="s">
        <v>82</v>
      </c>
      <c r="V660" s="1" t="s">
        <v>82</v>
      </c>
      <c r="W660" s="1" t="s">
        <v>82</v>
      </c>
      <c r="X660" s="1" t="s">
        <v>12660</v>
      </c>
      <c r="Y660" s="1" t="s">
        <v>82</v>
      </c>
      <c r="Z660" s="1" t="s">
        <v>12661</v>
      </c>
      <c r="AB660" s="1" t="s">
        <v>12662</v>
      </c>
      <c r="AC660" s="1" t="s">
        <v>12663</v>
      </c>
      <c r="AD660" s="1" t="s">
        <v>120</v>
      </c>
      <c r="AE660" s="1" t="s">
        <v>12417</v>
      </c>
      <c r="AF660" s="1" t="s">
        <v>12664</v>
      </c>
      <c r="AG660" s="1" t="s">
        <v>12665</v>
      </c>
      <c r="AH660" s="1" t="s">
        <v>82</v>
      </c>
      <c r="AI660" s="1" t="s">
        <v>11805</v>
      </c>
      <c r="AJ660" s="1" t="s">
        <v>12666</v>
      </c>
      <c r="AK660" s="1" t="s">
        <v>442</v>
      </c>
      <c r="AL660" s="1" t="s">
        <v>12667</v>
      </c>
      <c r="AM660" s="1" t="s">
        <v>82</v>
      </c>
      <c r="AN660" s="1">
        <v>18</v>
      </c>
      <c r="AO660" s="1">
        <v>0</v>
      </c>
      <c r="AP660" s="1">
        <v>0</v>
      </c>
      <c r="AQ660" s="1">
        <v>2</v>
      </c>
      <c r="AR660" s="1">
        <v>2</v>
      </c>
      <c r="AS660" s="1" t="s">
        <v>9830</v>
      </c>
      <c r="AT660" s="1" t="s">
        <v>9831</v>
      </c>
      <c r="AU660" s="1" t="s">
        <v>9832</v>
      </c>
      <c r="AV660" s="1" t="s">
        <v>12553</v>
      </c>
      <c r="AW660" s="1" t="s">
        <v>12554</v>
      </c>
      <c r="AX660" s="1" t="s">
        <v>82</v>
      </c>
      <c r="AY660" s="1" t="s">
        <v>12542</v>
      </c>
      <c r="AZ660" s="1" t="s">
        <v>12555</v>
      </c>
      <c r="BA660" s="1" t="s">
        <v>12668</v>
      </c>
      <c r="BB660" s="1">
        <v>2022</v>
      </c>
      <c r="BC660" s="1" t="s">
        <v>82</v>
      </c>
      <c r="BD660" s="1">
        <v>194</v>
      </c>
      <c r="BE660" s="1" t="s">
        <v>82</v>
      </c>
      <c r="BF660" s="1" t="s">
        <v>82</v>
      </c>
      <c r="BG660" s="1" t="s">
        <v>82</v>
      </c>
      <c r="BH660" s="1" t="s">
        <v>82</v>
      </c>
      <c r="BI660" s="1">
        <v>15</v>
      </c>
      <c r="BJ660" s="1">
        <v>22</v>
      </c>
      <c r="BK660" s="1" t="s">
        <v>82</v>
      </c>
      <c r="BL660" s="1" t="s">
        <v>12669</v>
      </c>
      <c r="BM660" s="1" t="str">
        <f>HYPERLINK("http://dx.doi.org/10.3897/phytokeys.194.81335","http://dx.doi.org/10.3897/phytokeys.194.81335")</f>
        <v>http://dx.doi.org/10.3897/phytokeys.194.81335</v>
      </c>
      <c r="BN660" s="1" t="s">
        <v>82</v>
      </c>
      <c r="BO660" s="1" t="s">
        <v>82</v>
      </c>
      <c r="BP660" s="1">
        <v>8</v>
      </c>
      <c r="BQ660" s="1" t="s">
        <v>378</v>
      </c>
      <c r="BR660" s="1" t="s">
        <v>104</v>
      </c>
      <c r="BS660" s="1" t="s">
        <v>378</v>
      </c>
      <c r="BT660" s="1" t="s">
        <v>12670</v>
      </c>
      <c r="BU660" s="1">
        <v>35586322</v>
      </c>
      <c r="BV660" s="1" t="s">
        <v>592</v>
      </c>
      <c r="BW660" s="1" t="s">
        <v>82</v>
      </c>
      <c r="BX660" s="1" t="s">
        <v>82</v>
      </c>
      <c r="BY660" s="1" t="s">
        <v>108</v>
      </c>
      <c r="BZ660" s="1" t="s">
        <v>12671</v>
      </c>
      <c r="CA660" s="1" t="str">
        <f>HYPERLINK("https%3A%2F%2Fwww.webofscience.com%2Fwos%2Fwoscc%2Ffull-record%2FWOS:000787766700002","View Full Record in Web of Science")</f>
        <v>View Full Record in Web of Science</v>
      </c>
    </row>
    <row r="661" s="1" customFormat="1" ht="14.4" spans="1:79">
      <c r="A661">
        <v>660</v>
      </c>
      <c r="B661" s="2" t="s">
        <v>79</v>
      </c>
      <c r="C661" s="1" t="s">
        <v>80</v>
      </c>
      <c r="D661" s="1" t="s">
        <v>12672</v>
      </c>
      <c r="E661" s="1" t="s">
        <v>82</v>
      </c>
      <c r="F661" s="1" t="s">
        <v>82</v>
      </c>
      <c r="G661" s="1" t="s">
        <v>82</v>
      </c>
      <c r="H661" s="1" t="s">
        <v>12673</v>
      </c>
      <c r="I661" s="1" t="s">
        <v>82</v>
      </c>
      <c r="J661" s="1" t="s">
        <v>82</v>
      </c>
      <c r="K661" s="1" t="s">
        <v>12674</v>
      </c>
      <c r="L661" s="1" t="s">
        <v>12542</v>
      </c>
      <c r="M661" s="1">
        <v>1.317</v>
      </c>
      <c r="O661" s="1" t="s">
        <v>82</v>
      </c>
      <c r="P661" s="1" t="s">
        <v>82</v>
      </c>
      <c r="Q661" s="1" t="s">
        <v>87</v>
      </c>
      <c r="R661" s="1" t="s">
        <v>200</v>
      </c>
      <c r="S661" s="1" t="s">
        <v>82</v>
      </c>
      <c r="T661" s="1" t="s">
        <v>82</v>
      </c>
      <c r="U661" s="1" t="s">
        <v>82</v>
      </c>
      <c r="V661" s="1" t="s">
        <v>82</v>
      </c>
      <c r="W661" s="1" t="s">
        <v>82</v>
      </c>
      <c r="X661" s="1" t="s">
        <v>12675</v>
      </c>
      <c r="Y661" s="1" t="s">
        <v>12676</v>
      </c>
      <c r="Z661" s="1" t="s">
        <v>12677</v>
      </c>
      <c r="AB661" s="1" t="s">
        <v>12678</v>
      </c>
      <c r="AC661" s="1" t="s">
        <v>12679</v>
      </c>
      <c r="AD661" s="1" t="s">
        <v>206</v>
      </c>
      <c r="AE661" s="1" t="s">
        <v>12680</v>
      </c>
      <c r="AF661" s="1" t="s">
        <v>12681</v>
      </c>
      <c r="AG661" s="1" t="s">
        <v>12682</v>
      </c>
      <c r="AH661" s="1" t="s">
        <v>12683</v>
      </c>
      <c r="AI661" s="1" t="s">
        <v>12684</v>
      </c>
      <c r="AJ661" s="1" t="s">
        <v>12685</v>
      </c>
      <c r="AK661" s="1" t="s">
        <v>12686</v>
      </c>
      <c r="AL661" s="1" t="s">
        <v>12687</v>
      </c>
      <c r="AM661" s="1" t="s">
        <v>82</v>
      </c>
      <c r="AN661" s="1">
        <v>32</v>
      </c>
      <c r="AO661" s="1">
        <v>0</v>
      </c>
      <c r="AP661" s="1">
        <v>0</v>
      </c>
      <c r="AQ661" s="1">
        <v>4</v>
      </c>
      <c r="AR661" s="1">
        <v>5</v>
      </c>
      <c r="AS661" s="1" t="s">
        <v>9830</v>
      </c>
      <c r="AT661" s="1" t="s">
        <v>9831</v>
      </c>
      <c r="AU661" s="1" t="s">
        <v>9832</v>
      </c>
      <c r="AV661" s="1" t="s">
        <v>12553</v>
      </c>
      <c r="AW661" s="1" t="s">
        <v>12554</v>
      </c>
      <c r="AX661" s="1" t="s">
        <v>82</v>
      </c>
      <c r="AY661" s="1" t="s">
        <v>12542</v>
      </c>
      <c r="AZ661" s="1" t="s">
        <v>12555</v>
      </c>
      <c r="BA661" s="1" t="s">
        <v>7423</v>
      </c>
      <c r="BB661" s="1">
        <v>2022</v>
      </c>
      <c r="BC661" s="1" t="s">
        <v>82</v>
      </c>
      <c r="BD661" s="1">
        <v>193</v>
      </c>
      <c r="BE661" s="1" t="s">
        <v>82</v>
      </c>
      <c r="BF661" s="1" t="s">
        <v>82</v>
      </c>
      <c r="BG661" s="1" t="s">
        <v>82</v>
      </c>
      <c r="BH661" s="1" t="s">
        <v>82</v>
      </c>
      <c r="BI661" s="1">
        <v>125</v>
      </c>
      <c r="BJ661" s="1">
        <v>139</v>
      </c>
      <c r="BK661" s="1" t="s">
        <v>82</v>
      </c>
      <c r="BL661" s="1" t="s">
        <v>12688</v>
      </c>
      <c r="BM661" s="1" t="str">
        <f>HYPERLINK("http://dx.doi.org/10.3897/phytokeys.193.70757","http://dx.doi.org/10.3897/phytokeys.193.70757")</f>
        <v>http://dx.doi.org/10.3897/phytokeys.193.70757</v>
      </c>
      <c r="BN661" s="1" t="s">
        <v>82</v>
      </c>
      <c r="BO661" s="1" t="s">
        <v>82</v>
      </c>
      <c r="BP661" s="1">
        <v>15</v>
      </c>
      <c r="BQ661" s="1" t="s">
        <v>378</v>
      </c>
      <c r="BR661" s="1" t="s">
        <v>104</v>
      </c>
      <c r="BS661" s="1" t="s">
        <v>378</v>
      </c>
      <c r="BT661" s="1" t="s">
        <v>12689</v>
      </c>
      <c r="BU661" s="1">
        <v>35586122</v>
      </c>
      <c r="BV661" s="1" t="s">
        <v>592</v>
      </c>
      <c r="BW661" s="1" t="s">
        <v>82</v>
      </c>
      <c r="BX661" s="1" t="s">
        <v>82</v>
      </c>
      <c r="BY661" s="1" t="s">
        <v>108</v>
      </c>
      <c r="BZ661" s="1" t="s">
        <v>12690</v>
      </c>
      <c r="CA661" s="1" t="str">
        <f>HYPERLINK("https%3A%2F%2Fwww.webofscience.com%2Fwos%2Fwoscc%2Ffull-record%2FWOS:000781495400002","View Full Record in Web of Science")</f>
        <v>View Full Record in Web of Science</v>
      </c>
    </row>
    <row r="662" s="1" customFormat="1" ht="14.4" spans="1:79">
      <c r="A662">
        <v>661</v>
      </c>
      <c r="B662" s="2" t="s">
        <v>79</v>
      </c>
      <c r="C662" s="1" t="s">
        <v>80</v>
      </c>
      <c r="D662" s="1" t="s">
        <v>12691</v>
      </c>
      <c r="E662" s="1" t="s">
        <v>82</v>
      </c>
      <c r="F662" s="1" t="s">
        <v>82</v>
      </c>
      <c r="G662" s="1" t="s">
        <v>82</v>
      </c>
      <c r="H662" s="1" t="s">
        <v>12692</v>
      </c>
      <c r="I662" s="1" t="s">
        <v>82</v>
      </c>
      <c r="J662" s="1" t="s">
        <v>82</v>
      </c>
      <c r="K662" s="1" t="s">
        <v>12693</v>
      </c>
      <c r="L662" s="1" t="s">
        <v>12542</v>
      </c>
      <c r="M662" s="1">
        <v>1.317</v>
      </c>
      <c r="O662" s="1" t="s">
        <v>82</v>
      </c>
      <c r="P662" s="1" t="s">
        <v>82</v>
      </c>
      <c r="Q662" s="1" t="s">
        <v>87</v>
      </c>
      <c r="R662" s="1" t="s">
        <v>115</v>
      </c>
      <c r="S662" s="1" t="s">
        <v>82</v>
      </c>
      <c r="T662" s="1" t="s">
        <v>82</v>
      </c>
      <c r="U662" s="1" t="s">
        <v>82</v>
      </c>
      <c r="V662" s="1" t="s">
        <v>82</v>
      </c>
      <c r="W662" s="1" t="s">
        <v>82</v>
      </c>
      <c r="X662" s="1" t="s">
        <v>12694</v>
      </c>
      <c r="Y662" s="1" t="s">
        <v>12695</v>
      </c>
      <c r="Z662" s="1" t="s">
        <v>12696</v>
      </c>
      <c r="AA662" s="1">
        <v>1</v>
      </c>
      <c r="AB662" s="1" t="s">
        <v>12697</v>
      </c>
      <c r="AC662" s="1" t="s">
        <v>12698</v>
      </c>
      <c r="AD662" s="1" t="s">
        <v>93</v>
      </c>
      <c r="AE662" s="1" t="s">
        <v>1840</v>
      </c>
      <c r="AF662" s="1" t="s">
        <v>12699</v>
      </c>
      <c r="AG662" s="1" t="s">
        <v>12399</v>
      </c>
      <c r="AH662" s="1" t="s">
        <v>12700</v>
      </c>
      <c r="AI662" s="1" t="s">
        <v>82</v>
      </c>
      <c r="AJ662" s="1" t="s">
        <v>12701</v>
      </c>
      <c r="AK662" s="1" t="s">
        <v>442</v>
      </c>
      <c r="AL662" s="1" t="s">
        <v>12702</v>
      </c>
      <c r="AM662" s="1" t="s">
        <v>82</v>
      </c>
      <c r="AN662" s="1">
        <v>30</v>
      </c>
      <c r="AO662" s="1">
        <v>0</v>
      </c>
      <c r="AP662" s="1">
        <v>0</v>
      </c>
      <c r="AQ662" s="1">
        <v>2</v>
      </c>
      <c r="AR662" s="1">
        <v>2</v>
      </c>
      <c r="AS662" s="1" t="s">
        <v>9830</v>
      </c>
      <c r="AT662" s="1" t="s">
        <v>9831</v>
      </c>
      <c r="AU662" s="1" t="s">
        <v>9832</v>
      </c>
      <c r="AV662" s="1" t="s">
        <v>12553</v>
      </c>
      <c r="AW662" s="1" t="s">
        <v>12554</v>
      </c>
      <c r="AX662" s="1" t="s">
        <v>82</v>
      </c>
      <c r="AY662" s="1" t="s">
        <v>12542</v>
      </c>
      <c r="AZ662" s="1" t="s">
        <v>12555</v>
      </c>
      <c r="BA662" s="1" t="s">
        <v>9855</v>
      </c>
      <c r="BB662" s="1">
        <v>2022</v>
      </c>
      <c r="BC662" s="1" t="s">
        <v>82</v>
      </c>
      <c r="BD662" s="1">
        <v>188</v>
      </c>
      <c r="BE662" s="1" t="s">
        <v>82</v>
      </c>
      <c r="BF662" s="1" t="s">
        <v>82</v>
      </c>
      <c r="BG662" s="1" t="s">
        <v>82</v>
      </c>
      <c r="BH662" s="1" t="s">
        <v>82</v>
      </c>
      <c r="BI662" s="1">
        <v>19</v>
      </c>
      <c r="BJ662" s="1">
        <v>29</v>
      </c>
      <c r="BK662" s="1" t="s">
        <v>82</v>
      </c>
      <c r="BL662" s="1" t="s">
        <v>12703</v>
      </c>
      <c r="BM662" s="1" t="str">
        <f>HYPERLINK("http://dx.doi.org/10.3897/phytokeys.188.75401","http://dx.doi.org/10.3897/phytokeys.188.75401")</f>
        <v>http://dx.doi.org/10.3897/phytokeys.188.75401</v>
      </c>
      <c r="BN662" s="1" t="s">
        <v>82</v>
      </c>
      <c r="BO662" s="1" t="s">
        <v>82</v>
      </c>
      <c r="BP662" s="1">
        <v>11</v>
      </c>
      <c r="BQ662" s="1" t="s">
        <v>378</v>
      </c>
      <c r="BR662" s="1" t="s">
        <v>104</v>
      </c>
      <c r="BS662" s="1" t="s">
        <v>378</v>
      </c>
      <c r="BT662" s="1" t="s">
        <v>12704</v>
      </c>
      <c r="BU662" s="1">
        <v>35095290</v>
      </c>
      <c r="BV662" s="1" t="s">
        <v>592</v>
      </c>
      <c r="BW662" s="1" t="s">
        <v>82</v>
      </c>
      <c r="BX662" s="1" t="s">
        <v>82</v>
      </c>
      <c r="BY662" s="1" t="s">
        <v>108</v>
      </c>
      <c r="BZ662" s="1" t="s">
        <v>12705</v>
      </c>
      <c r="CA662" s="1" t="str">
        <f>HYPERLINK("https%3A%2F%2Fwww.webofscience.com%2Fwos%2Fwoscc%2Ffull-record%2FWOS:000742772700001","View Full Record in Web of Science")</f>
        <v>View Full Record in Web of Science</v>
      </c>
    </row>
    <row r="663" s="1" customFormat="1" ht="14.4" spans="1:79">
      <c r="A663">
        <v>662</v>
      </c>
      <c r="B663" s="2" t="s">
        <v>79</v>
      </c>
      <c r="C663" s="1" t="s">
        <v>80</v>
      </c>
      <c r="D663" s="1" t="s">
        <v>12706</v>
      </c>
      <c r="E663" s="1" t="s">
        <v>82</v>
      </c>
      <c r="F663" s="1" t="s">
        <v>82</v>
      </c>
      <c r="G663" s="1" t="s">
        <v>82</v>
      </c>
      <c r="H663" s="1" t="s">
        <v>12707</v>
      </c>
      <c r="I663" s="1" t="s">
        <v>82</v>
      </c>
      <c r="J663" s="1" t="s">
        <v>82</v>
      </c>
      <c r="K663" s="1" t="s">
        <v>12708</v>
      </c>
      <c r="L663" s="1" t="s">
        <v>12542</v>
      </c>
      <c r="M663" s="1">
        <v>1.317</v>
      </c>
      <c r="O663" s="1" t="s">
        <v>82</v>
      </c>
      <c r="P663" s="1" t="s">
        <v>82</v>
      </c>
      <c r="Q663" s="1" t="s">
        <v>87</v>
      </c>
      <c r="R663" s="1" t="s">
        <v>115</v>
      </c>
      <c r="S663" s="1" t="s">
        <v>82</v>
      </c>
      <c r="T663" s="1" t="s">
        <v>82</v>
      </c>
      <c r="U663" s="1" t="s">
        <v>82</v>
      </c>
      <c r="V663" s="1" t="s">
        <v>82</v>
      </c>
      <c r="W663" s="1" t="s">
        <v>82</v>
      </c>
      <c r="X663" s="1" t="s">
        <v>12709</v>
      </c>
      <c r="Y663" s="1" t="s">
        <v>12710</v>
      </c>
      <c r="Z663" s="1" t="s">
        <v>12711</v>
      </c>
      <c r="AB663" s="1" t="s">
        <v>12712</v>
      </c>
      <c r="AC663" s="1" t="s">
        <v>12713</v>
      </c>
      <c r="AD663" s="1" t="s">
        <v>120</v>
      </c>
      <c r="AE663" s="1" t="s">
        <v>12714</v>
      </c>
      <c r="AF663" s="1" t="s">
        <v>12715</v>
      </c>
      <c r="AG663" s="1" t="s">
        <v>12716</v>
      </c>
      <c r="AH663" s="1" t="s">
        <v>82</v>
      </c>
      <c r="AI663" s="1" t="s">
        <v>12717</v>
      </c>
      <c r="AJ663" s="1" t="s">
        <v>12718</v>
      </c>
      <c r="AK663" s="1" t="s">
        <v>12719</v>
      </c>
      <c r="AL663" s="1" t="s">
        <v>12720</v>
      </c>
      <c r="AM663" s="1" t="s">
        <v>82</v>
      </c>
      <c r="AN663" s="1">
        <v>60</v>
      </c>
      <c r="AO663" s="1">
        <v>0</v>
      </c>
      <c r="AP663" s="1">
        <v>0</v>
      </c>
      <c r="AQ663" s="1">
        <v>3</v>
      </c>
      <c r="AR663" s="1">
        <v>4</v>
      </c>
      <c r="AS663" s="1" t="s">
        <v>9830</v>
      </c>
      <c r="AT663" s="1" t="s">
        <v>9831</v>
      </c>
      <c r="AU663" s="1" t="s">
        <v>9832</v>
      </c>
      <c r="AV663" s="1" t="s">
        <v>12553</v>
      </c>
      <c r="AW663" s="1" t="s">
        <v>12554</v>
      </c>
      <c r="AX663" s="1" t="s">
        <v>82</v>
      </c>
      <c r="AY663" s="1" t="s">
        <v>12542</v>
      </c>
      <c r="AZ663" s="1" t="s">
        <v>12555</v>
      </c>
      <c r="BA663" s="1" t="s">
        <v>12721</v>
      </c>
      <c r="BB663" s="1">
        <v>2022</v>
      </c>
      <c r="BC663" s="1" t="s">
        <v>82</v>
      </c>
      <c r="BD663" s="1">
        <v>193</v>
      </c>
      <c r="BE663" s="1" t="s">
        <v>82</v>
      </c>
      <c r="BF663" s="1" t="s">
        <v>82</v>
      </c>
      <c r="BG663" s="1" t="s">
        <v>82</v>
      </c>
      <c r="BH663" s="1" t="s">
        <v>82</v>
      </c>
      <c r="BI663" s="1">
        <v>89</v>
      </c>
      <c r="BJ663" s="1">
        <v>106</v>
      </c>
      <c r="BK663" s="1" t="s">
        <v>82</v>
      </c>
      <c r="BL663" s="1" t="s">
        <v>12722</v>
      </c>
      <c r="BM663" s="1" t="str">
        <f>HYPERLINK("http://dx.doi.org/10.3897/phytokeys.193.80715","http://dx.doi.org/10.3897/phytokeys.193.80715")</f>
        <v>http://dx.doi.org/10.3897/phytokeys.193.80715</v>
      </c>
      <c r="BN663" s="1" t="s">
        <v>82</v>
      </c>
      <c r="BO663" s="1" t="s">
        <v>82</v>
      </c>
      <c r="BP663" s="1">
        <v>18</v>
      </c>
      <c r="BQ663" s="1" t="s">
        <v>378</v>
      </c>
      <c r="BR663" s="1" t="s">
        <v>104</v>
      </c>
      <c r="BS663" s="1" t="s">
        <v>378</v>
      </c>
      <c r="BT663" s="1" t="s">
        <v>12723</v>
      </c>
      <c r="BU663" s="1" t="s">
        <v>82</v>
      </c>
      <c r="BV663" s="1" t="s">
        <v>2436</v>
      </c>
      <c r="BW663" s="1" t="s">
        <v>82</v>
      </c>
      <c r="BX663" s="1" t="s">
        <v>82</v>
      </c>
      <c r="BY663" s="1" t="s">
        <v>108</v>
      </c>
      <c r="BZ663" s="1" t="s">
        <v>12724</v>
      </c>
      <c r="CA663" s="1" t="str">
        <f>HYPERLINK("https%3A%2F%2Fwww.webofscience.com%2Fwos%2Fwoscc%2Ffull-record%2FWOS:000776852500003","View Full Record in Web of Science")</f>
        <v>View Full Record in Web of Science</v>
      </c>
    </row>
    <row r="664" s="1" customFormat="1" ht="14.4" spans="1:79">
      <c r="A664">
        <v>663</v>
      </c>
      <c r="B664" s="2" t="s">
        <v>79</v>
      </c>
      <c r="C664" s="1" t="s">
        <v>80</v>
      </c>
      <c r="D664" s="1" t="s">
        <v>12725</v>
      </c>
      <c r="E664" s="1" t="s">
        <v>82</v>
      </c>
      <c r="F664" s="1" t="s">
        <v>82</v>
      </c>
      <c r="G664" s="1" t="s">
        <v>82</v>
      </c>
      <c r="H664" s="1" t="s">
        <v>12726</v>
      </c>
      <c r="I664" s="1" t="s">
        <v>82</v>
      </c>
      <c r="J664" s="1" t="s">
        <v>82</v>
      </c>
      <c r="K664" s="1" t="s">
        <v>12727</v>
      </c>
      <c r="L664" s="1" t="s">
        <v>12542</v>
      </c>
      <c r="M664" s="1">
        <v>1.317</v>
      </c>
      <c r="O664" s="1" t="s">
        <v>82</v>
      </c>
      <c r="P664" s="1" t="s">
        <v>82</v>
      </c>
      <c r="Q664" s="1" t="s">
        <v>87</v>
      </c>
      <c r="R664" s="1" t="s">
        <v>115</v>
      </c>
      <c r="S664" s="1" t="s">
        <v>82</v>
      </c>
      <c r="T664" s="1" t="s">
        <v>82</v>
      </c>
      <c r="U664" s="1" t="s">
        <v>82</v>
      </c>
      <c r="V664" s="1" t="s">
        <v>82</v>
      </c>
      <c r="W664" s="1" t="s">
        <v>82</v>
      </c>
      <c r="X664" s="1" t="s">
        <v>12728</v>
      </c>
      <c r="Y664" s="1" t="s">
        <v>82</v>
      </c>
      <c r="Z664" s="1" t="s">
        <v>12729</v>
      </c>
      <c r="AA664" s="1">
        <v>1</v>
      </c>
      <c r="AB664" s="1" t="s">
        <v>12730</v>
      </c>
      <c r="AC664" s="1" t="s">
        <v>12731</v>
      </c>
      <c r="AD664" s="1" t="s">
        <v>93</v>
      </c>
      <c r="AE664" s="1" t="s">
        <v>12732</v>
      </c>
      <c r="AF664" s="1" t="s">
        <v>12733</v>
      </c>
      <c r="AG664" s="1" t="s">
        <v>9250</v>
      </c>
      <c r="AH664" s="1" t="s">
        <v>82</v>
      </c>
      <c r="AI664" s="1" t="s">
        <v>82</v>
      </c>
      <c r="AJ664" s="1" t="s">
        <v>12734</v>
      </c>
      <c r="AK664" s="1" t="s">
        <v>12735</v>
      </c>
      <c r="AL664" s="1" t="s">
        <v>12736</v>
      </c>
      <c r="AM664" s="1" t="s">
        <v>82</v>
      </c>
      <c r="AN664" s="1">
        <v>11</v>
      </c>
      <c r="AO664" s="1">
        <v>0</v>
      </c>
      <c r="AP664" s="1">
        <v>0</v>
      </c>
      <c r="AQ664" s="1">
        <v>2</v>
      </c>
      <c r="AR664" s="1">
        <v>5</v>
      </c>
      <c r="AS664" s="1" t="s">
        <v>9830</v>
      </c>
      <c r="AT664" s="1" t="s">
        <v>9831</v>
      </c>
      <c r="AU664" s="1" t="s">
        <v>9832</v>
      </c>
      <c r="AV664" s="1" t="s">
        <v>12553</v>
      </c>
      <c r="AW664" s="1" t="s">
        <v>12554</v>
      </c>
      <c r="AX664" s="1" t="s">
        <v>82</v>
      </c>
      <c r="AY664" s="1" t="s">
        <v>12542</v>
      </c>
      <c r="AZ664" s="1" t="s">
        <v>12555</v>
      </c>
      <c r="BA664" s="1" t="s">
        <v>3422</v>
      </c>
      <c r="BB664" s="1">
        <v>2022</v>
      </c>
      <c r="BC664" s="1" t="s">
        <v>82</v>
      </c>
      <c r="BD664" s="1">
        <v>190</v>
      </c>
      <c r="BE664" s="1" t="s">
        <v>82</v>
      </c>
      <c r="BF664" s="1" t="s">
        <v>82</v>
      </c>
      <c r="BG664" s="1" t="s">
        <v>82</v>
      </c>
      <c r="BH664" s="1" t="s">
        <v>82</v>
      </c>
      <c r="BI664" s="1">
        <v>35</v>
      </c>
      <c r="BJ664" s="1">
        <v>45</v>
      </c>
      <c r="BK664" s="1" t="s">
        <v>82</v>
      </c>
      <c r="BL664" s="1" t="s">
        <v>12737</v>
      </c>
      <c r="BM664" s="1" t="str">
        <f>HYPERLINK("http://dx.doi.org/10.3897/phytokeys.190.80724","http://dx.doi.org/10.3897/phytokeys.190.80724")</f>
        <v>http://dx.doi.org/10.3897/phytokeys.190.80724</v>
      </c>
      <c r="BN664" s="1" t="s">
        <v>82</v>
      </c>
      <c r="BO664" s="1" t="s">
        <v>82</v>
      </c>
      <c r="BP664" s="1">
        <v>11</v>
      </c>
      <c r="BQ664" s="1" t="s">
        <v>378</v>
      </c>
      <c r="BR664" s="1" t="s">
        <v>104</v>
      </c>
      <c r="BS664" s="1" t="s">
        <v>378</v>
      </c>
      <c r="BT664" s="1" t="s">
        <v>12738</v>
      </c>
      <c r="BU664" s="1">
        <v>35437381</v>
      </c>
      <c r="BV664" s="1" t="s">
        <v>592</v>
      </c>
      <c r="BW664" s="1" t="s">
        <v>82</v>
      </c>
      <c r="BX664" s="1" t="s">
        <v>82</v>
      </c>
      <c r="BY664" s="1" t="s">
        <v>108</v>
      </c>
      <c r="BZ664" s="1" t="s">
        <v>12739</v>
      </c>
      <c r="CA664" s="1" t="str">
        <f>HYPERLINK("https%3A%2F%2Fwww.webofscience.com%2Fwos%2Fwoscc%2Ffull-record%2FWOS:000759716100003","View Full Record in Web of Science")</f>
        <v>View Full Record in Web of Science</v>
      </c>
    </row>
    <row r="665" s="1" customFormat="1" ht="14.4" spans="1:79">
      <c r="A665">
        <v>664</v>
      </c>
      <c r="B665" s="2" t="s">
        <v>79</v>
      </c>
      <c r="C665" s="1" t="s">
        <v>80</v>
      </c>
      <c r="D665" s="1" t="s">
        <v>12740</v>
      </c>
      <c r="E665" s="1" t="s">
        <v>82</v>
      </c>
      <c r="F665" s="1" t="s">
        <v>82</v>
      </c>
      <c r="G665" s="1" t="s">
        <v>82</v>
      </c>
      <c r="H665" s="1" t="s">
        <v>12741</v>
      </c>
      <c r="I665" s="1" t="s">
        <v>82</v>
      </c>
      <c r="J665" s="1" t="s">
        <v>82</v>
      </c>
      <c r="K665" s="1" t="s">
        <v>12742</v>
      </c>
      <c r="L665" s="1" t="s">
        <v>12542</v>
      </c>
      <c r="M665" s="1">
        <v>1.317</v>
      </c>
      <c r="O665" s="1" t="s">
        <v>82</v>
      </c>
      <c r="P665" s="1" t="s">
        <v>82</v>
      </c>
      <c r="Q665" s="1" t="s">
        <v>87</v>
      </c>
      <c r="R665" s="1" t="s">
        <v>115</v>
      </c>
      <c r="S665" s="1" t="s">
        <v>82</v>
      </c>
      <c r="T665" s="1" t="s">
        <v>82</v>
      </c>
      <c r="U665" s="1" t="s">
        <v>82</v>
      </c>
      <c r="V665" s="1" t="s">
        <v>82</v>
      </c>
      <c r="W665" s="1" t="s">
        <v>82</v>
      </c>
      <c r="X665" s="1" t="s">
        <v>12743</v>
      </c>
      <c r="Y665" s="1" t="s">
        <v>82</v>
      </c>
      <c r="Z665" s="1" t="s">
        <v>12744</v>
      </c>
      <c r="AB665" s="1" t="s">
        <v>12745</v>
      </c>
      <c r="AC665" s="1" t="s">
        <v>12746</v>
      </c>
      <c r="AD665" s="1" t="s">
        <v>120</v>
      </c>
      <c r="AE665" s="1" t="s">
        <v>12747</v>
      </c>
      <c r="AF665" s="1" t="s">
        <v>12748</v>
      </c>
      <c r="AG665" s="1" t="s">
        <v>12749</v>
      </c>
      <c r="AH665" s="1" t="s">
        <v>82</v>
      </c>
      <c r="AI665" s="1" t="s">
        <v>82</v>
      </c>
      <c r="AJ665" s="1" t="s">
        <v>12750</v>
      </c>
      <c r="AK665" s="1" t="s">
        <v>12751</v>
      </c>
      <c r="AL665" s="1" t="s">
        <v>12752</v>
      </c>
      <c r="AM665" s="1" t="s">
        <v>82</v>
      </c>
      <c r="AN665" s="1">
        <v>22</v>
      </c>
      <c r="AO665" s="1">
        <v>0</v>
      </c>
      <c r="AP665" s="1">
        <v>0</v>
      </c>
      <c r="AQ665" s="1">
        <v>2</v>
      </c>
      <c r="AR665" s="1">
        <v>4</v>
      </c>
      <c r="AS665" s="1" t="s">
        <v>9830</v>
      </c>
      <c r="AT665" s="1" t="s">
        <v>9831</v>
      </c>
      <c r="AU665" s="1" t="s">
        <v>9832</v>
      </c>
      <c r="AV665" s="1" t="s">
        <v>12553</v>
      </c>
      <c r="AW665" s="1" t="s">
        <v>12554</v>
      </c>
      <c r="AX665" s="1" t="s">
        <v>82</v>
      </c>
      <c r="AY665" s="1" t="s">
        <v>12542</v>
      </c>
      <c r="AZ665" s="1" t="s">
        <v>12555</v>
      </c>
      <c r="BA665" s="1" t="s">
        <v>6464</v>
      </c>
      <c r="BB665" s="1">
        <v>2022</v>
      </c>
      <c r="BC665" s="1" t="s">
        <v>82</v>
      </c>
      <c r="BD665" s="1">
        <v>189</v>
      </c>
      <c r="BE665" s="1" t="s">
        <v>82</v>
      </c>
      <c r="BF665" s="1" t="s">
        <v>82</v>
      </c>
      <c r="BG665" s="1" t="s">
        <v>82</v>
      </c>
      <c r="BH665" s="1" t="s">
        <v>82</v>
      </c>
      <c r="BI665" s="1">
        <v>51</v>
      </c>
      <c r="BJ665" s="1">
        <v>60</v>
      </c>
      <c r="BK665" s="1" t="s">
        <v>82</v>
      </c>
      <c r="BL665" s="1" t="s">
        <v>12753</v>
      </c>
      <c r="BM665" s="1" t="str">
        <f>HYPERLINK("http://dx.doi.org/10.3897/phytokeys.189.80016","http://dx.doi.org/10.3897/phytokeys.189.80016")</f>
        <v>http://dx.doi.org/10.3897/phytokeys.189.80016</v>
      </c>
      <c r="BN665" s="1" t="s">
        <v>82</v>
      </c>
      <c r="BO665" s="1" t="s">
        <v>82</v>
      </c>
      <c r="BP665" s="1">
        <v>10</v>
      </c>
      <c r="BQ665" s="1" t="s">
        <v>378</v>
      </c>
      <c r="BR665" s="1" t="s">
        <v>104</v>
      </c>
      <c r="BS665" s="1" t="s">
        <v>378</v>
      </c>
      <c r="BT665" s="1" t="s">
        <v>12754</v>
      </c>
      <c r="BU665" s="1">
        <v>35136360</v>
      </c>
      <c r="BV665" s="1" t="s">
        <v>635</v>
      </c>
      <c r="BW665" s="1" t="s">
        <v>82</v>
      </c>
      <c r="BX665" s="1" t="s">
        <v>82</v>
      </c>
      <c r="BY665" s="1" t="s">
        <v>108</v>
      </c>
      <c r="BZ665" s="1" t="s">
        <v>12755</v>
      </c>
      <c r="CA665" s="1" t="str">
        <f>HYPERLINK("https%3A%2F%2Fwww.webofscience.com%2Fwos%2Fwoscc%2Ffull-record%2FWOS:000753117600001","View Full Record in Web of Science")</f>
        <v>View Full Record in Web of Science</v>
      </c>
    </row>
    <row r="666" s="1" customFormat="1" ht="14.4" spans="1:79">
      <c r="A666">
        <v>665</v>
      </c>
      <c r="B666" s="2" t="s">
        <v>79</v>
      </c>
      <c r="C666" s="1" t="s">
        <v>80</v>
      </c>
      <c r="D666" s="1" t="s">
        <v>12756</v>
      </c>
      <c r="E666" s="1" t="s">
        <v>82</v>
      </c>
      <c r="F666" s="1" t="s">
        <v>82</v>
      </c>
      <c r="G666" s="1" t="s">
        <v>82</v>
      </c>
      <c r="H666" s="1" t="s">
        <v>12757</v>
      </c>
      <c r="I666" s="1" t="s">
        <v>82</v>
      </c>
      <c r="J666" s="1" t="s">
        <v>82</v>
      </c>
      <c r="K666" s="1" t="s">
        <v>12758</v>
      </c>
      <c r="L666" s="1" t="s">
        <v>12542</v>
      </c>
      <c r="M666" s="1">
        <v>1.317</v>
      </c>
      <c r="O666" s="1" t="s">
        <v>82</v>
      </c>
      <c r="P666" s="1" t="s">
        <v>82</v>
      </c>
      <c r="Q666" s="1" t="s">
        <v>87</v>
      </c>
      <c r="R666" s="1" t="s">
        <v>115</v>
      </c>
      <c r="S666" s="1" t="s">
        <v>82</v>
      </c>
      <c r="T666" s="1" t="s">
        <v>82</v>
      </c>
      <c r="U666" s="1" t="s">
        <v>82</v>
      </c>
      <c r="V666" s="1" t="s">
        <v>82</v>
      </c>
      <c r="W666" s="1" t="s">
        <v>82</v>
      </c>
      <c r="X666" s="1" t="s">
        <v>12759</v>
      </c>
      <c r="Y666" s="1" t="s">
        <v>12760</v>
      </c>
      <c r="Z666" s="1" t="s">
        <v>12761</v>
      </c>
      <c r="AA666" s="1">
        <v>1</v>
      </c>
      <c r="AB666" s="1" t="s">
        <v>12762</v>
      </c>
      <c r="AC666" s="1" t="s">
        <v>12763</v>
      </c>
      <c r="AD666" s="1" t="s">
        <v>93</v>
      </c>
      <c r="AE666" s="1" t="s">
        <v>12764</v>
      </c>
      <c r="AF666" s="1" t="s">
        <v>12765</v>
      </c>
      <c r="AG666" s="1" t="s">
        <v>12766</v>
      </c>
      <c r="AH666" s="1" t="s">
        <v>10771</v>
      </c>
      <c r="AI666" s="1" t="s">
        <v>12767</v>
      </c>
      <c r="AJ666" s="1" t="s">
        <v>12768</v>
      </c>
      <c r="AK666" s="1" t="s">
        <v>12769</v>
      </c>
      <c r="AL666" s="1" t="s">
        <v>12770</v>
      </c>
      <c r="AM666" s="1" t="s">
        <v>82</v>
      </c>
      <c r="AN666" s="1">
        <v>48</v>
      </c>
      <c r="AO666" s="1">
        <v>0</v>
      </c>
      <c r="AP666" s="1">
        <v>0</v>
      </c>
      <c r="AQ666" s="1">
        <v>3</v>
      </c>
      <c r="AR666" s="1">
        <v>11</v>
      </c>
      <c r="AS666" s="1" t="s">
        <v>9830</v>
      </c>
      <c r="AT666" s="1" t="s">
        <v>9831</v>
      </c>
      <c r="AU666" s="1" t="s">
        <v>9832</v>
      </c>
      <c r="AV666" s="1" t="s">
        <v>12553</v>
      </c>
      <c r="AW666" s="1" t="s">
        <v>12554</v>
      </c>
      <c r="AX666" s="1" t="s">
        <v>82</v>
      </c>
      <c r="AY666" s="1" t="s">
        <v>12542</v>
      </c>
      <c r="AZ666" s="1" t="s">
        <v>12555</v>
      </c>
      <c r="BA666" s="1" t="s">
        <v>7042</v>
      </c>
      <c r="BB666" s="1">
        <v>2022</v>
      </c>
      <c r="BC666" s="1" t="s">
        <v>82</v>
      </c>
      <c r="BD666" s="1">
        <v>189</v>
      </c>
      <c r="BE666" s="1" t="s">
        <v>82</v>
      </c>
      <c r="BF666" s="1" t="s">
        <v>82</v>
      </c>
      <c r="BG666" s="1" t="s">
        <v>82</v>
      </c>
      <c r="BH666" s="1" t="s">
        <v>82</v>
      </c>
      <c r="BI666" s="1">
        <v>9</v>
      </c>
      <c r="BJ666" s="1">
        <v>28</v>
      </c>
      <c r="BK666" s="1" t="s">
        <v>82</v>
      </c>
      <c r="BL666" s="1" t="s">
        <v>12771</v>
      </c>
      <c r="BM666" s="1" t="str">
        <f>HYPERLINK("http://dx.doi.org/10.3897/phytokeys.189.77926","http://dx.doi.org/10.3897/phytokeys.189.77926")</f>
        <v>http://dx.doi.org/10.3897/phytokeys.189.77926</v>
      </c>
      <c r="BN666" s="1" t="s">
        <v>82</v>
      </c>
      <c r="BO666" s="1" t="s">
        <v>82</v>
      </c>
      <c r="BP666" s="1">
        <v>20</v>
      </c>
      <c r="BQ666" s="1" t="s">
        <v>378</v>
      </c>
      <c r="BR666" s="1" t="s">
        <v>104</v>
      </c>
      <c r="BS666" s="1" t="s">
        <v>378</v>
      </c>
      <c r="BT666" s="1" t="s">
        <v>12772</v>
      </c>
      <c r="BU666" s="1">
        <v>35115879</v>
      </c>
      <c r="BV666" s="1" t="s">
        <v>635</v>
      </c>
      <c r="BW666" s="1" t="s">
        <v>82</v>
      </c>
      <c r="BX666" s="1" t="s">
        <v>82</v>
      </c>
      <c r="BY666" s="1" t="s">
        <v>108</v>
      </c>
      <c r="BZ666" s="1" t="s">
        <v>12773</v>
      </c>
      <c r="CA666" s="1" t="str">
        <f>HYPERLINK("https%3A%2F%2Fwww.webofscience.com%2Fwos%2Fwoscc%2Ffull-record%2FWOS:000747769100002","View Full Record in Web of Science")</f>
        <v>View Full Record in Web of Science</v>
      </c>
    </row>
    <row r="667" s="1" customFormat="1" ht="14.4" spans="1:79">
      <c r="A667">
        <v>666</v>
      </c>
      <c r="B667" s="2" t="s">
        <v>79</v>
      </c>
      <c r="C667" s="1" t="s">
        <v>80</v>
      </c>
      <c r="D667" s="1" t="s">
        <v>12774</v>
      </c>
      <c r="E667" s="1" t="s">
        <v>82</v>
      </c>
      <c r="F667" s="1" t="s">
        <v>82</v>
      </c>
      <c r="G667" s="1" t="s">
        <v>82</v>
      </c>
      <c r="H667" s="1" t="s">
        <v>12775</v>
      </c>
      <c r="I667" s="1" t="s">
        <v>82</v>
      </c>
      <c r="J667" s="1" t="s">
        <v>82</v>
      </c>
      <c r="K667" s="1" t="s">
        <v>12776</v>
      </c>
      <c r="L667" s="1" t="s">
        <v>12542</v>
      </c>
      <c r="M667" s="1">
        <v>1.317</v>
      </c>
      <c r="O667" s="1" t="s">
        <v>82</v>
      </c>
      <c r="P667" s="1" t="s">
        <v>82</v>
      </c>
      <c r="Q667" s="1" t="s">
        <v>87</v>
      </c>
      <c r="R667" s="1" t="s">
        <v>115</v>
      </c>
      <c r="S667" s="1" t="s">
        <v>82</v>
      </c>
      <c r="T667" s="1" t="s">
        <v>82</v>
      </c>
      <c r="U667" s="1" t="s">
        <v>82</v>
      </c>
      <c r="V667" s="1" t="s">
        <v>82</v>
      </c>
      <c r="W667" s="1" t="s">
        <v>82</v>
      </c>
      <c r="X667" s="1" t="s">
        <v>12777</v>
      </c>
      <c r="Y667" s="1" t="s">
        <v>12778</v>
      </c>
      <c r="Z667" s="1" t="s">
        <v>12779</v>
      </c>
      <c r="AB667" s="1" t="s">
        <v>12780</v>
      </c>
      <c r="AC667" s="1" t="s">
        <v>12781</v>
      </c>
      <c r="AD667" s="1" t="s">
        <v>120</v>
      </c>
      <c r="AE667" s="1" t="s">
        <v>12782</v>
      </c>
      <c r="AF667" s="1" t="s">
        <v>12783</v>
      </c>
      <c r="AG667" s="1" t="s">
        <v>12784</v>
      </c>
      <c r="AH667" s="1" t="s">
        <v>82</v>
      </c>
      <c r="AI667" s="1" t="s">
        <v>82</v>
      </c>
      <c r="AJ667" s="1" t="s">
        <v>82</v>
      </c>
      <c r="AK667" s="1" t="s">
        <v>82</v>
      </c>
      <c r="AL667" s="1" t="s">
        <v>82</v>
      </c>
      <c r="AM667" s="1" t="s">
        <v>82</v>
      </c>
      <c r="AN667" s="1">
        <v>27</v>
      </c>
      <c r="AO667" s="1">
        <v>0</v>
      </c>
      <c r="AP667" s="1">
        <v>0</v>
      </c>
      <c r="AQ667" s="1">
        <v>4</v>
      </c>
      <c r="AR667" s="1">
        <v>4</v>
      </c>
      <c r="AS667" s="1" t="s">
        <v>9830</v>
      </c>
      <c r="AT667" s="1" t="s">
        <v>9831</v>
      </c>
      <c r="AU667" s="1" t="s">
        <v>9832</v>
      </c>
      <c r="AV667" s="1" t="s">
        <v>12553</v>
      </c>
      <c r="AW667" s="1" t="s">
        <v>12554</v>
      </c>
      <c r="AX667" s="1" t="s">
        <v>82</v>
      </c>
      <c r="AY667" s="1" t="s">
        <v>12542</v>
      </c>
      <c r="AZ667" s="1" t="s">
        <v>12555</v>
      </c>
      <c r="BA667" s="1" t="s">
        <v>12785</v>
      </c>
      <c r="BB667" s="1">
        <v>2022</v>
      </c>
      <c r="BC667" s="1" t="s">
        <v>82</v>
      </c>
      <c r="BD667" s="1">
        <v>201</v>
      </c>
      <c r="BE667" s="1" t="s">
        <v>82</v>
      </c>
      <c r="BF667" s="1" t="s">
        <v>82</v>
      </c>
      <c r="BG667" s="1" t="s">
        <v>82</v>
      </c>
      <c r="BH667" s="1" t="s">
        <v>82</v>
      </c>
      <c r="BI667" s="1">
        <v>123</v>
      </c>
      <c r="BJ667" s="1">
        <v>129</v>
      </c>
      <c r="BK667" s="1" t="s">
        <v>82</v>
      </c>
      <c r="BL667" s="1" t="s">
        <v>12786</v>
      </c>
      <c r="BM667" s="1" t="str">
        <f>HYPERLINK("http://dx.doi.org/10.3897/phytokeys.201.77574","http://dx.doi.org/10.3897/phytokeys.201.77574")</f>
        <v>http://dx.doi.org/10.3897/phytokeys.201.77574</v>
      </c>
      <c r="BN667" s="1" t="s">
        <v>82</v>
      </c>
      <c r="BO667" s="1" t="s">
        <v>82</v>
      </c>
      <c r="BP667" s="1">
        <v>7</v>
      </c>
      <c r="BQ667" s="1" t="s">
        <v>378</v>
      </c>
      <c r="BR667" s="1" t="s">
        <v>104</v>
      </c>
      <c r="BS667" s="1" t="s">
        <v>378</v>
      </c>
      <c r="BT667" s="1" t="s">
        <v>12787</v>
      </c>
      <c r="BU667" s="1" t="s">
        <v>82</v>
      </c>
      <c r="BV667" s="1" t="s">
        <v>808</v>
      </c>
      <c r="BW667" s="1" t="s">
        <v>82</v>
      </c>
      <c r="BX667" s="1" t="s">
        <v>82</v>
      </c>
      <c r="BY667" s="1" t="s">
        <v>108</v>
      </c>
      <c r="BZ667" s="1" t="s">
        <v>12788</v>
      </c>
      <c r="CA667" s="1" t="str">
        <f>HYPERLINK("https%3A%2F%2Fwww.webofscience.com%2Fwos%2Fwoscc%2Ffull-record%2FWOS:000821852800001","View Full Record in Web of Science")</f>
        <v>View Full Record in Web of Science</v>
      </c>
    </row>
    <row r="668" s="1" customFormat="1" ht="14.4" spans="1:79">
      <c r="A668">
        <v>667</v>
      </c>
      <c r="B668" s="2" t="s">
        <v>79</v>
      </c>
      <c r="C668" s="1" t="s">
        <v>80</v>
      </c>
      <c r="D668" s="1" t="s">
        <v>12789</v>
      </c>
      <c r="E668" s="1" t="s">
        <v>82</v>
      </c>
      <c r="F668" s="1" t="s">
        <v>82</v>
      </c>
      <c r="G668" s="1" t="s">
        <v>82</v>
      </c>
      <c r="H668" s="1" t="s">
        <v>12790</v>
      </c>
      <c r="I668" s="1" t="s">
        <v>82</v>
      </c>
      <c r="J668" s="1" t="s">
        <v>82</v>
      </c>
      <c r="K668" s="1" t="s">
        <v>12791</v>
      </c>
      <c r="L668" s="1" t="s">
        <v>12792</v>
      </c>
      <c r="M668" s="1">
        <v>1.177</v>
      </c>
      <c r="O668" s="1" t="s">
        <v>82</v>
      </c>
      <c r="P668" s="1" t="s">
        <v>82</v>
      </c>
      <c r="Q668" s="1" t="s">
        <v>87</v>
      </c>
      <c r="R668" s="1" t="s">
        <v>200</v>
      </c>
      <c r="S668" s="1" t="s">
        <v>82</v>
      </c>
      <c r="T668" s="1" t="s">
        <v>82</v>
      </c>
      <c r="U668" s="1" t="s">
        <v>82</v>
      </c>
      <c r="V668" s="1" t="s">
        <v>82</v>
      </c>
      <c r="W668" s="1" t="s">
        <v>82</v>
      </c>
      <c r="X668" s="1" t="s">
        <v>12793</v>
      </c>
      <c r="Y668" s="1" t="s">
        <v>12794</v>
      </c>
      <c r="Z668" s="1" t="s">
        <v>12795</v>
      </c>
      <c r="AB668" s="1" t="s">
        <v>12796</v>
      </c>
      <c r="AC668" s="1" t="s">
        <v>12797</v>
      </c>
      <c r="AD668" s="1" t="s">
        <v>120</v>
      </c>
      <c r="AE668" s="1" t="s">
        <v>12798</v>
      </c>
      <c r="AF668" s="1" t="s">
        <v>12799</v>
      </c>
      <c r="AG668" s="1" t="s">
        <v>12800</v>
      </c>
      <c r="AH668" s="1" t="s">
        <v>82</v>
      </c>
      <c r="AI668" s="1" t="s">
        <v>82</v>
      </c>
      <c r="AJ668" s="1" t="s">
        <v>12801</v>
      </c>
      <c r="AK668" s="1" t="s">
        <v>442</v>
      </c>
      <c r="AL668" s="1" t="s">
        <v>12802</v>
      </c>
      <c r="AM668" s="1" t="s">
        <v>82</v>
      </c>
      <c r="AN668" s="1">
        <v>49</v>
      </c>
      <c r="AO668" s="1">
        <v>0</v>
      </c>
      <c r="AP668" s="1">
        <v>1</v>
      </c>
      <c r="AQ668" s="1">
        <v>5</v>
      </c>
      <c r="AR668" s="1">
        <v>8</v>
      </c>
      <c r="AS668" s="1" t="s">
        <v>12803</v>
      </c>
      <c r="AT668" s="1" t="s">
        <v>12804</v>
      </c>
      <c r="AU668" s="1" t="s">
        <v>12805</v>
      </c>
      <c r="AV668" s="1" t="s">
        <v>12806</v>
      </c>
      <c r="AW668" s="1" t="s">
        <v>12807</v>
      </c>
      <c r="AX668" s="1" t="s">
        <v>82</v>
      </c>
      <c r="AY668" s="1" t="s">
        <v>12792</v>
      </c>
      <c r="AZ668" s="1" t="s">
        <v>12808</v>
      </c>
      <c r="BA668" s="1" t="s">
        <v>12809</v>
      </c>
      <c r="BB668" s="1">
        <v>2022</v>
      </c>
      <c r="BC668" s="1">
        <v>125</v>
      </c>
      <c r="BD668" s="1">
        <v>1</v>
      </c>
      <c r="BE668" s="1" t="s">
        <v>82</v>
      </c>
      <c r="BF668" s="1" t="s">
        <v>82</v>
      </c>
      <c r="BG668" s="1" t="s">
        <v>82</v>
      </c>
      <c r="BH668" s="1" t="s">
        <v>82</v>
      </c>
      <c r="BI668" s="1">
        <v>148</v>
      </c>
      <c r="BJ668" s="1">
        <v>156</v>
      </c>
      <c r="BK668" s="1" t="s">
        <v>82</v>
      </c>
      <c r="BL668" s="1" t="s">
        <v>12810</v>
      </c>
      <c r="BM668" s="1" t="str">
        <f>HYPERLINK("http://dx.doi.org/10.1639/0007-2745-125.1.148","http://dx.doi.org/10.1639/0007-2745-125.1.148")</f>
        <v>http://dx.doi.org/10.1639/0007-2745-125.1.148</v>
      </c>
      <c r="BN668" s="1" t="s">
        <v>82</v>
      </c>
      <c r="BO668" s="1" t="s">
        <v>82</v>
      </c>
      <c r="BP668" s="1">
        <v>9</v>
      </c>
      <c r="BQ668" s="1" t="s">
        <v>378</v>
      </c>
      <c r="BR668" s="1" t="s">
        <v>104</v>
      </c>
      <c r="BS668" s="1" t="s">
        <v>378</v>
      </c>
      <c r="BT668" s="1" t="s">
        <v>12811</v>
      </c>
      <c r="BU668" s="1" t="s">
        <v>82</v>
      </c>
      <c r="BV668" s="1" t="s">
        <v>82</v>
      </c>
      <c r="BW668" s="1" t="s">
        <v>82</v>
      </c>
      <c r="BX668" s="1" t="s">
        <v>82</v>
      </c>
      <c r="BY668" s="1" t="s">
        <v>108</v>
      </c>
      <c r="BZ668" s="1" t="s">
        <v>12812</v>
      </c>
      <c r="CA668" s="1" t="str">
        <f>HYPERLINK("https%3A%2F%2Fwww.webofscience.com%2Fwos%2Fwoscc%2Ffull-record%2FWOS:000768795300011","View Full Record in Web of Science")</f>
        <v>View Full Record in Web of Science</v>
      </c>
    </row>
    <row r="669" s="1" customFormat="1" ht="14.4" spans="1:79">
      <c r="A669">
        <v>668</v>
      </c>
      <c r="B669" s="2" t="s">
        <v>79</v>
      </c>
      <c r="C669" s="1" t="s">
        <v>80</v>
      </c>
      <c r="D669" s="1" t="s">
        <v>12813</v>
      </c>
      <c r="E669" s="1" t="s">
        <v>82</v>
      </c>
      <c r="F669" s="1" t="s">
        <v>82</v>
      </c>
      <c r="G669" s="1" t="s">
        <v>82</v>
      </c>
      <c r="H669" s="1" t="s">
        <v>12814</v>
      </c>
      <c r="I669" s="1" t="s">
        <v>82</v>
      </c>
      <c r="J669" s="1" t="s">
        <v>82</v>
      </c>
      <c r="K669" s="1" t="s">
        <v>12815</v>
      </c>
      <c r="L669" s="1" t="s">
        <v>12816</v>
      </c>
      <c r="M669" s="1">
        <v>1.101</v>
      </c>
      <c r="O669" s="1" t="s">
        <v>82</v>
      </c>
      <c r="P669" s="1" t="s">
        <v>82</v>
      </c>
      <c r="Q669" s="1" t="s">
        <v>87</v>
      </c>
      <c r="R669" s="1" t="s">
        <v>115</v>
      </c>
      <c r="S669" s="1" t="s">
        <v>82</v>
      </c>
      <c r="T669" s="1" t="s">
        <v>82</v>
      </c>
      <c r="U669" s="1" t="s">
        <v>82</v>
      </c>
      <c r="V669" s="1" t="s">
        <v>82</v>
      </c>
      <c r="W669" s="1" t="s">
        <v>82</v>
      </c>
      <c r="X669" s="1" t="s">
        <v>12817</v>
      </c>
      <c r="Y669" s="1" t="s">
        <v>12818</v>
      </c>
      <c r="Z669" s="1" t="s">
        <v>12819</v>
      </c>
      <c r="AB669" s="1" t="s">
        <v>12820</v>
      </c>
      <c r="AC669" s="1" t="s">
        <v>12821</v>
      </c>
      <c r="AD669" s="1" t="s">
        <v>120</v>
      </c>
      <c r="AE669" s="1" t="s">
        <v>12822</v>
      </c>
      <c r="AF669" s="1" t="s">
        <v>12823</v>
      </c>
      <c r="AG669" s="1" t="s">
        <v>12824</v>
      </c>
      <c r="AH669" s="1" t="s">
        <v>82</v>
      </c>
      <c r="AI669" s="1" t="s">
        <v>82</v>
      </c>
      <c r="AJ669" s="1" t="s">
        <v>12825</v>
      </c>
      <c r="AK669" s="1" t="s">
        <v>12826</v>
      </c>
      <c r="AL669" s="1" t="s">
        <v>12827</v>
      </c>
      <c r="AM669" s="1" t="s">
        <v>82</v>
      </c>
      <c r="AN669" s="1">
        <v>54</v>
      </c>
      <c r="AO669" s="1">
        <v>1</v>
      </c>
      <c r="AP669" s="1">
        <v>1</v>
      </c>
      <c r="AQ669" s="1">
        <v>13</v>
      </c>
      <c r="AR669" s="1">
        <v>41</v>
      </c>
      <c r="AS669" s="1" t="s">
        <v>12828</v>
      </c>
      <c r="AT669" s="1" t="s">
        <v>12829</v>
      </c>
      <c r="AU669" s="1" t="s">
        <v>12830</v>
      </c>
      <c r="AV669" s="1" t="s">
        <v>12831</v>
      </c>
      <c r="AW669" s="1" t="s">
        <v>12832</v>
      </c>
      <c r="AX669" s="1" t="s">
        <v>82</v>
      </c>
      <c r="AY669" s="1" t="s">
        <v>12833</v>
      </c>
      <c r="AZ669" s="1" t="s">
        <v>12834</v>
      </c>
      <c r="BA669" s="1" t="s">
        <v>657</v>
      </c>
      <c r="BB669" s="1">
        <v>2022</v>
      </c>
      <c r="BC669" s="1">
        <v>54</v>
      </c>
      <c r="BD669" s="1">
        <v>2</v>
      </c>
      <c r="BE669" s="1" t="s">
        <v>82</v>
      </c>
      <c r="BF669" s="1" t="s">
        <v>82</v>
      </c>
      <c r="BG669" s="1" t="s">
        <v>82</v>
      </c>
      <c r="BH669" s="1" t="s">
        <v>82</v>
      </c>
      <c r="BI669" s="1">
        <v>609</v>
      </c>
      <c r="BJ669" s="1">
        <v>618</v>
      </c>
      <c r="BK669" s="1" t="s">
        <v>82</v>
      </c>
      <c r="BL669" s="1" t="s">
        <v>12835</v>
      </c>
      <c r="BM669" s="1" t="str">
        <f>HYPERLINK("http://dx.doi.org/10.30848/PJB2022-2(25)","http://dx.doi.org/10.30848/PJB2022-2(25)")</f>
        <v>http://dx.doi.org/10.30848/PJB2022-2(25)</v>
      </c>
      <c r="BN669" s="1" t="s">
        <v>82</v>
      </c>
      <c r="BO669" s="1" t="s">
        <v>82</v>
      </c>
      <c r="BP669" s="1">
        <v>10</v>
      </c>
      <c r="BQ669" s="1" t="s">
        <v>378</v>
      </c>
      <c r="BR669" s="1" t="s">
        <v>104</v>
      </c>
      <c r="BS669" s="1" t="s">
        <v>378</v>
      </c>
      <c r="BT669" s="1" t="s">
        <v>12836</v>
      </c>
      <c r="BU669" s="1" t="s">
        <v>82</v>
      </c>
      <c r="BV669" s="1" t="s">
        <v>82</v>
      </c>
      <c r="BW669" s="1" t="s">
        <v>82</v>
      </c>
      <c r="BX669" s="1" t="s">
        <v>82</v>
      </c>
      <c r="BY669" s="1" t="s">
        <v>108</v>
      </c>
      <c r="BZ669" s="1" t="s">
        <v>12837</v>
      </c>
      <c r="CA669" s="1" t="str">
        <f>HYPERLINK("https%3A%2F%2Fwww.webofscience.com%2Fwos%2Fwoscc%2Ffull-record%2FWOS:000754801100008","View Full Record in Web of Science")</f>
        <v>View Full Record in Web of Science</v>
      </c>
    </row>
    <row r="670" s="1" customFormat="1" ht="14.4" spans="1:79">
      <c r="A670">
        <v>669</v>
      </c>
      <c r="B670" t="s">
        <v>79</v>
      </c>
      <c r="C670" t="s">
        <v>80</v>
      </c>
      <c r="D670" t="s">
        <v>12838</v>
      </c>
      <c r="E670" t="s">
        <v>82</v>
      </c>
      <c r="F670" t="s">
        <v>82</v>
      </c>
      <c r="G670" t="s">
        <v>82</v>
      </c>
      <c r="H670" t="s">
        <v>12839</v>
      </c>
      <c r="I670" t="s">
        <v>82</v>
      </c>
      <c r="J670"/>
      <c r="K670" t="s">
        <v>12840</v>
      </c>
      <c r="L670" t="s">
        <v>12841</v>
      </c>
      <c r="M670">
        <v>1.05</v>
      </c>
      <c r="N670"/>
      <c r="O670" t="s">
        <v>82</v>
      </c>
      <c r="P670" t="s">
        <v>82</v>
      </c>
      <c r="Q670" t="s">
        <v>87</v>
      </c>
      <c r="R670" t="s">
        <v>115</v>
      </c>
      <c r="S670" t="s">
        <v>82</v>
      </c>
      <c r="T670" t="s">
        <v>82</v>
      </c>
      <c r="U670" t="s">
        <v>82</v>
      </c>
      <c r="V670" t="s">
        <v>82</v>
      </c>
      <c r="W670" t="s">
        <v>82</v>
      </c>
      <c r="X670" t="s">
        <v>12842</v>
      </c>
      <c r="Y670" t="s">
        <v>12843</v>
      </c>
      <c r="Z670" t="s">
        <v>12844</v>
      </c>
      <c r="AA670">
        <v>1</v>
      </c>
      <c r="AB670" t="s">
        <v>12845</v>
      </c>
      <c r="AC670" t="s">
        <v>12846</v>
      </c>
      <c r="AD670" s="1" t="s">
        <v>93</v>
      </c>
      <c r="AE670" t="s">
        <v>12847</v>
      </c>
      <c r="AF670" t="s">
        <v>12848</v>
      </c>
      <c r="AG670" t="s">
        <v>12849</v>
      </c>
      <c r="AH670" t="s">
        <v>82</v>
      </c>
      <c r="AI670" t="s">
        <v>82</v>
      </c>
      <c r="AJ670" t="s">
        <v>12850</v>
      </c>
      <c r="AK670" t="s">
        <v>12851</v>
      </c>
      <c r="AL670" t="s">
        <v>12852</v>
      </c>
      <c r="AM670" t="s">
        <v>82</v>
      </c>
      <c r="AN670">
        <v>39</v>
      </c>
      <c r="AO670">
        <v>0</v>
      </c>
      <c r="AP670">
        <v>0</v>
      </c>
      <c r="AQ670">
        <v>0</v>
      </c>
      <c r="AR670">
        <v>0</v>
      </c>
      <c r="AS670" t="s">
        <v>12853</v>
      </c>
      <c r="AT670" t="s">
        <v>12854</v>
      </c>
      <c r="AU670" t="s">
        <v>12855</v>
      </c>
      <c r="AV670" t="s">
        <v>12856</v>
      </c>
      <c r="AW670" t="s">
        <v>12857</v>
      </c>
      <c r="AX670" t="s">
        <v>82</v>
      </c>
      <c r="AY670" t="s">
        <v>12841</v>
      </c>
      <c r="AZ670" t="s">
        <v>12858</v>
      </c>
      <c r="BA670" t="s">
        <v>12156</v>
      </c>
      <c r="BB670">
        <v>2022</v>
      </c>
      <c r="BC670">
        <v>574</v>
      </c>
      <c r="BD670">
        <v>4</v>
      </c>
      <c r="BE670" t="s">
        <v>82</v>
      </c>
      <c r="BF670" t="s">
        <v>82</v>
      </c>
      <c r="BG670" t="s">
        <v>82</v>
      </c>
      <c r="BH670" t="s">
        <v>82</v>
      </c>
      <c r="BI670">
        <v>259</v>
      </c>
      <c r="BJ670">
        <v>272</v>
      </c>
      <c r="BK670" t="s">
        <v>82</v>
      </c>
      <c r="BL670" t="s">
        <v>12859</v>
      </c>
      <c r="BM670" t="s">
        <v>12860</v>
      </c>
      <c r="BN670" t="s">
        <v>82</v>
      </c>
      <c r="BO670" t="s">
        <v>82</v>
      </c>
      <c r="BP670">
        <v>14</v>
      </c>
      <c r="BQ670" t="s">
        <v>378</v>
      </c>
      <c r="BR670" t="s">
        <v>104</v>
      </c>
      <c r="BS670" t="s">
        <v>378</v>
      </c>
      <c r="BT670" t="s">
        <v>12861</v>
      </c>
      <c r="BU670" t="s">
        <v>82</v>
      </c>
      <c r="BV670" t="s">
        <v>82</v>
      </c>
      <c r="BW670" t="s">
        <v>82</v>
      </c>
      <c r="BX670" t="s">
        <v>82</v>
      </c>
      <c r="BY670" t="s">
        <v>340</v>
      </c>
      <c r="BZ670" t="s">
        <v>12862</v>
      </c>
      <c r="CA670" t="s">
        <v>342</v>
      </c>
    </row>
    <row r="671" s="1" customFormat="1" ht="14.4" spans="1:79">
      <c r="A671">
        <v>670</v>
      </c>
      <c r="B671" s="2" t="s">
        <v>79</v>
      </c>
      <c r="C671" s="1" t="s">
        <v>80</v>
      </c>
      <c r="D671" s="1" t="s">
        <v>12863</v>
      </c>
      <c r="E671" s="1" t="s">
        <v>82</v>
      </c>
      <c r="F671" s="1" t="s">
        <v>82</v>
      </c>
      <c r="G671" s="1" t="s">
        <v>82</v>
      </c>
      <c r="H671" s="1" t="s">
        <v>12864</v>
      </c>
      <c r="I671" s="1" t="s">
        <v>82</v>
      </c>
      <c r="J671" s="1" t="s">
        <v>82</v>
      </c>
      <c r="K671" s="1" t="s">
        <v>12865</v>
      </c>
      <c r="L671" s="1" t="s">
        <v>12841</v>
      </c>
      <c r="M671" s="1">
        <v>1.05</v>
      </c>
      <c r="O671" s="1" t="s">
        <v>82</v>
      </c>
      <c r="P671" s="1" t="s">
        <v>82</v>
      </c>
      <c r="Q671" s="1" t="s">
        <v>87</v>
      </c>
      <c r="R671" s="1" t="s">
        <v>115</v>
      </c>
      <c r="S671" s="1" t="s">
        <v>82</v>
      </c>
      <c r="T671" s="1" t="s">
        <v>82</v>
      </c>
      <c r="U671" s="1" t="s">
        <v>82</v>
      </c>
      <c r="V671" s="1" t="s">
        <v>82</v>
      </c>
      <c r="W671" s="1" t="s">
        <v>82</v>
      </c>
      <c r="X671" s="1" t="s">
        <v>12866</v>
      </c>
      <c r="Y671" s="1" t="s">
        <v>12867</v>
      </c>
      <c r="Z671" s="1" t="s">
        <v>12868</v>
      </c>
      <c r="AA671" s="1">
        <v>1</v>
      </c>
      <c r="AB671" s="1" t="s">
        <v>12869</v>
      </c>
      <c r="AC671" s="1" t="s">
        <v>12870</v>
      </c>
      <c r="AD671" s="1" t="s">
        <v>93</v>
      </c>
      <c r="AE671" s="1" t="s">
        <v>12871</v>
      </c>
      <c r="AF671" s="1" t="s">
        <v>12872</v>
      </c>
      <c r="AG671" s="1" t="s">
        <v>12873</v>
      </c>
      <c r="AH671" s="1" t="s">
        <v>82</v>
      </c>
      <c r="AI671" s="1" t="s">
        <v>12874</v>
      </c>
      <c r="AJ671" s="1" t="s">
        <v>12875</v>
      </c>
      <c r="AK671" s="1" t="s">
        <v>12876</v>
      </c>
      <c r="AL671" s="1" t="s">
        <v>12877</v>
      </c>
      <c r="AM671" s="1" t="s">
        <v>82</v>
      </c>
      <c r="AN671" s="1">
        <v>39</v>
      </c>
      <c r="AO671" s="1">
        <v>0</v>
      </c>
      <c r="AP671" s="1">
        <v>0</v>
      </c>
      <c r="AQ671" s="1">
        <v>0</v>
      </c>
      <c r="AR671" s="1">
        <v>0</v>
      </c>
      <c r="AS671" s="1" t="s">
        <v>12853</v>
      </c>
      <c r="AT671" s="1" t="s">
        <v>12854</v>
      </c>
      <c r="AU671" s="1" t="s">
        <v>12855</v>
      </c>
      <c r="AV671" s="1" t="s">
        <v>12856</v>
      </c>
      <c r="AW671" s="1" t="s">
        <v>12857</v>
      </c>
      <c r="AX671" s="1" t="s">
        <v>82</v>
      </c>
      <c r="AY671" s="1" t="s">
        <v>12841</v>
      </c>
      <c r="AZ671" s="1" t="s">
        <v>12858</v>
      </c>
      <c r="BA671" s="1" t="s">
        <v>12878</v>
      </c>
      <c r="BB671" s="1">
        <v>2022</v>
      </c>
      <c r="BC671" s="1">
        <v>575</v>
      </c>
      <c r="BD671" s="1">
        <v>3</v>
      </c>
      <c r="BE671" s="1" t="s">
        <v>82</v>
      </c>
      <c r="BF671" s="1" t="s">
        <v>82</v>
      </c>
      <c r="BG671" s="1" t="s">
        <v>82</v>
      </c>
      <c r="BH671" s="1" t="s">
        <v>82</v>
      </c>
      <c r="BI671" s="1">
        <v>276</v>
      </c>
      <c r="BJ671" s="1">
        <v>286</v>
      </c>
      <c r="BK671" s="1" t="s">
        <v>82</v>
      </c>
      <c r="BL671" s="1" t="s">
        <v>12879</v>
      </c>
      <c r="BM671" s="1" t="str">
        <f>HYPERLINK("http://dx.doi.org/10.11646/phytotaxa.575.3.5","http://dx.doi.org/10.11646/phytotaxa.575.3.5")</f>
        <v>http://dx.doi.org/10.11646/phytotaxa.575.3.5</v>
      </c>
      <c r="BN671" s="1" t="s">
        <v>82</v>
      </c>
      <c r="BO671" s="1" t="s">
        <v>82</v>
      </c>
      <c r="BP671" s="1">
        <v>11</v>
      </c>
      <c r="BQ671" s="1" t="s">
        <v>378</v>
      </c>
      <c r="BR671" s="1" t="s">
        <v>104</v>
      </c>
      <c r="BS671" s="1" t="s">
        <v>378</v>
      </c>
      <c r="BT671" s="1" t="s">
        <v>12880</v>
      </c>
      <c r="BU671" s="1" t="s">
        <v>82</v>
      </c>
      <c r="BV671" s="1" t="s">
        <v>82</v>
      </c>
      <c r="BW671" s="1" t="s">
        <v>82</v>
      </c>
      <c r="BX671" s="1" t="s">
        <v>82</v>
      </c>
      <c r="BY671" s="1" t="s">
        <v>108</v>
      </c>
      <c r="BZ671" s="1" t="s">
        <v>12881</v>
      </c>
      <c r="CA671" s="1" t="str">
        <f>HYPERLINK("https%3A%2F%2Fwww.webofscience.com%2Fwos%2Fwoscc%2Ffull-record%2FWOS:000899863800005","View Full Record in Web of Science")</f>
        <v>View Full Record in Web of Science</v>
      </c>
    </row>
    <row r="672" s="1" customFormat="1" ht="14.4" spans="1:79">
      <c r="A672">
        <v>671</v>
      </c>
      <c r="B672" s="2" t="s">
        <v>79</v>
      </c>
      <c r="C672" s="1" t="s">
        <v>80</v>
      </c>
      <c r="D672" s="1" t="s">
        <v>12882</v>
      </c>
      <c r="E672" s="1" t="s">
        <v>82</v>
      </c>
      <c r="F672" s="1" t="s">
        <v>82</v>
      </c>
      <c r="G672" s="1" t="s">
        <v>82</v>
      </c>
      <c r="H672" s="1" t="s">
        <v>12883</v>
      </c>
      <c r="I672" s="1" t="s">
        <v>82</v>
      </c>
      <c r="J672" s="1" t="s">
        <v>82</v>
      </c>
      <c r="K672" s="1" t="s">
        <v>12884</v>
      </c>
      <c r="L672" s="1" t="s">
        <v>12841</v>
      </c>
      <c r="M672" s="1">
        <v>1.05</v>
      </c>
      <c r="O672" s="1" t="s">
        <v>82</v>
      </c>
      <c r="P672" s="1" t="s">
        <v>82</v>
      </c>
      <c r="Q672" s="1" t="s">
        <v>87</v>
      </c>
      <c r="R672" s="1" t="s">
        <v>115</v>
      </c>
      <c r="S672" s="1" t="s">
        <v>82</v>
      </c>
      <c r="T672" s="1" t="s">
        <v>82</v>
      </c>
      <c r="U672" s="1" t="s">
        <v>82</v>
      </c>
      <c r="V672" s="1" t="s">
        <v>82</v>
      </c>
      <c r="W672" s="1" t="s">
        <v>82</v>
      </c>
      <c r="X672" s="1" t="s">
        <v>12885</v>
      </c>
      <c r="Y672" s="1" t="s">
        <v>12886</v>
      </c>
      <c r="Z672" s="1" t="s">
        <v>12887</v>
      </c>
      <c r="AA672" s="1">
        <v>1</v>
      </c>
      <c r="AB672" s="1" t="s">
        <v>12888</v>
      </c>
      <c r="AC672" s="1" t="s">
        <v>12889</v>
      </c>
      <c r="AD672" s="1" t="s">
        <v>93</v>
      </c>
      <c r="AE672" s="1" t="s">
        <v>12890</v>
      </c>
      <c r="AF672" s="1" t="s">
        <v>12891</v>
      </c>
      <c r="AG672" s="1" t="s">
        <v>12892</v>
      </c>
      <c r="AH672" s="1" t="s">
        <v>12893</v>
      </c>
      <c r="AI672" s="1" t="s">
        <v>12894</v>
      </c>
      <c r="AJ672" s="1" t="s">
        <v>12895</v>
      </c>
      <c r="AK672" s="1" t="s">
        <v>12896</v>
      </c>
      <c r="AL672" s="1" t="s">
        <v>12897</v>
      </c>
      <c r="AM672" s="1" t="s">
        <v>82</v>
      </c>
      <c r="AN672" s="1">
        <v>64</v>
      </c>
      <c r="AO672" s="1">
        <v>0</v>
      </c>
      <c r="AP672" s="1">
        <v>0</v>
      </c>
      <c r="AQ672" s="1">
        <v>0</v>
      </c>
      <c r="AR672" s="1">
        <v>0</v>
      </c>
      <c r="AS672" s="1" t="s">
        <v>12853</v>
      </c>
      <c r="AT672" s="1" t="s">
        <v>12854</v>
      </c>
      <c r="AU672" s="1" t="s">
        <v>12855</v>
      </c>
      <c r="AV672" s="1" t="s">
        <v>12856</v>
      </c>
      <c r="AW672" s="1" t="s">
        <v>12857</v>
      </c>
      <c r="AX672" s="1" t="s">
        <v>82</v>
      </c>
      <c r="AY672" s="1" t="s">
        <v>12841</v>
      </c>
      <c r="AZ672" s="1" t="s">
        <v>12858</v>
      </c>
      <c r="BA672" s="1" t="s">
        <v>12898</v>
      </c>
      <c r="BB672" s="1">
        <v>2022</v>
      </c>
      <c r="BC672" s="1">
        <v>561</v>
      </c>
      <c r="BD672" s="1">
        <v>1</v>
      </c>
      <c r="BE672" s="1" t="s">
        <v>82</v>
      </c>
      <c r="BF672" s="1" t="s">
        <v>82</v>
      </c>
      <c r="BG672" s="1" t="s">
        <v>82</v>
      </c>
      <c r="BH672" s="1" t="s">
        <v>82</v>
      </c>
      <c r="BI672" s="1">
        <v>75</v>
      </c>
      <c r="BJ672" s="1">
        <v>84</v>
      </c>
      <c r="BK672" s="1" t="s">
        <v>82</v>
      </c>
      <c r="BL672" s="1" t="s">
        <v>12899</v>
      </c>
      <c r="BM672" s="1" t="str">
        <f>HYPERLINK("http://dx.doi.org/10.11646/phytotaxa.561.1.7","http://dx.doi.org/10.11646/phytotaxa.561.1.7")</f>
        <v>http://dx.doi.org/10.11646/phytotaxa.561.1.7</v>
      </c>
      <c r="BN672" s="1" t="s">
        <v>82</v>
      </c>
      <c r="BO672" s="1" t="s">
        <v>82</v>
      </c>
      <c r="BP672" s="1">
        <v>10</v>
      </c>
      <c r="BQ672" s="1" t="s">
        <v>378</v>
      </c>
      <c r="BR672" s="1" t="s">
        <v>104</v>
      </c>
      <c r="BS672" s="1" t="s">
        <v>378</v>
      </c>
      <c r="BT672" s="1" t="s">
        <v>12900</v>
      </c>
      <c r="BU672" s="1" t="s">
        <v>82</v>
      </c>
      <c r="BV672" s="1" t="s">
        <v>82</v>
      </c>
      <c r="BW672" s="1" t="s">
        <v>82</v>
      </c>
      <c r="BX672" s="1" t="s">
        <v>82</v>
      </c>
      <c r="BY672" s="1" t="s">
        <v>108</v>
      </c>
      <c r="BZ672" s="1" t="s">
        <v>12901</v>
      </c>
      <c r="CA672" s="1" t="str">
        <f>HYPERLINK("https%3A%2F%2Fwww.webofscience.com%2Fwos%2Fwoscc%2Ffull-record%2FWOS:000897535700002","View Full Record in Web of Science")</f>
        <v>View Full Record in Web of Science</v>
      </c>
    </row>
    <row r="673" s="1" customFormat="1" ht="14.4" spans="1:79">
      <c r="A673">
        <v>672</v>
      </c>
      <c r="B673" s="2" t="s">
        <v>79</v>
      </c>
      <c r="C673" s="1" t="s">
        <v>80</v>
      </c>
      <c r="D673" s="1" t="s">
        <v>12902</v>
      </c>
      <c r="E673" s="1" t="s">
        <v>82</v>
      </c>
      <c r="F673" s="1" t="s">
        <v>82</v>
      </c>
      <c r="G673" s="1" t="s">
        <v>82</v>
      </c>
      <c r="H673" s="1" t="s">
        <v>12903</v>
      </c>
      <c r="I673" s="1" t="s">
        <v>82</v>
      </c>
      <c r="J673" s="1" t="s">
        <v>82</v>
      </c>
      <c r="K673" s="1" t="s">
        <v>12904</v>
      </c>
      <c r="L673" s="1" t="s">
        <v>12841</v>
      </c>
      <c r="M673" s="1">
        <v>1.05</v>
      </c>
      <c r="O673" s="1" t="s">
        <v>82</v>
      </c>
      <c r="P673" s="1" t="s">
        <v>82</v>
      </c>
      <c r="Q673" s="1" t="s">
        <v>87</v>
      </c>
      <c r="R673" s="1" t="s">
        <v>115</v>
      </c>
      <c r="S673" s="1" t="s">
        <v>82</v>
      </c>
      <c r="T673" s="1" t="s">
        <v>82</v>
      </c>
      <c r="U673" s="1" t="s">
        <v>82</v>
      </c>
      <c r="V673" s="1" t="s">
        <v>82</v>
      </c>
      <c r="W673" s="1" t="s">
        <v>82</v>
      </c>
      <c r="X673" s="1" t="s">
        <v>12905</v>
      </c>
      <c r="Y673" s="1" t="s">
        <v>12906</v>
      </c>
      <c r="Z673" s="1" t="s">
        <v>12907</v>
      </c>
      <c r="AB673" s="1" t="s">
        <v>12908</v>
      </c>
      <c r="AC673" s="1" t="s">
        <v>12909</v>
      </c>
      <c r="AD673" s="1" t="s">
        <v>120</v>
      </c>
      <c r="AE673" s="1" t="s">
        <v>12910</v>
      </c>
      <c r="AF673" s="1" t="s">
        <v>12911</v>
      </c>
      <c r="AG673" s="1" t="s">
        <v>12912</v>
      </c>
      <c r="AH673" s="1" t="s">
        <v>12913</v>
      </c>
      <c r="AI673" s="1" t="s">
        <v>12914</v>
      </c>
      <c r="AJ673" s="1" t="s">
        <v>12915</v>
      </c>
      <c r="AK673" s="1" t="s">
        <v>12916</v>
      </c>
      <c r="AL673" s="1" t="s">
        <v>12917</v>
      </c>
      <c r="AM673" s="1" t="s">
        <v>82</v>
      </c>
      <c r="AN673" s="1">
        <v>62</v>
      </c>
      <c r="AO673" s="1">
        <v>0</v>
      </c>
      <c r="AP673" s="1">
        <v>0</v>
      </c>
      <c r="AQ673" s="1">
        <v>0</v>
      </c>
      <c r="AR673" s="1">
        <v>0</v>
      </c>
      <c r="AS673" s="1" t="s">
        <v>12853</v>
      </c>
      <c r="AT673" s="1" t="s">
        <v>12854</v>
      </c>
      <c r="AU673" s="1" t="s">
        <v>12855</v>
      </c>
      <c r="AV673" s="1" t="s">
        <v>12856</v>
      </c>
      <c r="AW673" s="1" t="s">
        <v>12857</v>
      </c>
      <c r="AX673" s="1" t="s">
        <v>82</v>
      </c>
      <c r="AY673" s="1" t="s">
        <v>12841</v>
      </c>
      <c r="AZ673" s="1" t="s">
        <v>12858</v>
      </c>
      <c r="BA673" s="1" t="s">
        <v>12898</v>
      </c>
      <c r="BB673" s="1">
        <v>2022</v>
      </c>
      <c r="BC673" s="1">
        <v>561</v>
      </c>
      <c r="BD673" s="1">
        <v>1</v>
      </c>
      <c r="BE673" s="1" t="s">
        <v>82</v>
      </c>
      <c r="BF673" s="1" t="s">
        <v>82</v>
      </c>
      <c r="BG673" s="1" t="s">
        <v>82</v>
      </c>
      <c r="BH673" s="1" t="s">
        <v>82</v>
      </c>
      <c r="BI673" s="1">
        <v>53</v>
      </c>
      <c r="BJ673" s="1">
        <v>64</v>
      </c>
      <c r="BK673" s="1" t="s">
        <v>82</v>
      </c>
      <c r="BL673" s="1" t="s">
        <v>12918</v>
      </c>
      <c r="BM673" s="1" t="str">
        <f>HYPERLINK("http://dx.doi.org/10.11646/phytotaxa.561.1.5","http://dx.doi.org/10.11646/phytotaxa.561.1.5")</f>
        <v>http://dx.doi.org/10.11646/phytotaxa.561.1.5</v>
      </c>
      <c r="BN673" s="1" t="s">
        <v>82</v>
      </c>
      <c r="BO673" s="1" t="s">
        <v>82</v>
      </c>
      <c r="BP673" s="1">
        <v>12</v>
      </c>
      <c r="BQ673" s="1" t="s">
        <v>378</v>
      </c>
      <c r="BR673" s="1" t="s">
        <v>104</v>
      </c>
      <c r="BS673" s="1" t="s">
        <v>378</v>
      </c>
      <c r="BT673" s="1" t="s">
        <v>12919</v>
      </c>
      <c r="BU673" s="1" t="s">
        <v>82</v>
      </c>
      <c r="BV673" s="1" t="s">
        <v>82</v>
      </c>
      <c r="BW673" s="1" t="s">
        <v>82</v>
      </c>
      <c r="BX673" s="1" t="s">
        <v>82</v>
      </c>
      <c r="BY673" s="1" t="s">
        <v>108</v>
      </c>
      <c r="BZ673" s="1" t="s">
        <v>12920</v>
      </c>
      <c r="CA673" s="1" t="str">
        <f>HYPERLINK("https%3A%2F%2Fwww.webofscience.com%2Fwos%2Fwoscc%2Ffull-record%2FWOS:000897535200005","View Full Record in Web of Science")</f>
        <v>View Full Record in Web of Science</v>
      </c>
    </row>
    <row r="674" s="1" customFormat="1" ht="14.4" spans="1:79">
      <c r="A674">
        <v>673</v>
      </c>
      <c r="B674" s="2" t="s">
        <v>79</v>
      </c>
      <c r="C674" s="1" t="s">
        <v>80</v>
      </c>
      <c r="D674" s="1" t="s">
        <v>12921</v>
      </c>
      <c r="E674" s="1" t="s">
        <v>82</v>
      </c>
      <c r="F674" s="1" t="s">
        <v>82</v>
      </c>
      <c r="G674" s="1" t="s">
        <v>82</v>
      </c>
      <c r="H674" s="1" t="s">
        <v>12922</v>
      </c>
      <c r="I674" s="1" t="s">
        <v>82</v>
      </c>
      <c r="J674" s="1" t="s">
        <v>82</v>
      </c>
      <c r="K674" s="1" t="s">
        <v>12923</v>
      </c>
      <c r="L674" s="1" t="s">
        <v>12841</v>
      </c>
      <c r="M674" s="1">
        <v>1.05</v>
      </c>
      <c r="O674" s="1" t="s">
        <v>82</v>
      </c>
      <c r="P674" s="1" t="s">
        <v>82</v>
      </c>
      <c r="Q674" s="1" t="s">
        <v>87</v>
      </c>
      <c r="R674" s="1" t="s">
        <v>115</v>
      </c>
      <c r="S674" s="1" t="s">
        <v>82</v>
      </c>
      <c r="T674" s="1" t="s">
        <v>82</v>
      </c>
      <c r="U674" s="1" t="s">
        <v>82</v>
      </c>
      <c r="V674" s="1" t="s">
        <v>82</v>
      </c>
      <c r="W674" s="1" t="s">
        <v>82</v>
      </c>
      <c r="X674" s="1" t="s">
        <v>12924</v>
      </c>
      <c r="Y674" s="1" t="s">
        <v>12925</v>
      </c>
      <c r="Z674" s="1" t="s">
        <v>12926</v>
      </c>
      <c r="AB674" s="1" t="s">
        <v>12927</v>
      </c>
      <c r="AC674" s="1" t="s">
        <v>12928</v>
      </c>
      <c r="AD674" s="1" t="s">
        <v>120</v>
      </c>
      <c r="AE674" s="1" t="s">
        <v>12929</v>
      </c>
      <c r="AF674" s="1" t="s">
        <v>4857</v>
      </c>
      <c r="AG674" s="1" t="s">
        <v>12930</v>
      </c>
      <c r="AH674" s="1" t="s">
        <v>801</v>
      </c>
      <c r="AI674" s="1" t="s">
        <v>12931</v>
      </c>
      <c r="AJ674" s="1" t="s">
        <v>12932</v>
      </c>
      <c r="AK674" s="1" t="s">
        <v>12933</v>
      </c>
      <c r="AL674" s="1" t="s">
        <v>12934</v>
      </c>
      <c r="AM674" s="1" t="s">
        <v>82</v>
      </c>
      <c r="AN674" s="1">
        <v>56</v>
      </c>
      <c r="AO674" s="1">
        <v>0</v>
      </c>
      <c r="AP674" s="1">
        <v>0</v>
      </c>
      <c r="AQ674" s="1">
        <v>3</v>
      </c>
      <c r="AR674" s="1">
        <v>3</v>
      </c>
      <c r="AS674" s="1" t="s">
        <v>12853</v>
      </c>
      <c r="AT674" s="1" t="s">
        <v>12854</v>
      </c>
      <c r="AU674" s="1" t="s">
        <v>12855</v>
      </c>
      <c r="AV674" s="1" t="s">
        <v>12856</v>
      </c>
      <c r="AW674" s="1" t="s">
        <v>12857</v>
      </c>
      <c r="AX674" s="1" t="s">
        <v>82</v>
      </c>
      <c r="AY674" s="1" t="s">
        <v>12841</v>
      </c>
      <c r="AZ674" s="1" t="s">
        <v>12858</v>
      </c>
      <c r="BA674" s="1" t="s">
        <v>12935</v>
      </c>
      <c r="BB674" s="1">
        <v>2022</v>
      </c>
      <c r="BC674" s="1">
        <v>573</v>
      </c>
      <c r="BD674" s="1">
        <v>2</v>
      </c>
      <c r="BE674" s="1" t="s">
        <v>82</v>
      </c>
      <c r="BF674" s="1" t="s">
        <v>82</v>
      </c>
      <c r="BG674" s="1" t="s">
        <v>82</v>
      </c>
      <c r="BH674" s="1" t="s">
        <v>82</v>
      </c>
      <c r="BI674" s="1">
        <v>247</v>
      </c>
      <c r="BJ674" s="1">
        <v>261</v>
      </c>
      <c r="BK674" s="1" t="s">
        <v>82</v>
      </c>
      <c r="BL674" s="1" t="s">
        <v>12936</v>
      </c>
      <c r="BM674" s="1" t="str">
        <f>HYPERLINK("http://dx.doi.org/10.11646/phytotaxa.573.2.5","http://dx.doi.org/10.11646/phytotaxa.573.2.5")</f>
        <v>http://dx.doi.org/10.11646/phytotaxa.573.2.5</v>
      </c>
      <c r="BN674" s="1" t="s">
        <v>82</v>
      </c>
      <c r="BO674" s="1" t="s">
        <v>82</v>
      </c>
      <c r="BP674" s="1">
        <v>15</v>
      </c>
      <c r="BQ674" s="1" t="s">
        <v>378</v>
      </c>
      <c r="BR674" s="1" t="s">
        <v>104</v>
      </c>
      <c r="BS674" s="1" t="s">
        <v>378</v>
      </c>
      <c r="BT674" s="1" t="s">
        <v>12937</v>
      </c>
      <c r="BU674" s="1" t="s">
        <v>82</v>
      </c>
      <c r="BV674" s="1" t="s">
        <v>82</v>
      </c>
      <c r="BW674" s="1" t="s">
        <v>82</v>
      </c>
      <c r="BX674" s="1" t="s">
        <v>82</v>
      </c>
      <c r="BY674" s="1" t="s">
        <v>108</v>
      </c>
      <c r="BZ674" s="1" t="s">
        <v>12938</v>
      </c>
      <c r="CA674" s="1" t="str">
        <f>HYPERLINK("https%3A%2F%2Fwww.webofscience.com%2Fwos%2Fwoscc%2Ffull-record%2FWOS:000891645200001","View Full Record in Web of Science")</f>
        <v>View Full Record in Web of Science</v>
      </c>
    </row>
    <row r="675" s="1" customFormat="1" ht="14.4" spans="1:79">
      <c r="A675">
        <v>674</v>
      </c>
      <c r="B675" s="2" t="s">
        <v>79</v>
      </c>
      <c r="C675" s="1" t="s">
        <v>80</v>
      </c>
      <c r="D675" s="1" t="s">
        <v>12939</v>
      </c>
      <c r="E675" s="1" t="s">
        <v>82</v>
      </c>
      <c r="F675" s="1" t="s">
        <v>82</v>
      </c>
      <c r="G675" s="1" t="s">
        <v>82</v>
      </c>
      <c r="H675" s="1" t="s">
        <v>12940</v>
      </c>
      <c r="I675" s="1" t="s">
        <v>82</v>
      </c>
      <c r="J675" s="1" t="s">
        <v>82</v>
      </c>
      <c r="K675" s="1" t="s">
        <v>12941</v>
      </c>
      <c r="L675" s="1" t="s">
        <v>12841</v>
      </c>
      <c r="M675" s="1">
        <v>1.05</v>
      </c>
      <c r="O675" s="1" t="s">
        <v>82</v>
      </c>
      <c r="P675" s="1" t="s">
        <v>82</v>
      </c>
      <c r="Q675" s="1" t="s">
        <v>87</v>
      </c>
      <c r="R675" s="1" t="s">
        <v>115</v>
      </c>
      <c r="S675" s="1" t="s">
        <v>82</v>
      </c>
      <c r="T675" s="1" t="s">
        <v>82</v>
      </c>
      <c r="U675" s="1" t="s">
        <v>82</v>
      </c>
      <c r="V675" s="1" t="s">
        <v>82</v>
      </c>
      <c r="W675" s="1" t="s">
        <v>82</v>
      </c>
      <c r="X675" s="1" t="s">
        <v>12942</v>
      </c>
      <c r="Y675" s="1" t="s">
        <v>82</v>
      </c>
      <c r="Z675" s="1" t="s">
        <v>12943</v>
      </c>
      <c r="AB675" s="1" t="s">
        <v>12944</v>
      </c>
      <c r="AC675" s="1" t="s">
        <v>12945</v>
      </c>
      <c r="AD675" s="1" t="s">
        <v>120</v>
      </c>
      <c r="AE675" s="1" t="s">
        <v>12946</v>
      </c>
      <c r="AF675" s="1" t="s">
        <v>12947</v>
      </c>
      <c r="AG675" s="1" t="s">
        <v>12948</v>
      </c>
      <c r="AH675" s="1" t="s">
        <v>82</v>
      </c>
      <c r="AI675" s="1" t="s">
        <v>12949</v>
      </c>
      <c r="AJ675" s="1" t="s">
        <v>12950</v>
      </c>
      <c r="AK675" s="1" t="s">
        <v>12951</v>
      </c>
      <c r="AL675" s="1" t="s">
        <v>12952</v>
      </c>
      <c r="AM675" s="1" t="s">
        <v>82</v>
      </c>
      <c r="AN675" s="1">
        <v>28</v>
      </c>
      <c r="AO675" s="1">
        <v>0</v>
      </c>
      <c r="AP675" s="1">
        <v>0</v>
      </c>
      <c r="AQ675" s="1">
        <v>3</v>
      </c>
      <c r="AR675" s="1">
        <v>3</v>
      </c>
      <c r="AS675" s="1" t="s">
        <v>12853</v>
      </c>
      <c r="AT675" s="1" t="s">
        <v>12854</v>
      </c>
      <c r="AU675" s="1" t="s">
        <v>12855</v>
      </c>
      <c r="AV675" s="1" t="s">
        <v>12856</v>
      </c>
      <c r="AW675" s="1" t="s">
        <v>12857</v>
      </c>
      <c r="AX675" s="1" t="s">
        <v>82</v>
      </c>
      <c r="AY675" s="1" t="s">
        <v>12841</v>
      </c>
      <c r="AZ675" s="1" t="s">
        <v>12858</v>
      </c>
      <c r="BA675" s="1" t="s">
        <v>12935</v>
      </c>
      <c r="BB675" s="1">
        <v>2022</v>
      </c>
      <c r="BC675" s="1">
        <v>573</v>
      </c>
      <c r="BD675" s="1">
        <v>2</v>
      </c>
      <c r="BE675" s="1" t="s">
        <v>82</v>
      </c>
      <c r="BF675" s="1" t="s">
        <v>82</v>
      </c>
      <c r="BG675" s="1" t="s">
        <v>82</v>
      </c>
      <c r="BH675" s="1" t="s">
        <v>82</v>
      </c>
      <c r="BI675" s="1">
        <v>293</v>
      </c>
      <c r="BJ675" s="1">
        <v>300</v>
      </c>
      <c r="BK675" s="1" t="s">
        <v>82</v>
      </c>
      <c r="BL675" s="1" t="s">
        <v>12953</v>
      </c>
      <c r="BM675" s="1" t="str">
        <f>HYPERLINK("http://dx.doi.org/10.11646/phytotaxa.573.2.9","http://dx.doi.org/10.11646/phytotaxa.573.2.9")</f>
        <v>http://dx.doi.org/10.11646/phytotaxa.573.2.9</v>
      </c>
      <c r="BN675" s="1" t="s">
        <v>82</v>
      </c>
      <c r="BO675" s="1" t="s">
        <v>82</v>
      </c>
      <c r="BP675" s="1">
        <v>8</v>
      </c>
      <c r="BQ675" s="1" t="s">
        <v>378</v>
      </c>
      <c r="BR675" s="1" t="s">
        <v>104</v>
      </c>
      <c r="BS675" s="1" t="s">
        <v>378</v>
      </c>
      <c r="BT675" s="1" t="s">
        <v>12937</v>
      </c>
      <c r="BU675" s="1" t="s">
        <v>82</v>
      </c>
      <c r="BV675" s="1" t="s">
        <v>82</v>
      </c>
      <c r="BW675" s="1" t="s">
        <v>82</v>
      </c>
      <c r="BX675" s="1" t="s">
        <v>82</v>
      </c>
      <c r="BY675" s="1" t="s">
        <v>108</v>
      </c>
      <c r="BZ675" s="1" t="s">
        <v>12954</v>
      </c>
      <c r="CA675" s="1" t="str">
        <f>HYPERLINK("https%3A%2F%2Fwww.webofscience.com%2Fwos%2Fwoscc%2Ffull-record%2FWOS:000891645200005","View Full Record in Web of Science")</f>
        <v>View Full Record in Web of Science</v>
      </c>
    </row>
    <row r="676" s="1" customFormat="1" ht="14.4" spans="1:79">
      <c r="A676">
        <v>675</v>
      </c>
      <c r="B676" s="2" t="s">
        <v>79</v>
      </c>
      <c r="C676" s="1" t="s">
        <v>80</v>
      </c>
      <c r="D676" s="1" t="s">
        <v>12921</v>
      </c>
      <c r="E676" s="1" t="s">
        <v>82</v>
      </c>
      <c r="F676" s="1" t="s">
        <v>82</v>
      </c>
      <c r="G676" s="1" t="s">
        <v>82</v>
      </c>
      <c r="H676" s="1" t="s">
        <v>12955</v>
      </c>
      <c r="I676" s="1" t="s">
        <v>82</v>
      </c>
      <c r="J676" s="1" t="s">
        <v>82</v>
      </c>
      <c r="K676" s="1" t="s">
        <v>12956</v>
      </c>
      <c r="L676" s="1" t="s">
        <v>12841</v>
      </c>
      <c r="M676" s="1">
        <v>1.05</v>
      </c>
      <c r="O676" s="1" t="s">
        <v>82</v>
      </c>
      <c r="P676" s="1" t="s">
        <v>82</v>
      </c>
      <c r="Q676" s="1" t="s">
        <v>87</v>
      </c>
      <c r="R676" s="1" t="s">
        <v>115</v>
      </c>
      <c r="S676" s="1" t="s">
        <v>82</v>
      </c>
      <c r="T676" s="1" t="s">
        <v>82</v>
      </c>
      <c r="U676" s="1" t="s">
        <v>82</v>
      </c>
      <c r="V676" s="1" t="s">
        <v>82</v>
      </c>
      <c r="W676" s="1" t="s">
        <v>82</v>
      </c>
      <c r="X676" s="1" t="s">
        <v>12957</v>
      </c>
      <c r="Y676" s="1" t="s">
        <v>12958</v>
      </c>
      <c r="Z676" s="1" t="s">
        <v>12959</v>
      </c>
      <c r="AB676" s="1" t="s">
        <v>7410</v>
      </c>
      <c r="AC676" s="1" t="s">
        <v>12960</v>
      </c>
      <c r="AD676" s="1" t="s">
        <v>120</v>
      </c>
      <c r="AE676" s="1" t="s">
        <v>12929</v>
      </c>
      <c r="AF676" s="1" t="s">
        <v>4857</v>
      </c>
      <c r="AG676" s="1" t="s">
        <v>12930</v>
      </c>
      <c r="AH676" s="1" t="s">
        <v>801</v>
      </c>
      <c r="AI676" s="1" t="s">
        <v>12931</v>
      </c>
      <c r="AJ676" s="1" t="s">
        <v>12961</v>
      </c>
      <c r="AK676" s="1" t="s">
        <v>12962</v>
      </c>
      <c r="AL676" s="1" t="s">
        <v>12963</v>
      </c>
      <c r="AM676" s="1" t="s">
        <v>82</v>
      </c>
      <c r="AN676" s="1">
        <v>57</v>
      </c>
      <c r="AO676" s="1">
        <v>0</v>
      </c>
      <c r="AP676" s="1">
        <v>0</v>
      </c>
      <c r="AQ676" s="1">
        <v>0</v>
      </c>
      <c r="AR676" s="1">
        <v>0</v>
      </c>
      <c r="AS676" s="1" t="s">
        <v>12853</v>
      </c>
      <c r="AT676" s="1" t="s">
        <v>12854</v>
      </c>
      <c r="AU676" s="1" t="s">
        <v>12855</v>
      </c>
      <c r="AV676" s="1" t="s">
        <v>12856</v>
      </c>
      <c r="AW676" s="1" t="s">
        <v>12857</v>
      </c>
      <c r="AX676" s="1" t="s">
        <v>82</v>
      </c>
      <c r="AY676" s="1" t="s">
        <v>12841</v>
      </c>
      <c r="AZ676" s="1" t="s">
        <v>12858</v>
      </c>
      <c r="BA676" s="1" t="s">
        <v>4407</v>
      </c>
      <c r="BB676" s="1">
        <v>2022</v>
      </c>
      <c r="BC676" s="1">
        <v>573</v>
      </c>
      <c r="BD676" s="1">
        <v>1</v>
      </c>
      <c r="BE676" s="1" t="s">
        <v>82</v>
      </c>
      <c r="BF676" s="1" t="s">
        <v>82</v>
      </c>
      <c r="BG676" s="1" t="s">
        <v>82</v>
      </c>
      <c r="BH676" s="1" t="s">
        <v>82</v>
      </c>
      <c r="BI676" s="1">
        <v>70</v>
      </c>
      <c r="BJ676" s="1">
        <v>84</v>
      </c>
      <c r="BK676" s="1" t="s">
        <v>82</v>
      </c>
      <c r="BL676" s="1" t="s">
        <v>12964</v>
      </c>
      <c r="BM676" s="1" t="str">
        <f>HYPERLINK("http://dx.doi.org/10.11646/phytotaxa.573.1.4","http://dx.doi.org/10.11646/phytotaxa.573.1.4")</f>
        <v>http://dx.doi.org/10.11646/phytotaxa.573.1.4</v>
      </c>
      <c r="BN676" s="1" t="s">
        <v>82</v>
      </c>
      <c r="BO676" s="1" t="s">
        <v>82</v>
      </c>
      <c r="BP676" s="1">
        <v>15</v>
      </c>
      <c r="BQ676" s="1" t="s">
        <v>378</v>
      </c>
      <c r="BR676" s="1" t="s">
        <v>104</v>
      </c>
      <c r="BS676" s="1" t="s">
        <v>378</v>
      </c>
      <c r="BT676" s="1" t="s">
        <v>12965</v>
      </c>
      <c r="BU676" s="1" t="s">
        <v>82</v>
      </c>
      <c r="BV676" s="1" t="s">
        <v>82</v>
      </c>
      <c r="BW676" s="1" t="s">
        <v>82</v>
      </c>
      <c r="BX676" s="1" t="s">
        <v>82</v>
      </c>
      <c r="BY676" s="1" t="s">
        <v>108</v>
      </c>
      <c r="BZ676" s="1" t="s">
        <v>12966</v>
      </c>
      <c r="CA676" s="1" t="str">
        <f>HYPERLINK("https%3A%2F%2Fwww.webofscience.com%2Fwos%2Fwoscc%2Ffull-record%2FWOS:000890336300002","View Full Record in Web of Science")</f>
        <v>View Full Record in Web of Science</v>
      </c>
    </row>
    <row r="677" s="1" customFormat="1" ht="14.4" spans="1:79">
      <c r="A677">
        <v>676</v>
      </c>
      <c r="B677" s="2" t="s">
        <v>79</v>
      </c>
      <c r="C677" s="1" t="s">
        <v>80</v>
      </c>
      <c r="D677" s="1" t="s">
        <v>12967</v>
      </c>
      <c r="E677" s="1" t="s">
        <v>82</v>
      </c>
      <c r="F677" s="1" t="s">
        <v>82</v>
      </c>
      <c r="G677" s="1" t="s">
        <v>82</v>
      </c>
      <c r="H677" s="1" t="s">
        <v>12968</v>
      </c>
      <c r="I677" s="1" t="s">
        <v>82</v>
      </c>
      <c r="J677" s="1" t="s">
        <v>82</v>
      </c>
      <c r="K677" s="1" t="s">
        <v>12969</v>
      </c>
      <c r="L677" s="1" t="s">
        <v>12841</v>
      </c>
      <c r="M677" s="1">
        <v>1.05</v>
      </c>
      <c r="O677" s="1" t="s">
        <v>82</v>
      </c>
      <c r="P677" s="1" t="s">
        <v>82</v>
      </c>
      <c r="Q677" s="1" t="s">
        <v>87</v>
      </c>
      <c r="R677" s="1" t="s">
        <v>115</v>
      </c>
      <c r="S677" s="1" t="s">
        <v>82</v>
      </c>
      <c r="T677" s="1" t="s">
        <v>82</v>
      </c>
      <c r="U677" s="1" t="s">
        <v>82</v>
      </c>
      <c r="V677" s="1" t="s">
        <v>82</v>
      </c>
      <c r="W677" s="1" t="s">
        <v>82</v>
      </c>
      <c r="X677" s="1" t="s">
        <v>12970</v>
      </c>
      <c r="Y677" s="1" t="s">
        <v>12971</v>
      </c>
      <c r="Z677" s="1" t="s">
        <v>12972</v>
      </c>
      <c r="AB677" s="1" t="s">
        <v>12973</v>
      </c>
      <c r="AC677" s="1" t="s">
        <v>12974</v>
      </c>
      <c r="AD677" s="1" t="s">
        <v>120</v>
      </c>
      <c r="AE677" s="1" t="s">
        <v>3467</v>
      </c>
      <c r="AF677" s="1" t="s">
        <v>12975</v>
      </c>
      <c r="AG677" s="1" t="s">
        <v>12976</v>
      </c>
      <c r="AH677" s="1" t="s">
        <v>9251</v>
      </c>
      <c r="AI677" s="1" t="s">
        <v>12977</v>
      </c>
      <c r="AJ677" s="1" t="s">
        <v>12978</v>
      </c>
      <c r="AK677" s="1" t="s">
        <v>12979</v>
      </c>
      <c r="AL677" s="1" t="s">
        <v>12980</v>
      </c>
      <c r="AM677" s="1" t="s">
        <v>82</v>
      </c>
      <c r="AN677" s="1">
        <v>82</v>
      </c>
      <c r="AO677" s="1">
        <v>0</v>
      </c>
      <c r="AP677" s="1">
        <v>0</v>
      </c>
      <c r="AQ677" s="1">
        <v>0</v>
      </c>
      <c r="AR677" s="1">
        <v>0</v>
      </c>
      <c r="AS677" s="1" t="s">
        <v>12853</v>
      </c>
      <c r="AT677" s="1" t="s">
        <v>12854</v>
      </c>
      <c r="AU677" s="1" t="s">
        <v>12855</v>
      </c>
      <c r="AV677" s="1" t="s">
        <v>12856</v>
      </c>
      <c r="AW677" s="1" t="s">
        <v>12857</v>
      </c>
      <c r="AX677" s="1" t="s">
        <v>82</v>
      </c>
      <c r="AY677" s="1" t="s">
        <v>12841</v>
      </c>
      <c r="AZ677" s="1" t="s">
        <v>12858</v>
      </c>
      <c r="BA677" s="1" t="s">
        <v>12935</v>
      </c>
      <c r="BB677" s="1">
        <v>2022</v>
      </c>
      <c r="BC677" s="1">
        <v>573</v>
      </c>
      <c r="BD677" s="1">
        <v>2</v>
      </c>
      <c r="BE677" s="1" t="s">
        <v>82</v>
      </c>
      <c r="BF677" s="1" t="s">
        <v>82</v>
      </c>
      <c r="BG677" s="1" t="s">
        <v>82</v>
      </c>
      <c r="BH677" s="1" t="s">
        <v>82</v>
      </c>
      <c r="BI677" s="1">
        <v>163</v>
      </c>
      <c r="BJ677" s="1">
        <v>214</v>
      </c>
      <c r="BK677" s="1" t="s">
        <v>82</v>
      </c>
      <c r="BL677" s="1" t="s">
        <v>12981</v>
      </c>
      <c r="BM677" s="1" t="str">
        <f>HYPERLINK("http://dx.doi.org/10.11646/phytotaxa.573.2.2","http://dx.doi.org/10.11646/phytotaxa.573.2.2")</f>
        <v>http://dx.doi.org/10.11646/phytotaxa.573.2.2</v>
      </c>
      <c r="BN677" s="1" t="s">
        <v>82</v>
      </c>
      <c r="BO677" s="1" t="s">
        <v>82</v>
      </c>
      <c r="BP677" s="1">
        <v>52</v>
      </c>
      <c r="BQ677" s="1" t="s">
        <v>378</v>
      </c>
      <c r="BR677" s="1" t="s">
        <v>104</v>
      </c>
      <c r="BS677" s="1" t="s">
        <v>378</v>
      </c>
      <c r="BT677" s="1" t="s">
        <v>12982</v>
      </c>
      <c r="BU677" s="1" t="s">
        <v>82</v>
      </c>
      <c r="BV677" s="1" t="s">
        <v>82</v>
      </c>
      <c r="BW677" s="1" t="s">
        <v>82</v>
      </c>
      <c r="BX677" s="1" t="s">
        <v>82</v>
      </c>
      <c r="BY677" s="1" t="s">
        <v>108</v>
      </c>
      <c r="BZ677" s="1" t="s">
        <v>12983</v>
      </c>
      <c r="CA677" s="1" t="str">
        <f>HYPERLINK("https%3A%2F%2Fwww.webofscience.com%2Fwos%2Fwoscc%2Ffull-record%2FWOS:000891633900002","View Full Record in Web of Science")</f>
        <v>View Full Record in Web of Science</v>
      </c>
    </row>
    <row r="678" s="1" customFormat="1" ht="14.4" spans="1:79">
      <c r="A678">
        <v>677</v>
      </c>
      <c r="B678" s="2" t="s">
        <v>79</v>
      </c>
      <c r="C678" s="1" t="s">
        <v>80</v>
      </c>
      <c r="D678" s="1" t="s">
        <v>12984</v>
      </c>
      <c r="E678" s="1" t="s">
        <v>82</v>
      </c>
      <c r="F678" s="1" t="s">
        <v>82</v>
      </c>
      <c r="G678" s="1" t="s">
        <v>82</v>
      </c>
      <c r="H678" s="1" t="s">
        <v>12985</v>
      </c>
      <c r="I678" s="1" t="s">
        <v>82</v>
      </c>
      <c r="J678" s="1" t="s">
        <v>82</v>
      </c>
      <c r="K678" s="1" t="s">
        <v>12986</v>
      </c>
      <c r="L678" s="1" t="s">
        <v>12841</v>
      </c>
      <c r="M678" s="1">
        <v>1.05</v>
      </c>
      <c r="O678" s="1" t="s">
        <v>82</v>
      </c>
      <c r="P678" s="1" t="s">
        <v>82</v>
      </c>
      <c r="Q678" s="1" t="s">
        <v>87</v>
      </c>
      <c r="R678" s="1" t="s">
        <v>115</v>
      </c>
      <c r="S678" s="1" t="s">
        <v>82</v>
      </c>
      <c r="T678" s="1" t="s">
        <v>82</v>
      </c>
      <c r="U678" s="1" t="s">
        <v>82</v>
      </c>
      <c r="V678" s="1" t="s">
        <v>82</v>
      </c>
      <c r="W678" s="1" t="s">
        <v>82</v>
      </c>
      <c r="X678" s="1" t="s">
        <v>12987</v>
      </c>
      <c r="Y678" s="1" t="s">
        <v>12988</v>
      </c>
      <c r="Z678" s="1" t="s">
        <v>12989</v>
      </c>
      <c r="AA678" s="1">
        <v>1</v>
      </c>
      <c r="AB678" s="1" t="s">
        <v>12990</v>
      </c>
      <c r="AC678" s="1" t="s">
        <v>12991</v>
      </c>
      <c r="AD678" s="1" t="s">
        <v>93</v>
      </c>
      <c r="AE678" s="1" t="s">
        <v>2785</v>
      </c>
      <c r="AF678" s="1" t="s">
        <v>12992</v>
      </c>
      <c r="AG678" s="1" t="s">
        <v>12993</v>
      </c>
      <c r="AH678" s="1" t="s">
        <v>82</v>
      </c>
      <c r="AI678" s="1" t="s">
        <v>82</v>
      </c>
      <c r="AJ678" s="1" t="s">
        <v>12994</v>
      </c>
      <c r="AK678" s="1" t="s">
        <v>12995</v>
      </c>
      <c r="AL678" s="1" t="s">
        <v>12996</v>
      </c>
      <c r="AM678" s="1" t="s">
        <v>82</v>
      </c>
      <c r="AN678" s="1">
        <v>33</v>
      </c>
      <c r="AO678" s="1">
        <v>0</v>
      </c>
      <c r="AP678" s="1">
        <v>0</v>
      </c>
      <c r="AQ678" s="1">
        <v>1</v>
      </c>
      <c r="AR678" s="1">
        <v>1</v>
      </c>
      <c r="AS678" s="1" t="s">
        <v>12853</v>
      </c>
      <c r="AT678" s="1" t="s">
        <v>12854</v>
      </c>
      <c r="AU678" s="1" t="s">
        <v>12855</v>
      </c>
      <c r="AV678" s="1" t="s">
        <v>12856</v>
      </c>
      <c r="AW678" s="1" t="s">
        <v>12857</v>
      </c>
      <c r="AX678" s="1" t="s">
        <v>82</v>
      </c>
      <c r="AY678" s="1" t="s">
        <v>12841</v>
      </c>
      <c r="AZ678" s="1" t="s">
        <v>12858</v>
      </c>
      <c r="BA678" s="1" t="s">
        <v>5314</v>
      </c>
      <c r="BB678" s="1">
        <v>2022</v>
      </c>
      <c r="BC678" s="1">
        <v>572</v>
      </c>
      <c r="BD678" s="1">
        <v>3</v>
      </c>
      <c r="BE678" s="1" t="s">
        <v>82</v>
      </c>
      <c r="BF678" s="1" t="s">
        <v>82</v>
      </c>
      <c r="BG678" s="1" t="s">
        <v>82</v>
      </c>
      <c r="BH678" s="1" t="s">
        <v>82</v>
      </c>
      <c r="BI678" s="1">
        <v>232</v>
      </c>
      <c r="BJ678" s="1">
        <v>242</v>
      </c>
      <c r="BK678" s="1" t="s">
        <v>82</v>
      </c>
      <c r="BL678" s="1" t="s">
        <v>12997</v>
      </c>
      <c r="BM678" s="1" t="str">
        <f>HYPERLINK("http://dx.doi.org/10.11646/phytotaxa.572.3.2","http://dx.doi.org/10.11646/phytotaxa.572.3.2")</f>
        <v>http://dx.doi.org/10.11646/phytotaxa.572.3.2</v>
      </c>
      <c r="BN678" s="1" t="s">
        <v>82</v>
      </c>
      <c r="BO678" s="1" t="s">
        <v>82</v>
      </c>
      <c r="BP678" s="1">
        <v>11</v>
      </c>
      <c r="BQ678" s="1" t="s">
        <v>378</v>
      </c>
      <c r="BR678" s="1" t="s">
        <v>104</v>
      </c>
      <c r="BS678" s="1" t="s">
        <v>378</v>
      </c>
      <c r="BT678" s="1" t="s">
        <v>12998</v>
      </c>
      <c r="BU678" s="1" t="s">
        <v>82</v>
      </c>
      <c r="BV678" s="1" t="s">
        <v>82</v>
      </c>
      <c r="BW678" s="1" t="s">
        <v>82</v>
      </c>
      <c r="BX678" s="1" t="s">
        <v>82</v>
      </c>
      <c r="BY678" s="1" t="s">
        <v>108</v>
      </c>
      <c r="BZ678" s="1" t="s">
        <v>12999</v>
      </c>
      <c r="CA678" s="1" t="str">
        <f>HYPERLINK("https%3A%2F%2Fwww.webofscience.com%2Fwos%2Fwoscc%2Ffull-record%2FWOS:000886780700002","View Full Record in Web of Science")</f>
        <v>View Full Record in Web of Science</v>
      </c>
    </row>
    <row r="679" s="1" customFormat="1" ht="14.4" spans="1:79">
      <c r="A679">
        <v>678</v>
      </c>
      <c r="B679" s="2" t="s">
        <v>79</v>
      </c>
      <c r="C679" s="1" t="s">
        <v>80</v>
      </c>
      <c r="D679" s="1" t="s">
        <v>13000</v>
      </c>
      <c r="E679" s="1" t="s">
        <v>82</v>
      </c>
      <c r="F679" s="1" t="s">
        <v>82</v>
      </c>
      <c r="G679" s="1" t="s">
        <v>82</v>
      </c>
      <c r="H679" s="1" t="s">
        <v>13001</v>
      </c>
      <c r="I679" s="1" t="s">
        <v>82</v>
      </c>
      <c r="J679" s="1" t="s">
        <v>82</v>
      </c>
      <c r="K679" s="1" t="s">
        <v>13002</v>
      </c>
      <c r="L679" s="1" t="s">
        <v>12841</v>
      </c>
      <c r="M679" s="1">
        <v>1.05</v>
      </c>
      <c r="O679" s="1" t="s">
        <v>82</v>
      </c>
      <c r="P679" s="1" t="s">
        <v>82</v>
      </c>
      <c r="Q679" s="1" t="s">
        <v>87</v>
      </c>
      <c r="R679" s="1" t="s">
        <v>115</v>
      </c>
      <c r="S679" s="1" t="s">
        <v>82</v>
      </c>
      <c r="T679" s="1" t="s">
        <v>82</v>
      </c>
      <c r="U679" s="1" t="s">
        <v>82</v>
      </c>
      <c r="V679" s="1" t="s">
        <v>82</v>
      </c>
      <c r="W679" s="1" t="s">
        <v>82</v>
      </c>
      <c r="X679" s="1" t="s">
        <v>13003</v>
      </c>
      <c r="Y679" s="1" t="s">
        <v>13004</v>
      </c>
      <c r="Z679" s="1" t="s">
        <v>13005</v>
      </c>
      <c r="AB679" s="1" t="s">
        <v>7459</v>
      </c>
      <c r="AC679" s="1" t="s">
        <v>13006</v>
      </c>
      <c r="AD679" s="1" t="s">
        <v>120</v>
      </c>
      <c r="AE679" s="1" t="s">
        <v>13007</v>
      </c>
      <c r="AF679" s="1" t="s">
        <v>9983</v>
      </c>
      <c r="AG679" s="1" t="s">
        <v>13008</v>
      </c>
      <c r="AH679" s="1" t="s">
        <v>82</v>
      </c>
      <c r="AI679" s="1" t="s">
        <v>13009</v>
      </c>
      <c r="AJ679" s="1" t="s">
        <v>13010</v>
      </c>
      <c r="AK679" s="1" t="s">
        <v>13011</v>
      </c>
      <c r="AL679" s="1" t="s">
        <v>13012</v>
      </c>
      <c r="AM679" s="1" t="s">
        <v>82</v>
      </c>
      <c r="AN679" s="1">
        <v>43</v>
      </c>
      <c r="AO679" s="1">
        <v>0</v>
      </c>
      <c r="AP679" s="1">
        <v>0</v>
      </c>
      <c r="AQ679" s="1">
        <v>1</v>
      </c>
      <c r="AR679" s="1">
        <v>1</v>
      </c>
      <c r="AS679" s="1" t="s">
        <v>12853</v>
      </c>
      <c r="AT679" s="1" t="s">
        <v>12854</v>
      </c>
      <c r="AU679" s="1" t="s">
        <v>12855</v>
      </c>
      <c r="AV679" s="1" t="s">
        <v>12856</v>
      </c>
      <c r="AW679" s="1" t="s">
        <v>12857</v>
      </c>
      <c r="AX679" s="1" t="s">
        <v>82</v>
      </c>
      <c r="AY679" s="1" t="s">
        <v>12841</v>
      </c>
      <c r="AZ679" s="1" t="s">
        <v>12858</v>
      </c>
      <c r="BA679" s="1" t="s">
        <v>1276</v>
      </c>
      <c r="BB679" s="1">
        <v>2022</v>
      </c>
      <c r="BC679" s="1">
        <v>571</v>
      </c>
      <c r="BD679" s="1">
        <v>1</v>
      </c>
      <c r="BE679" s="1" t="s">
        <v>82</v>
      </c>
      <c r="BF679" s="1" t="s">
        <v>82</v>
      </c>
      <c r="BG679" s="1" t="s">
        <v>82</v>
      </c>
      <c r="BH679" s="1" t="s">
        <v>82</v>
      </c>
      <c r="BI679" s="1">
        <v>39</v>
      </c>
      <c r="BJ679" s="1">
        <v>51</v>
      </c>
      <c r="BK679" s="1" t="s">
        <v>82</v>
      </c>
      <c r="BL679" s="1" t="s">
        <v>13013</v>
      </c>
      <c r="BM679" s="1" t="str">
        <f>HYPERLINK("http://dx.doi.org/10.11646/phytotaxa.571.1.3","http://dx.doi.org/10.11646/phytotaxa.571.1.3")</f>
        <v>http://dx.doi.org/10.11646/phytotaxa.571.1.3</v>
      </c>
      <c r="BN679" s="1" t="s">
        <v>82</v>
      </c>
      <c r="BO679" s="1" t="s">
        <v>82</v>
      </c>
      <c r="BP679" s="1">
        <v>13</v>
      </c>
      <c r="BQ679" s="1" t="s">
        <v>378</v>
      </c>
      <c r="BR679" s="1" t="s">
        <v>104</v>
      </c>
      <c r="BS679" s="1" t="s">
        <v>378</v>
      </c>
      <c r="BT679" s="1" t="s">
        <v>13014</v>
      </c>
      <c r="BU679" s="1" t="s">
        <v>82</v>
      </c>
      <c r="BV679" s="1" t="s">
        <v>82</v>
      </c>
      <c r="BW679" s="1" t="s">
        <v>82</v>
      </c>
      <c r="BX679" s="1" t="s">
        <v>82</v>
      </c>
      <c r="BY679" s="1" t="s">
        <v>108</v>
      </c>
      <c r="BZ679" s="1" t="s">
        <v>13015</v>
      </c>
      <c r="CA679" s="1" t="str">
        <f>HYPERLINK("https%3A%2F%2Fwww.webofscience.com%2Fwos%2Fwoscc%2Ffull-record%2FWOS:000881782300003","View Full Record in Web of Science")</f>
        <v>View Full Record in Web of Science</v>
      </c>
    </row>
    <row r="680" s="1" customFormat="1" ht="14.4" spans="1:79">
      <c r="A680">
        <v>679</v>
      </c>
      <c r="B680" s="2" t="s">
        <v>79</v>
      </c>
      <c r="C680" s="1" t="s">
        <v>80</v>
      </c>
      <c r="D680" s="1" t="s">
        <v>13016</v>
      </c>
      <c r="E680" s="1" t="s">
        <v>82</v>
      </c>
      <c r="F680" s="1" t="s">
        <v>82</v>
      </c>
      <c r="G680" s="1" t="s">
        <v>82</v>
      </c>
      <c r="H680" s="1" t="s">
        <v>13017</v>
      </c>
      <c r="I680" s="1" t="s">
        <v>82</v>
      </c>
      <c r="J680" s="1" t="s">
        <v>82</v>
      </c>
      <c r="K680" s="1" t="s">
        <v>13018</v>
      </c>
      <c r="L680" s="1" t="s">
        <v>12841</v>
      </c>
      <c r="M680" s="1">
        <v>1.05</v>
      </c>
      <c r="O680" s="1" t="s">
        <v>82</v>
      </c>
      <c r="P680" s="1" t="s">
        <v>82</v>
      </c>
      <c r="Q680" s="1" t="s">
        <v>87</v>
      </c>
      <c r="R680" s="1" t="s">
        <v>115</v>
      </c>
      <c r="S680" s="1" t="s">
        <v>82</v>
      </c>
      <c r="T680" s="1" t="s">
        <v>82</v>
      </c>
      <c r="U680" s="1" t="s">
        <v>82</v>
      </c>
      <c r="V680" s="1" t="s">
        <v>82</v>
      </c>
      <c r="W680" s="1" t="s">
        <v>82</v>
      </c>
      <c r="X680" s="1" t="s">
        <v>13019</v>
      </c>
      <c r="Y680" s="1" t="s">
        <v>13020</v>
      </c>
      <c r="Z680" s="1" t="s">
        <v>13021</v>
      </c>
      <c r="AB680" s="1" t="s">
        <v>13022</v>
      </c>
      <c r="AC680" s="1" t="s">
        <v>13023</v>
      </c>
      <c r="AD680" s="1" t="s">
        <v>206</v>
      </c>
      <c r="AE680" s="1" t="s">
        <v>13024</v>
      </c>
      <c r="AF680" s="1" t="s">
        <v>13025</v>
      </c>
      <c r="AG680" s="1" t="s">
        <v>13026</v>
      </c>
      <c r="AH680" s="1" t="s">
        <v>13027</v>
      </c>
      <c r="AI680" s="1" t="s">
        <v>13028</v>
      </c>
      <c r="AJ680" s="1" t="s">
        <v>13029</v>
      </c>
      <c r="AK680" s="1" t="s">
        <v>13030</v>
      </c>
      <c r="AL680" s="1" t="s">
        <v>13031</v>
      </c>
      <c r="AM680" s="1" t="s">
        <v>82</v>
      </c>
      <c r="AN680" s="1">
        <v>86</v>
      </c>
      <c r="AO680" s="1">
        <v>0</v>
      </c>
      <c r="AP680" s="1">
        <v>0</v>
      </c>
      <c r="AQ680" s="1">
        <v>1</v>
      </c>
      <c r="AR680" s="1">
        <v>1</v>
      </c>
      <c r="AS680" s="1" t="s">
        <v>12853</v>
      </c>
      <c r="AT680" s="1" t="s">
        <v>12854</v>
      </c>
      <c r="AU680" s="1" t="s">
        <v>12855</v>
      </c>
      <c r="AV680" s="1" t="s">
        <v>12856</v>
      </c>
      <c r="AW680" s="1" t="s">
        <v>12857</v>
      </c>
      <c r="AX680" s="1" t="s">
        <v>82</v>
      </c>
      <c r="AY680" s="1" t="s">
        <v>12841</v>
      </c>
      <c r="AZ680" s="1" t="s">
        <v>12858</v>
      </c>
      <c r="BA680" s="1" t="s">
        <v>11322</v>
      </c>
      <c r="BB680" s="1">
        <v>2022</v>
      </c>
      <c r="BC680" s="1">
        <v>568</v>
      </c>
      <c r="BD680" s="1">
        <v>2</v>
      </c>
      <c r="BE680" s="1" t="s">
        <v>82</v>
      </c>
      <c r="BF680" s="1" t="s">
        <v>82</v>
      </c>
      <c r="BG680" s="1" t="s">
        <v>82</v>
      </c>
      <c r="BH680" s="1" t="s">
        <v>82</v>
      </c>
      <c r="BI680" s="1">
        <v>149</v>
      </c>
      <c r="BJ680" s="1">
        <v>169</v>
      </c>
      <c r="BK680" s="1" t="s">
        <v>82</v>
      </c>
      <c r="BL680" s="1" t="s">
        <v>13032</v>
      </c>
      <c r="BM680" s="1" t="str">
        <f>HYPERLINK("http://dx.doi.org/10.11646/phytotaxa.568.2.2","http://dx.doi.org/10.11646/phytotaxa.568.2.2")</f>
        <v>http://dx.doi.org/10.11646/phytotaxa.568.2.2</v>
      </c>
      <c r="BN680" s="1" t="s">
        <v>82</v>
      </c>
      <c r="BO680" s="1" t="s">
        <v>82</v>
      </c>
      <c r="BP680" s="1">
        <v>21</v>
      </c>
      <c r="BQ680" s="1" t="s">
        <v>378</v>
      </c>
      <c r="BR680" s="1" t="s">
        <v>104</v>
      </c>
      <c r="BS680" s="1" t="s">
        <v>378</v>
      </c>
      <c r="BT680" s="1" t="s">
        <v>13033</v>
      </c>
      <c r="BU680" s="1" t="s">
        <v>82</v>
      </c>
      <c r="BV680" s="1" t="s">
        <v>82</v>
      </c>
      <c r="BW680" s="1" t="s">
        <v>82</v>
      </c>
      <c r="BX680" s="1" t="s">
        <v>82</v>
      </c>
      <c r="BY680" s="1" t="s">
        <v>108</v>
      </c>
      <c r="BZ680" s="1" t="s">
        <v>13034</v>
      </c>
      <c r="CA680" s="1" t="str">
        <f>HYPERLINK("https%3A%2F%2Fwww.webofscience.com%2Fwos%2Fwoscc%2Ffull-record%2FWOS:000876931800001","View Full Record in Web of Science")</f>
        <v>View Full Record in Web of Science</v>
      </c>
    </row>
    <row r="681" s="1" customFormat="1" ht="14.4" spans="1:79">
      <c r="A681">
        <v>680</v>
      </c>
      <c r="B681" s="2" t="s">
        <v>79</v>
      </c>
      <c r="C681" s="1" t="s">
        <v>80</v>
      </c>
      <c r="D681" s="1" t="s">
        <v>13035</v>
      </c>
      <c r="E681" s="1" t="s">
        <v>82</v>
      </c>
      <c r="F681" s="1" t="s">
        <v>82</v>
      </c>
      <c r="G681" s="1" t="s">
        <v>82</v>
      </c>
      <c r="H681" s="1" t="s">
        <v>13036</v>
      </c>
      <c r="I681" s="1" t="s">
        <v>82</v>
      </c>
      <c r="J681" s="1" t="s">
        <v>82</v>
      </c>
      <c r="K681" s="1" t="s">
        <v>13037</v>
      </c>
      <c r="L681" s="1" t="s">
        <v>12841</v>
      </c>
      <c r="M681" s="1">
        <v>1.05</v>
      </c>
      <c r="O681" s="1" t="s">
        <v>82</v>
      </c>
      <c r="P681" s="1" t="s">
        <v>82</v>
      </c>
      <c r="Q681" s="1" t="s">
        <v>87</v>
      </c>
      <c r="R681" s="1" t="s">
        <v>88</v>
      </c>
      <c r="S681" s="1" t="s">
        <v>82</v>
      </c>
      <c r="T681" s="1" t="s">
        <v>82</v>
      </c>
      <c r="U681" s="1" t="s">
        <v>82</v>
      </c>
      <c r="V681" s="1" t="s">
        <v>82</v>
      </c>
      <c r="W681" s="1" t="s">
        <v>82</v>
      </c>
      <c r="X681" s="1" t="s">
        <v>82</v>
      </c>
      <c r="Y681" s="1" t="s">
        <v>82</v>
      </c>
      <c r="Z681" s="1" t="s">
        <v>82</v>
      </c>
      <c r="AB681" s="1" t="s">
        <v>13038</v>
      </c>
      <c r="AC681" s="1" t="s">
        <v>13039</v>
      </c>
      <c r="AD681" s="1" t="s">
        <v>120</v>
      </c>
      <c r="AE681" s="1" t="s">
        <v>13040</v>
      </c>
      <c r="AF681" s="1" t="s">
        <v>13041</v>
      </c>
      <c r="AG681" s="1" t="s">
        <v>13042</v>
      </c>
      <c r="AH681" s="1" t="s">
        <v>82</v>
      </c>
      <c r="AI681" s="1" t="s">
        <v>82</v>
      </c>
      <c r="AJ681" s="1" t="s">
        <v>13043</v>
      </c>
      <c r="AK681" s="1" t="s">
        <v>13043</v>
      </c>
      <c r="AL681" s="1" t="s">
        <v>13044</v>
      </c>
      <c r="AM681" s="1" t="s">
        <v>82</v>
      </c>
      <c r="AN681" s="1">
        <v>7</v>
      </c>
      <c r="AO681" s="1">
        <v>0</v>
      </c>
      <c r="AP681" s="1">
        <v>0</v>
      </c>
      <c r="AQ681" s="1">
        <v>1</v>
      </c>
      <c r="AR681" s="1">
        <v>1</v>
      </c>
      <c r="AS681" s="1" t="s">
        <v>12853</v>
      </c>
      <c r="AT681" s="1" t="s">
        <v>12854</v>
      </c>
      <c r="AU681" s="1" t="s">
        <v>12855</v>
      </c>
      <c r="AV681" s="1" t="s">
        <v>12856</v>
      </c>
      <c r="AW681" s="1" t="s">
        <v>12857</v>
      </c>
      <c r="AX681" s="1" t="s">
        <v>82</v>
      </c>
      <c r="AY681" s="1" t="s">
        <v>12841</v>
      </c>
      <c r="AZ681" s="1" t="s">
        <v>12858</v>
      </c>
      <c r="BA681" s="1" t="s">
        <v>13045</v>
      </c>
      <c r="BB681" s="1">
        <v>2022</v>
      </c>
      <c r="BC681" s="1">
        <v>567</v>
      </c>
      <c r="BD681" s="1">
        <v>2</v>
      </c>
      <c r="BE681" s="1" t="s">
        <v>82</v>
      </c>
      <c r="BF681" s="1" t="s">
        <v>82</v>
      </c>
      <c r="BG681" s="1" t="s">
        <v>82</v>
      </c>
      <c r="BH681" s="1" t="s">
        <v>82</v>
      </c>
      <c r="BI681" s="1">
        <v>205</v>
      </c>
      <c r="BJ681" s="1">
        <v>206</v>
      </c>
      <c r="BK681" s="1" t="s">
        <v>82</v>
      </c>
      <c r="BL681" s="1" t="s">
        <v>13046</v>
      </c>
      <c r="BM681" s="1" t="str">
        <f>HYPERLINK("http://dx.doi.org/10.11646/phytotaxa.567.2.10","http://dx.doi.org/10.11646/phytotaxa.567.2.10")</f>
        <v>http://dx.doi.org/10.11646/phytotaxa.567.2.10</v>
      </c>
      <c r="BN681" s="1" t="s">
        <v>82</v>
      </c>
      <c r="BO681" s="1" t="s">
        <v>82</v>
      </c>
      <c r="BP681" s="1">
        <v>2</v>
      </c>
      <c r="BQ681" s="1" t="s">
        <v>378</v>
      </c>
      <c r="BR681" s="1" t="s">
        <v>104</v>
      </c>
      <c r="BS681" s="1" t="s">
        <v>378</v>
      </c>
      <c r="BT681" s="1" t="s">
        <v>13047</v>
      </c>
      <c r="BU681" s="1" t="s">
        <v>82</v>
      </c>
      <c r="BV681" s="1" t="s">
        <v>82</v>
      </c>
      <c r="BW681" s="1" t="s">
        <v>82</v>
      </c>
      <c r="BX681" s="1" t="s">
        <v>82</v>
      </c>
      <c r="BY681" s="1" t="s">
        <v>108</v>
      </c>
      <c r="BZ681" s="1" t="s">
        <v>13048</v>
      </c>
      <c r="CA681" s="1" t="str">
        <f>HYPERLINK("https%3A%2F%2Fwww.webofscience.com%2Fwos%2Fwoscc%2Ffull-record%2FWOS:000876478800005","View Full Record in Web of Science")</f>
        <v>View Full Record in Web of Science</v>
      </c>
    </row>
    <row r="682" s="1" customFormat="1" ht="14.4" spans="1:79">
      <c r="A682">
        <v>681</v>
      </c>
      <c r="B682" s="2" t="s">
        <v>79</v>
      </c>
      <c r="C682" s="1" t="s">
        <v>80</v>
      </c>
      <c r="D682" s="1" t="s">
        <v>13049</v>
      </c>
      <c r="E682" s="1" t="s">
        <v>82</v>
      </c>
      <c r="F682" s="1" t="s">
        <v>82</v>
      </c>
      <c r="G682" s="1" t="s">
        <v>82</v>
      </c>
      <c r="H682" s="1" t="s">
        <v>13050</v>
      </c>
      <c r="I682" s="1" t="s">
        <v>82</v>
      </c>
      <c r="J682" s="1" t="s">
        <v>82</v>
      </c>
      <c r="K682" s="1" t="s">
        <v>13051</v>
      </c>
      <c r="L682" s="1" t="s">
        <v>12841</v>
      </c>
      <c r="M682" s="1">
        <v>1.05</v>
      </c>
      <c r="O682" s="1" t="s">
        <v>82</v>
      </c>
      <c r="P682" s="1" t="s">
        <v>82</v>
      </c>
      <c r="Q682" s="1" t="s">
        <v>87</v>
      </c>
      <c r="R682" s="1" t="s">
        <v>115</v>
      </c>
      <c r="S682" s="1" t="s">
        <v>82</v>
      </c>
      <c r="T682" s="1" t="s">
        <v>82</v>
      </c>
      <c r="U682" s="1" t="s">
        <v>82</v>
      </c>
      <c r="V682" s="1" t="s">
        <v>82</v>
      </c>
      <c r="W682" s="1" t="s">
        <v>82</v>
      </c>
      <c r="X682" s="1" t="s">
        <v>13052</v>
      </c>
      <c r="Y682" s="1" t="s">
        <v>13053</v>
      </c>
      <c r="Z682" s="1" t="s">
        <v>13054</v>
      </c>
      <c r="AB682" s="1" t="s">
        <v>13055</v>
      </c>
      <c r="AC682" s="1" t="s">
        <v>13056</v>
      </c>
      <c r="AD682" s="1" t="s">
        <v>120</v>
      </c>
      <c r="AE682" s="1" t="s">
        <v>13057</v>
      </c>
      <c r="AF682" s="1" t="s">
        <v>13058</v>
      </c>
      <c r="AG682" s="1" t="s">
        <v>13059</v>
      </c>
      <c r="AH682" s="1" t="s">
        <v>82</v>
      </c>
      <c r="AI682" s="1" t="s">
        <v>82</v>
      </c>
      <c r="AJ682" s="1" t="s">
        <v>13060</v>
      </c>
      <c r="AK682" s="1" t="s">
        <v>13061</v>
      </c>
      <c r="AL682" s="1" t="s">
        <v>13062</v>
      </c>
      <c r="AM682" s="1" t="s">
        <v>82</v>
      </c>
      <c r="AN682" s="1">
        <v>35</v>
      </c>
      <c r="AO682" s="1">
        <v>0</v>
      </c>
      <c r="AP682" s="1">
        <v>0</v>
      </c>
      <c r="AQ682" s="1">
        <v>1</v>
      </c>
      <c r="AR682" s="1">
        <v>1</v>
      </c>
      <c r="AS682" s="1" t="s">
        <v>12853</v>
      </c>
      <c r="AT682" s="1" t="s">
        <v>12854</v>
      </c>
      <c r="AU682" s="1" t="s">
        <v>12855</v>
      </c>
      <c r="AV682" s="1" t="s">
        <v>12856</v>
      </c>
      <c r="AW682" s="1" t="s">
        <v>12857</v>
      </c>
      <c r="AX682" s="1" t="s">
        <v>82</v>
      </c>
      <c r="AY682" s="1" t="s">
        <v>12841</v>
      </c>
      <c r="AZ682" s="1" t="s">
        <v>12858</v>
      </c>
      <c r="BA682" s="1" t="s">
        <v>4254</v>
      </c>
      <c r="BB682" s="1">
        <v>2022</v>
      </c>
      <c r="BC682" s="1">
        <v>567</v>
      </c>
      <c r="BD682" s="1">
        <v>1</v>
      </c>
      <c r="BE682" s="1" t="s">
        <v>82</v>
      </c>
      <c r="BF682" s="1" t="s">
        <v>82</v>
      </c>
      <c r="BG682" s="1" t="s">
        <v>82</v>
      </c>
      <c r="BH682" s="1" t="s">
        <v>82</v>
      </c>
      <c r="BI682" s="1">
        <v>61</v>
      </c>
      <c r="BJ682" s="1">
        <v>70</v>
      </c>
      <c r="BK682" s="1" t="s">
        <v>82</v>
      </c>
      <c r="BL682" s="1" t="s">
        <v>13063</v>
      </c>
      <c r="BM682" s="1" t="str">
        <f>HYPERLINK("http://dx.doi.org/10.11646/phytotaxa.567.1.5","http://dx.doi.org/10.11646/phytotaxa.567.1.5")</f>
        <v>http://dx.doi.org/10.11646/phytotaxa.567.1.5</v>
      </c>
      <c r="BN682" s="1" t="s">
        <v>82</v>
      </c>
      <c r="BO682" s="1" t="s">
        <v>82</v>
      </c>
      <c r="BP682" s="1">
        <v>10</v>
      </c>
      <c r="BQ682" s="1" t="s">
        <v>378</v>
      </c>
      <c r="BR682" s="1" t="s">
        <v>104</v>
      </c>
      <c r="BS682" s="1" t="s">
        <v>378</v>
      </c>
      <c r="BT682" s="1" t="s">
        <v>13064</v>
      </c>
      <c r="BU682" s="1" t="s">
        <v>82</v>
      </c>
      <c r="BV682" s="1" t="s">
        <v>82</v>
      </c>
      <c r="BW682" s="1" t="s">
        <v>82</v>
      </c>
      <c r="BX682" s="1" t="s">
        <v>82</v>
      </c>
      <c r="BY682" s="1" t="s">
        <v>108</v>
      </c>
      <c r="BZ682" s="1" t="s">
        <v>13065</v>
      </c>
      <c r="CA682" s="1" t="str">
        <f>HYPERLINK("https%3A%2F%2Fwww.webofscience.com%2Fwos%2Fwoscc%2Ffull-record%2FWOS:000870322400002","View Full Record in Web of Science")</f>
        <v>View Full Record in Web of Science</v>
      </c>
    </row>
    <row r="683" s="1" customFormat="1" ht="14.4" spans="1:79">
      <c r="A683">
        <v>682</v>
      </c>
      <c r="B683" s="2" t="s">
        <v>79</v>
      </c>
      <c r="C683" s="1" t="s">
        <v>80</v>
      </c>
      <c r="D683" s="1" t="s">
        <v>13066</v>
      </c>
      <c r="E683" s="1" t="s">
        <v>82</v>
      </c>
      <c r="F683" s="1" t="s">
        <v>82</v>
      </c>
      <c r="G683" s="1" t="s">
        <v>82</v>
      </c>
      <c r="H683" s="1" t="s">
        <v>13067</v>
      </c>
      <c r="I683" s="1" t="s">
        <v>82</v>
      </c>
      <c r="J683" s="1" t="s">
        <v>82</v>
      </c>
      <c r="K683" s="1" t="s">
        <v>13068</v>
      </c>
      <c r="L683" s="1" t="s">
        <v>12841</v>
      </c>
      <c r="M683" s="1">
        <v>1.05</v>
      </c>
      <c r="O683" s="1" t="s">
        <v>82</v>
      </c>
      <c r="P683" s="1" t="s">
        <v>82</v>
      </c>
      <c r="Q683" s="1" t="s">
        <v>87</v>
      </c>
      <c r="R683" s="1" t="s">
        <v>115</v>
      </c>
      <c r="S683" s="1" t="s">
        <v>82</v>
      </c>
      <c r="T683" s="1" t="s">
        <v>82</v>
      </c>
      <c r="U683" s="1" t="s">
        <v>82</v>
      </c>
      <c r="V683" s="1" t="s">
        <v>82</v>
      </c>
      <c r="W683" s="1" t="s">
        <v>82</v>
      </c>
      <c r="X683" s="1" t="s">
        <v>13069</v>
      </c>
      <c r="Y683" s="1" t="s">
        <v>13070</v>
      </c>
      <c r="Z683" s="1" t="s">
        <v>13071</v>
      </c>
      <c r="AA683" s="1">
        <v>1</v>
      </c>
      <c r="AB683" s="1" t="s">
        <v>13072</v>
      </c>
      <c r="AC683" s="1" t="s">
        <v>13073</v>
      </c>
      <c r="AD683" s="1" t="s">
        <v>93</v>
      </c>
      <c r="AE683" s="1" t="s">
        <v>13074</v>
      </c>
      <c r="AF683" s="1" t="s">
        <v>13075</v>
      </c>
      <c r="AG683" s="1" t="s">
        <v>13076</v>
      </c>
      <c r="AH683" s="1" t="s">
        <v>82</v>
      </c>
      <c r="AI683" s="1" t="s">
        <v>10073</v>
      </c>
      <c r="AJ683" s="1" t="s">
        <v>13077</v>
      </c>
      <c r="AK683" s="1" t="s">
        <v>13078</v>
      </c>
      <c r="AL683" s="1" t="s">
        <v>13079</v>
      </c>
      <c r="AM683" s="1" t="s">
        <v>82</v>
      </c>
      <c r="AN683" s="1">
        <v>83</v>
      </c>
      <c r="AO683" s="1">
        <v>0</v>
      </c>
      <c r="AP683" s="1">
        <v>0</v>
      </c>
      <c r="AQ683" s="1">
        <v>2</v>
      </c>
      <c r="AR683" s="1">
        <v>2</v>
      </c>
      <c r="AS683" s="1" t="s">
        <v>12853</v>
      </c>
      <c r="AT683" s="1" t="s">
        <v>12854</v>
      </c>
      <c r="AU683" s="1" t="s">
        <v>12855</v>
      </c>
      <c r="AV683" s="1" t="s">
        <v>12856</v>
      </c>
      <c r="AW683" s="1" t="s">
        <v>12857</v>
      </c>
      <c r="AX683" s="1" t="s">
        <v>82</v>
      </c>
      <c r="AY683" s="1" t="s">
        <v>12841</v>
      </c>
      <c r="AZ683" s="1" t="s">
        <v>12858</v>
      </c>
      <c r="BA683" s="1" t="s">
        <v>13080</v>
      </c>
      <c r="BB683" s="1">
        <v>2022</v>
      </c>
      <c r="BC683" s="1">
        <v>548</v>
      </c>
      <c r="BD683" s="1">
        <v>1</v>
      </c>
      <c r="BE683" s="1" t="s">
        <v>82</v>
      </c>
      <c r="BF683" s="1" t="s">
        <v>82</v>
      </c>
      <c r="BG683" s="1" t="s">
        <v>82</v>
      </c>
      <c r="BH683" s="1" t="s">
        <v>82</v>
      </c>
      <c r="BI683" s="1">
        <v>39</v>
      </c>
      <c r="BJ683" s="1">
        <v>50</v>
      </c>
      <c r="BK683" s="1" t="s">
        <v>82</v>
      </c>
      <c r="BL683" s="1" t="s">
        <v>13081</v>
      </c>
      <c r="BM683" s="1" t="str">
        <f>HYPERLINK("http://dx.doi.org/10.11646/phytotaxa.548.1.3","http://dx.doi.org/10.11646/phytotaxa.548.1.3")</f>
        <v>http://dx.doi.org/10.11646/phytotaxa.548.1.3</v>
      </c>
      <c r="BN683" s="1" t="s">
        <v>82</v>
      </c>
      <c r="BO683" s="1" t="s">
        <v>82</v>
      </c>
      <c r="BP683" s="1">
        <v>12</v>
      </c>
      <c r="BQ683" s="1" t="s">
        <v>378</v>
      </c>
      <c r="BR683" s="1" t="s">
        <v>104</v>
      </c>
      <c r="BS683" s="1" t="s">
        <v>378</v>
      </c>
      <c r="BT683" s="1" t="s">
        <v>13082</v>
      </c>
      <c r="BU683" s="1" t="s">
        <v>82</v>
      </c>
      <c r="BV683" s="1" t="s">
        <v>82</v>
      </c>
      <c r="BW683" s="1" t="s">
        <v>82</v>
      </c>
      <c r="BX683" s="1" t="s">
        <v>82</v>
      </c>
      <c r="BY683" s="1" t="s">
        <v>108</v>
      </c>
      <c r="BZ683" s="1" t="s">
        <v>13083</v>
      </c>
      <c r="CA683" s="1" t="str">
        <f>HYPERLINK("https%3A%2F%2Fwww.webofscience.com%2Fwos%2Fwoscc%2Ffull-record%2FWOS:000833092900002","View Full Record in Web of Science")</f>
        <v>View Full Record in Web of Science</v>
      </c>
    </row>
    <row r="684" s="1" customFormat="1" ht="14.4" spans="1:79">
      <c r="A684">
        <v>683</v>
      </c>
      <c r="B684" s="2" t="s">
        <v>79</v>
      </c>
      <c r="C684" s="1" t="s">
        <v>80</v>
      </c>
      <c r="D684" s="1" t="s">
        <v>13084</v>
      </c>
      <c r="E684" s="1" t="s">
        <v>82</v>
      </c>
      <c r="F684" s="1" t="s">
        <v>82</v>
      </c>
      <c r="G684" s="1" t="s">
        <v>82</v>
      </c>
      <c r="H684" s="1" t="s">
        <v>13085</v>
      </c>
      <c r="I684" s="1" t="s">
        <v>82</v>
      </c>
      <c r="J684" s="1" t="s">
        <v>82</v>
      </c>
      <c r="K684" s="1" t="s">
        <v>13086</v>
      </c>
      <c r="L684" s="1" t="s">
        <v>12841</v>
      </c>
      <c r="M684" s="1">
        <v>1.05</v>
      </c>
      <c r="O684" s="1" t="s">
        <v>82</v>
      </c>
      <c r="P684" s="1" t="s">
        <v>82</v>
      </c>
      <c r="Q684" s="1" t="s">
        <v>87</v>
      </c>
      <c r="R684" s="1" t="s">
        <v>115</v>
      </c>
      <c r="S684" s="1" t="s">
        <v>82</v>
      </c>
      <c r="T684" s="1" t="s">
        <v>82</v>
      </c>
      <c r="U684" s="1" t="s">
        <v>82</v>
      </c>
      <c r="V684" s="1" t="s">
        <v>82</v>
      </c>
      <c r="W684" s="1" t="s">
        <v>82</v>
      </c>
      <c r="X684" s="1" t="s">
        <v>13087</v>
      </c>
      <c r="Y684" s="1" t="s">
        <v>13088</v>
      </c>
      <c r="Z684" s="1" t="s">
        <v>13089</v>
      </c>
      <c r="AA684" s="1">
        <v>1</v>
      </c>
      <c r="AB684" s="1" t="s">
        <v>13090</v>
      </c>
      <c r="AC684" s="1" t="s">
        <v>13091</v>
      </c>
      <c r="AD684" s="1" t="s">
        <v>93</v>
      </c>
      <c r="AE684" s="1" t="s">
        <v>13092</v>
      </c>
      <c r="AF684" s="1" t="s">
        <v>13093</v>
      </c>
      <c r="AG684" s="1" t="s">
        <v>13094</v>
      </c>
      <c r="AH684" s="1" t="s">
        <v>82</v>
      </c>
      <c r="AI684" s="1" t="s">
        <v>82</v>
      </c>
      <c r="AJ684" s="1" t="s">
        <v>82</v>
      </c>
      <c r="AK684" s="1" t="s">
        <v>82</v>
      </c>
      <c r="AL684" s="1" t="s">
        <v>82</v>
      </c>
      <c r="AM684" s="1" t="s">
        <v>82</v>
      </c>
      <c r="AN684" s="1">
        <v>55</v>
      </c>
      <c r="AO684" s="1">
        <v>0</v>
      </c>
      <c r="AP684" s="1">
        <v>0</v>
      </c>
      <c r="AQ684" s="1">
        <v>3</v>
      </c>
      <c r="AR684" s="1">
        <v>3</v>
      </c>
      <c r="AS684" s="1" t="s">
        <v>12853</v>
      </c>
      <c r="AT684" s="1" t="s">
        <v>12854</v>
      </c>
      <c r="AU684" s="1" t="s">
        <v>12855</v>
      </c>
      <c r="AV684" s="1" t="s">
        <v>12856</v>
      </c>
      <c r="AW684" s="1" t="s">
        <v>12857</v>
      </c>
      <c r="AX684" s="1" t="s">
        <v>82</v>
      </c>
      <c r="AY684" s="1" t="s">
        <v>12841</v>
      </c>
      <c r="AZ684" s="1" t="s">
        <v>12858</v>
      </c>
      <c r="BA684" s="1" t="s">
        <v>5454</v>
      </c>
      <c r="BB684" s="1">
        <v>2022</v>
      </c>
      <c r="BC684" s="1">
        <v>560</v>
      </c>
      <c r="BD684" s="1">
        <v>1</v>
      </c>
      <c r="BE684" s="1" t="s">
        <v>82</v>
      </c>
      <c r="BF684" s="1" t="s">
        <v>82</v>
      </c>
      <c r="BG684" s="1" t="s">
        <v>82</v>
      </c>
      <c r="BH684" s="1" t="s">
        <v>82</v>
      </c>
      <c r="BI684" s="1">
        <v>82</v>
      </c>
      <c r="BJ684" s="1">
        <v>92</v>
      </c>
      <c r="BK684" s="1" t="s">
        <v>82</v>
      </c>
      <c r="BL684" s="1" t="s">
        <v>13095</v>
      </c>
      <c r="BM684" s="1" t="str">
        <f>HYPERLINK("http://dx.doi.org/10.11646/phytotaxa.560.1.6","http://dx.doi.org/10.11646/phytotaxa.560.1.6")</f>
        <v>http://dx.doi.org/10.11646/phytotaxa.560.1.6</v>
      </c>
      <c r="BN684" s="1" t="s">
        <v>82</v>
      </c>
      <c r="BO684" s="1" t="s">
        <v>82</v>
      </c>
      <c r="BP684" s="1">
        <v>11</v>
      </c>
      <c r="BQ684" s="1" t="s">
        <v>378</v>
      </c>
      <c r="BR684" s="1" t="s">
        <v>104</v>
      </c>
      <c r="BS684" s="1" t="s">
        <v>378</v>
      </c>
      <c r="BT684" s="1" t="s">
        <v>13096</v>
      </c>
      <c r="BU684" s="1" t="s">
        <v>82</v>
      </c>
      <c r="BV684" s="1" t="s">
        <v>82</v>
      </c>
      <c r="BW684" s="1" t="s">
        <v>82</v>
      </c>
      <c r="BX684" s="1" t="s">
        <v>82</v>
      </c>
      <c r="BY684" s="1" t="s">
        <v>108</v>
      </c>
      <c r="BZ684" s="1" t="s">
        <v>13097</v>
      </c>
      <c r="CA684" s="1" t="str">
        <f>HYPERLINK("https%3A%2F%2Fwww.webofscience.com%2Fwos%2Fwoscc%2Ffull-record%2FWOS:000859863800002","View Full Record in Web of Science")</f>
        <v>View Full Record in Web of Science</v>
      </c>
    </row>
    <row r="685" s="1" customFormat="1" ht="14.4" spans="1:79">
      <c r="A685">
        <v>684</v>
      </c>
      <c r="B685" s="2" t="s">
        <v>79</v>
      </c>
      <c r="C685" s="1" t="s">
        <v>80</v>
      </c>
      <c r="D685" s="1" t="s">
        <v>13098</v>
      </c>
      <c r="E685" s="1" t="s">
        <v>82</v>
      </c>
      <c r="F685" s="1" t="s">
        <v>82</v>
      </c>
      <c r="G685" s="1" t="s">
        <v>82</v>
      </c>
      <c r="H685" s="1" t="s">
        <v>13099</v>
      </c>
      <c r="I685" s="1" t="s">
        <v>82</v>
      </c>
      <c r="J685" s="1" t="s">
        <v>82</v>
      </c>
      <c r="K685" s="1" t="s">
        <v>13100</v>
      </c>
      <c r="L685" s="1" t="s">
        <v>12841</v>
      </c>
      <c r="M685" s="1">
        <v>1.05</v>
      </c>
      <c r="O685" s="1" t="s">
        <v>82</v>
      </c>
      <c r="P685" s="1" t="s">
        <v>82</v>
      </c>
      <c r="Q685" s="1" t="s">
        <v>87</v>
      </c>
      <c r="R685" s="1" t="s">
        <v>115</v>
      </c>
      <c r="S685" s="1" t="s">
        <v>82</v>
      </c>
      <c r="T685" s="1" t="s">
        <v>82</v>
      </c>
      <c r="U685" s="1" t="s">
        <v>82</v>
      </c>
      <c r="V685" s="1" t="s">
        <v>82</v>
      </c>
      <c r="W685" s="1" t="s">
        <v>82</v>
      </c>
      <c r="X685" s="1" t="s">
        <v>13101</v>
      </c>
      <c r="Y685" s="1" t="s">
        <v>13102</v>
      </c>
      <c r="Z685" s="1" t="s">
        <v>13103</v>
      </c>
      <c r="AB685" s="1" t="s">
        <v>13104</v>
      </c>
      <c r="AC685" s="1" t="s">
        <v>13105</v>
      </c>
      <c r="AD685" s="1" t="s">
        <v>120</v>
      </c>
      <c r="AE685" s="1" t="s">
        <v>13106</v>
      </c>
      <c r="AF685" s="1" t="s">
        <v>13107</v>
      </c>
      <c r="AG685" s="1" t="s">
        <v>13108</v>
      </c>
      <c r="AH685" s="1" t="s">
        <v>13109</v>
      </c>
      <c r="AI685" s="1" t="s">
        <v>13110</v>
      </c>
      <c r="AJ685" s="1" t="s">
        <v>82</v>
      </c>
      <c r="AK685" s="1" t="s">
        <v>82</v>
      </c>
      <c r="AL685" s="1" t="s">
        <v>82</v>
      </c>
      <c r="AM685" s="1" t="s">
        <v>82</v>
      </c>
      <c r="AN685" s="1">
        <v>30</v>
      </c>
      <c r="AO685" s="1">
        <v>0</v>
      </c>
      <c r="AP685" s="1">
        <v>0</v>
      </c>
      <c r="AQ685" s="1">
        <v>0</v>
      </c>
      <c r="AR685" s="1">
        <v>0</v>
      </c>
      <c r="AS685" s="1" t="s">
        <v>12853</v>
      </c>
      <c r="AT685" s="1" t="s">
        <v>12854</v>
      </c>
      <c r="AU685" s="1" t="s">
        <v>12855</v>
      </c>
      <c r="AV685" s="1" t="s">
        <v>12856</v>
      </c>
      <c r="AW685" s="1" t="s">
        <v>12857</v>
      </c>
      <c r="AX685" s="1" t="s">
        <v>82</v>
      </c>
      <c r="AY685" s="1" t="s">
        <v>12841</v>
      </c>
      <c r="AZ685" s="1" t="s">
        <v>12858</v>
      </c>
      <c r="BA685" s="1" t="s">
        <v>13111</v>
      </c>
      <c r="BB685" s="1">
        <v>2022</v>
      </c>
      <c r="BC685" s="1">
        <v>564</v>
      </c>
      <c r="BD685" s="1">
        <v>1</v>
      </c>
      <c r="BE685" s="1" t="s">
        <v>82</v>
      </c>
      <c r="BF685" s="1" t="s">
        <v>82</v>
      </c>
      <c r="BG685" s="1" t="s">
        <v>82</v>
      </c>
      <c r="BH685" s="1" t="s">
        <v>82</v>
      </c>
      <c r="BI685" s="1">
        <v>84</v>
      </c>
      <c r="BJ685" s="1">
        <v>94</v>
      </c>
      <c r="BK685" s="1" t="s">
        <v>82</v>
      </c>
      <c r="BL685" s="1" t="s">
        <v>13112</v>
      </c>
      <c r="BM685" s="1" t="str">
        <f>HYPERLINK("http://dx.doi.org/10.11646/phytotaxa.564.1.6","http://dx.doi.org/10.11646/phytotaxa.564.1.6")</f>
        <v>http://dx.doi.org/10.11646/phytotaxa.564.1.6</v>
      </c>
      <c r="BN685" s="1" t="s">
        <v>82</v>
      </c>
      <c r="BO685" s="1" t="s">
        <v>82</v>
      </c>
      <c r="BP685" s="1">
        <v>11</v>
      </c>
      <c r="BQ685" s="1" t="s">
        <v>378</v>
      </c>
      <c r="BR685" s="1" t="s">
        <v>104</v>
      </c>
      <c r="BS685" s="1" t="s">
        <v>378</v>
      </c>
      <c r="BT685" s="1" t="s">
        <v>13113</v>
      </c>
      <c r="BU685" s="1" t="s">
        <v>82</v>
      </c>
      <c r="BV685" s="1" t="s">
        <v>82</v>
      </c>
      <c r="BW685" s="1" t="s">
        <v>82</v>
      </c>
      <c r="BX685" s="1" t="s">
        <v>82</v>
      </c>
      <c r="BY685" s="1" t="s">
        <v>108</v>
      </c>
      <c r="BZ685" s="1" t="s">
        <v>13114</v>
      </c>
      <c r="CA685" s="1" t="str">
        <f>HYPERLINK("https%3A%2F%2Fwww.webofscience.com%2Fwos%2Fwoscc%2Ffull-record%2FWOS:000860616000006","View Full Record in Web of Science")</f>
        <v>View Full Record in Web of Science</v>
      </c>
    </row>
    <row r="686" s="1" customFormat="1" ht="14.4" spans="1:79">
      <c r="A686">
        <v>685</v>
      </c>
      <c r="B686" s="2" t="s">
        <v>79</v>
      </c>
      <c r="C686" s="1" t="s">
        <v>80</v>
      </c>
      <c r="D686" s="1" t="s">
        <v>13115</v>
      </c>
      <c r="E686" s="1" t="s">
        <v>82</v>
      </c>
      <c r="F686" s="1" t="s">
        <v>82</v>
      </c>
      <c r="G686" s="1" t="s">
        <v>82</v>
      </c>
      <c r="H686" s="1" t="s">
        <v>13116</v>
      </c>
      <c r="I686" s="1" t="s">
        <v>82</v>
      </c>
      <c r="J686" s="1" t="s">
        <v>82</v>
      </c>
      <c r="K686" s="1" t="s">
        <v>13117</v>
      </c>
      <c r="L686" s="1" t="s">
        <v>12841</v>
      </c>
      <c r="M686" s="1">
        <v>1.05</v>
      </c>
      <c r="O686" s="1" t="s">
        <v>82</v>
      </c>
      <c r="P686" s="1" t="s">
        <v>82</v>
      </c>
      <c r="Q686" s="1" t="s">
        <v>87</v>
      </c>
      <c r="R686" s="1" t="s">
        <v>115</v>
      </c>
      <c r="S686" s="1" t="s">
        <v>82</v>
      </c>
      <c r="T686" s="1" t="s">
        <v>82</v>
      </c>
      <c r="U686" s="1" t="s">
        <v>82</v>
      </c>
      <c r="V686" s="1" t="s">
        <v>82</v>
      </c>
      <c r="W686" s="1" t="s">
        <v>82</v>
      </c>
      <c r="X686" s="1" t="s">
        <v>13118</v>
      </c>
      <c r="Y686" s="1" t="s">
        <v>13119</v>
      </c>
      <c r="Z686" s="1" t="s">
        <v>13120</v>
      </c>
      <c r="AB686" s="1" t="s">
        <v>13121</v>
      </c>
      <c r="AC686" s="1" t="s">
        <v>13122</v>
      </c>
      <c r="AD686" s="1" t="s">
        <v>206</v>
      </c>
      <c r="AE686" s="1" t="s">
        <v>13123</v>
      </c>
      <c r="AF686" s="1" t="s">
        <v>13124</v>
      </c>
      <c r="AG686" s="1" t="s">
        <v>13125</v>
      </c>
      <c r="AH686" s="1" t="s">
        <v>82</v>
      </c>
      <c r="AI686" s="1" t="s">
        <v>82</v>
      </c>
      <c r="AJ686" s="1" t="s">
        <v>82</v>
      </c>
      <c r="AK686" s="1" t="s">
        <v>82</v>
      </c>
      <c r="AL686" s="1" t="s">
        <v>82</v>
      </c>
      <c r="AM686" s="1" t="s">
        <v>82</v>
      </c>
      <c r="AN686" s="1">
        <v>23</v>
      </c>
      <c r="AO686" s="1">
        <v>0</v>
      </c>
      <c r="AP686" s="1">
        <v>0</v>
      </c>
      <c r="AQ686" s="1">
        <v>3</v>
      </c>
      <c r="AR686" s="1">
        <v>3</v>
      </c>
      <c r="AS686" s="1" t="s">
        <v>12853</v>
      </c>
      <c r="AT686" s="1" t="s">
        <v>12854</v>
      </c>
      <c r="AU686" s="1" t="s">
        <v>12855</v>
      </c>
      <c r="AV686" s="1" t="s">
        <v>12856</v>
      </c>
      <c r="AW686" s="1" t="s">
        <v>12857</v>
      </c>
      <c r="AX686" s="1" t="s">
        <v>82</v>
      </c>
      <c r="AY686" s="1" t="s">
        <v>12841</v>
      </c>
      <c r="AZ686" s="1" t="s">
        <v>12858</v>
      </c>
      <c r="BA686" s="1" t="s">
        <v>13126</v>
      </c>
      <c r="BB686" s="1">
        <v>2022</v>
      </c>
      <c r="BC686" s="1">
        <v>558</v>
      </c>
      <c r="BD686" s="1">
        <v>3</v>
      </c>
      <c r="BE686" s="1" t="s">
        <v>82</v>
      </c>
      <c r="BF686" s="1" t="s">
        <v>82</v>
      </c>
      <c r="BG686" s="1" t="s">
        <v>82</v>
      </c>
      <c r="BH686" s="1" t="s">
        <v>82</v>
      </c>
      <c r="BI686" s="1">
        <v>291</v>
      </c>
      <c r="BJ686" s="1">
        <v>296</v>
      </c>
      <c r="BK686" s="1" t="s">
        <v>82</v>
      </c>
      <c r="BL686" s="1" t="s">
        <v>13127</v>
      </c>
      <c r="BM686" s="1" t="str">
        <f>HYPERLINK("http://dx.doi.org/10.11646/phytotaxa.558.3.5","http://dx.doi.org/10.11646/phytotaxa.558.3.5")</f>
        <v>http://dx.doi.org/10.11646/phytotaxa.558.3.5</v>
      </c>
      <c r="BN686" s="1" t="s">
        <v>82</v>
      </c>
      <c r="BO686" s="1" t="s">
        <v>82</v>
      </c>
      <c r="BP686" s="1">
        <v>6</v>
      </c>
      <c r="BQ686" s="1" t="s">
        <v>378</v>
      </c>
      <c r="BR686" s="1" t="s">
        <v>104</v>
      </c>
      <c r="BS686" s="1" t="s">
        <v>378</v>
      </c>
      <c r="BT686" s="1" t="s">
        <v>13128</v>
      </c>
      <c r="BU686" s="1" t="s">
        <v>82</v>
      </c>
      <c r="BV686" s="1" t="s">
        <v>82</v>
      </c>
      <c r="BW686" s="1" t="s">
        <v>82</v>
      </c>
      <c r="BX686" s="1" t="s">
        <v>82</v>
      </c>
      <c r="BY686" s="1" t="s">
        <v>108</v>
      </c>
      <c r="BZ686" s="1" t="s">
        <v>13129</v>
      </c>
      <c r="CA686" s="1" t="str">
        <f>HYPERLINK("https%3A%2F%2Fwww.webofscience.com%2Fwos%2Fwoscc%2Ffull-record%2FWOS:000851318500005","View Full Record in Web of Science")</f>
        <v>View Full Record in Web of Science</v>
      </c>
    </row>
    <row r="687" s="1" customFormat="1" ht="14.4" spans="1:79">
      <c r="A687">
        <v>686</v>
      </c>
      <c r="B687" s="2" t="s">
        <v>79</v>
      </c>
      <c r="C687" s="1" t="s">
        <v>80</v>
      </c>
      <c r="D687" s="1" t="s">
        <v>13130</v>
      </c>
      <c r="E687" s="1" t="s">
        <v>82</v>
      </c>
      <c r="F687" s="1" t="s">
        <v>82</v>
      </c>
      <c r="G687" s="1" t="s">
        <v>82</v>
      </c>
      <c r="H687" s="1" t="s">
        <v>13131</v>
      </c>
      <c r="I687" s="1" t="s">
        <v>82</v>
      </c>
      <c r="J687" s="1" t="s">
        <v>82</v>
      </c>
      <c r="K687" s="1" t="s">
        <v>13132</v>
      </c>
      <c r="L687" s="1" t="s">
        <v>12841</v>
      </c>
      <c r="M687" s="1">
        <v>1.05</v>
      </c>
      <c r="O687" s="1" t="s">
        <v>82</v>
      </c>
      <c r="P687" s="1" t="s">
        <v>82</v>
      </c>
      <c r="Q687" s="1" t="s">
        <v>87</v>
      </c>
      <c r="R687" s="1" t="s">
        <v>115</v>
      </c>
      <c r="S687" s="1" t="s">
        <v>82</v>
      </c>
      <c r="T687" s="1" t="s">
        <v>82</v>
      </c>
      <c r="U687" s="1" t="s">
        <v>82</v>
      </c>
      <c r="V687" s="1" t="s">
        <v>82</v>
      </c>
      <c r="W687" s="1" t="s">
        <v>82</v>
      </c>
      <c r="X687" s="1" t="s">
        <v>13133</v>
      </c>
      <c r="Y687" s="1" t="s">
        <v>13134</v>
      </c>
      <c r="Z687" s="1" t="s">
        <v>13135</v>
      </c>
      <c r="AB687" s="1" t="s">
        <v>13136</v>
      </c>
      <c r="AC687" s="1" t="s">
        <v>13137</v>
      </c>
      <c r="AD687" s="1" t="s">
        <v>206</v>
      </c>
      <c r="AE687" s="1" t="s">
        <v>13138</v>
      </c>
      <c r="AF687" s="1" t="s">
        <v>13139</v>
      </c>
      <c r="AG687" s="1" t="s">
        <v>13140</v>
      </c>
      <c r="AH687" s="1" t="s">
        <v>13141</v>
      </c>
      <c r="AI687" s="1" t="s">
        <v>13142</v>
      </c>
      <c r="AJ687" s="1" t="s">
        <v>82</v>
      </c>
      <c r="AK687" s="1" t="s">
        <v>82</v>
      </c>
      <c r="AL687" s="1" t="s">
        <v>82</v>
      </c>
      <c r="AM687" s="1" t="s">
        <v>82</v>
      </c>
      <c r="AN687" s="1">
        <v>35</v>
      </c>
      <c r="AO687" s="1">
        <v>0</v>
      </c>
      <c r="AP687" s="1">
        <v>0</v>
      </c>
      <c r="AQ687" s="1">
        <v>1</v>
      </c>
      <c r="AR687" s="1">
        <v>1</v>
      </c>
      <c r="AS687" s="1" t="s">
        <v>12853</v>
      </c>
      <c r="AT687" s="1" t="s">
        <v>12854</v>
      </c>
      <c r="AU687" s="1" t="s">
        <v>12855</v>
      </c>
      <c r="AV687" s="1" t="s">
        <v>12856</v>
      </c>
      <c r="AW687" s="1" t="s">
        <v>12857</v>
      </c>
      <c r="AX687" s="1" t="s">
        <v>82</v>
      </c>
      <c r="AY687" s="1" t="s">
        <v>12841</v>
      </c>
      <c r="AZ687" s="1" t="s">
        <v>12858</v>
      </c>
      <c r="BA687" s="1" t="s">
        <v>613</v>
      </c>
      <c r="BB687" s="1">
        <v>2022</v>
      </c>
      <c r="BC687" s="1">
        <v>559</v>
      </c>
      <c r="BD687" s="1">
        <v>3</v>
      </c>
      <c r="BE687" s="1" t="s">
        <v>82</v>
      </c>
      <c r="BF687" s="1" t="s">
        <v>82</v>
      </c>
      <c r="BG687" s="1" t="s">
        <v>82</v>
      </c>
      <c r="BH687" s="1" t="s">
        <v>82</v>
      </c>
      <c r="BI687" s="1">
        <v>247</v>
      </c>
      <c r="BJ687" s="1">
        <v>262</v>
      </c>
      <c r="BK687" s="1" t="s">
        <v>82</v>
      </c>
      <c r="BL687" s="1" t="s">
        <v>13143</v>
      </c>
      <c r="BM687" s="1" t="str">
        <f>HYPERLINK("http://dx.doi.org/10.11646/phytotaxa.559.3.3","http://dx.doi.org/10.11646/phytotaxa.559.3.3")</f>
        <v>http://dx.doi.org/10.11646/phytotaxa.559.3.3</v>
      </c>
      <c r="BN687" s="1" t="s">
        <v>82</v>
      </c>
      <c r="BO687" s="1" t="s">
        <v>82</v>
      </c>
      <c r="BP687" s="1">
        <v>16</v>
      </c>
      <c r="BQ687" s="1" t="s">
        <v>378</v>
      </c>
      <c r="BR687" s="1" t="s">
        <v>104</v>
      </c>
      <c r="BS687" s="1" t="s">
        <v>378</v>
      </c>
      <c r="BT687" s="1" t="s">
        <v>13144</v>
      </c>
      <c r="BU687" s="1" t="s">
        <v>82</v>
      </c>
      <c r="BV687" s="1" t="s">
        <v>82</v>
      </c>
      <c r="BW687" s="1" t="s">
        <v>82</v>
      </c>
      <c r="BX687" s="1" t="s">
        <v>82</v>
      </c>
      <c r="BY687" s="1" t="s">
        <v>108</v>
      </c>
      <c r="BZ687" s="1" t="s">
        <v>13145</v>
      </c>
      <c r="CA687" s="1" t="str">
        <f>HYPERLINK("https%3A%2F%2Fwww.webofscience.com%2Fwos%2Fwoscc%2Ffull-record%2FWOS:000848849300003","View Full Record in Web of Science")</f>
        <v>View Full Record in Web of Science</v>
      </c>
    </row>
    <row r="688" s="1" customFormat="1" ht="14.4" spans="1:79">
      <c r="A688">
        <v>687</v>
      </c>
      <c r="B688" s="2" t="s">
        <v>79</v>
      </c>
      <c r="C688" s="1" t="s">
        <v>80</v>
      </c>
      <c r="D688" s="1" t="s">
        <v>13146</v>
      </c>
      <c r="E688" s="1" t="s">
        <v>82</v>
      </c>
      <c r="F688" s="1" t="s">
        <v>82</v>
      </c>
      <c r="G688" s="1" t="s">
        <v>82</v>
      </c>
      <c r="H688" s="1" t="s">
        <v>13147</v>
      </c>
      <c r="I688" s="1" t="s">
        <v>82</v>
      </c>
      <c r="J688" s="1" t="s">
        <v>82</v>
      </c>
      <c r="K688" s="1" t="s">
        <v>13148</v>
      </c>
      <c r="L688" s="1" t="s">
        <v>12841</v>
      </c>
      <c r="M688" s="1">
        <v>1.05</v>
      </c>
      <c r="O688" s="1" t="s">
        <v>82</v>
      </c>
      <c r="P688" s="1" t="s">
        <v>82</v>
      </c>
      <c r="Q688" s="1" t="s">
        <v>87</v>
      </c>
      <c r="R688" s="1" t="s">
        <v>115</v>
      </c>
      <c r="S688" s="1" t="s">
        <v>82</v>
      </c>
      <c r="T688" s="1" t="s">
        <v>82</v>
      </c>
      <c r="U688" s="1" t="s">
        <v>82</v>
      </c>
      <c r="V688" s="1" t="s">
        <v>82</v>
      </c>
      <c r="W688" s="1" t="s">
        <v>82</v>
      </c>
      <c r="X688" s="1" t="s">
        <v>13149</v>
      </c>
      <c r="Y688" s="1" t="s">
        <v>13150</v>
      </c>
      <c r="Z688" s="1" t="s">
        <v>13151</v>
      </c>
      <c r="AB688" s="1" t="s">
        <v>4854</v>
      </c>
      <c r="AC688" s="1" t="s">
        <v>13152</v>
      </c>
      <c r="AD688" s="1" t="s">
        <v>120</v>
      </c>
      <c r="AE688" s="1" t="s">
        <v>13153</v>
      </c>
      <c r="AF688" s="1" t="s">
        <v>4857</v>
      </c>
      <c r="AG688" s="1" t="s">
        <v>13154</v>
      </c>
      <c r="AH688" s="1" t="s">
        <v>13155</v>
      </c>
      <c r="AI688" s="1" t="s">
        <v>13156</v>
      </c>
      <c r="AJ688" s="1" t="s">
        <v>82</v>
      </c>
      <c r="AK688" s="1" t="s">
        <v>82</v>
      </c>
      <c r="AL688" s="1" t="s">
        <v>82</v>
      </c>
      <c r="AM688" s="1" t="s">
        <v>82</v>
      </c>
      <c r="AN688" s="1">
        <v>39</v>
      </c>
      <c r="AO688" s="1">
        <v>0</v>
      </c>
      <c r="AP688" s="1">
        <v>0</v>
      </c>
      <c r="AQ688" s="1">
        <v>1</v>
      </c>
      <c r="AR688" s="1">
        <v>1</v>
      </c>
      <c r="AS688" s="1" t="s">
        <v>12853</v>
      </c>
      <c r="AT688" s="1" t="s">
        <v>12854</v>
      </c>
      <c r="AU688" s="1" t="s">
        <v>12855</v>
      </c>
      <c r="AV688" s="1" t="s">
        <v>12856</v>
      </c>
      <c r="AW688" s="1" t="s">
        <v>12857</v>
      </c>
      <c r="AX688" s="1" t="s">
        <v>82</v>
      </c>
      <c r="AY688" s="1" t="s">
        <v>12841</v>
      </c>
      <c r="AZ688" s="1" t="s">
        <v>12858</v>
      </c>
      <c r="BA688" s="1" t="s">
        <v>13157</v>
      </c>
      <c r="BB688" s="1">
        <v>2022</v>
      </c>
      <c r="BC688" s="1">
        <v>559</v>
      </c>
      <c r="BD688" s="1">
        <v>2</v>
      </c>
      <c r="BE688" s="1" t="s">
        <v>82</v>
      </c>
      <c r="BF688" s="1" t="s">
        <v>82</v>
      </c>
      <c r="BG688" s="1" t="s">
        <v>82</v>
      </c>
      <c r="BH688" s="1" t="s">
        <v>82</v>
      </c>
      <c r="BI688" s="1">
        <v>167</v>
      </c>
      <c r="BJ688" s="1">
        <v>175</v>
      </c>
      <c r="BK688" s="1" t="s">
        <v>82</v>
      </c>
      <c r="BL688" s="1" t="s">
        <v>13158</v>
      </c>
      <c r="BM688" s="1" t="str">
        <f>HYPERLINK("http://dx.doi.org/10.11646/phytotaxa.559.2.5","http://dx.doi.org/10.11646/phytotaxa.559.2.5")</f>
        <v>http://dx.doi.org/10.11646/phytotaxa.559.2.5</v>
      </c>
      <c r="BN688" s="1" t="s">
        <v>82</v>
      </c>
      <c r="BO688" s="1" t="s">
        <v>82</v>
      </c>
      <c r="BP688" s="1">
        <v>9</v>
      </c>
      <c r="BQ688" s="1" t="s">
        <v>378</v>
      </c>
      <c r="BR688" s="1" t="s">
        <v>104</v>
      </c>
      <c r="BS688" s="1" t="s">
        <v>378</v>
      </c>
      <c r="BT688" s="1" t="s">
        <v>13159</v>
      </c>
      <c r="BU688" s="1" t="s">
        <v>82</v>
      </c>
      <c r="BV688" s="1" t="s">
        <v>82</v>
      </c>
      <c r="BW688" s="1" t="s">
        <v>82</v>
      </c>
      <c r="BX688" s="1" t="s">
        <v>82</v>
      </c>
      <c r="BY688" s="1" t="s">
        <v>108</v>
      </c>
      <c r="BZ688" s="1" t="s">
        <v>13160</v>
      </c>
      <c r="CA688" s="1" t="str">
        <f>HYPERLINK("https%3A%2F%2Fwww.webofscience.com%2Fwos%2Fwoscc%2Ffull-record%2FWOS:000848892300002","View Full Record in Web of Science")</f>
        <v>View Full Record in Web of Science</v>
      </c>
    </row>
    <row r="689" s="1" customFormat="1" ht="14.4" spans="1:79">
      <c r="A689">
        <v>688</v>
      </c>
      <c r="B689" s="2" t="s">
        <v>79</v>
      </c>
      <c r="C689" s="1" t="s">
        <v>80</v>
      </c>
      <c r="D689" s="1" t="s">
        <v>13161</v>
      </c>
      <c r="E689" s="1" t="s">
        <v>82</v>
      </c>
      <c r="F689" s="1" t="s">
        <v>82</v>
      </c>
      <c r="G689" s="1" t="s">
        <v>82</v>
      </c>
      <c r="H689" s="1" t="s">
        <v>13162</v>
      </c>
      <c r="I689" s="1" t="s">
        <v>82</v>
      </c>
      <c r="J689" s="1" t="s">
        <v>82</v>
      </c>
      <c r="K689" s="1" t="s">
        <v>13163</v>
      </c>
      <c r="L689" s="1" t="s">
        <v>12841</v>
      </c>
      <c r="M689" s="1">
        <v>1.05</v>
      </c>
      <c r="O689" s="1" t="s">
        <v>82</v>
      </c>
      <c r="P689" s="1" t="s">
        <v>82</v>
      </c>
      <c r="Q689" s="1" t="s">
        <v>87</v>
      </c>
      <c r="R689" s="1" t="s">
        <v>115</v>
      </c>
      <c r="S689" s="1" t="s">
        <v>82</v>
      </c>
      <c r="T689" s="1" t="s">
        <v>82</v>
      </c>
      <c r="U689" s="1" t="s">
        <v>82</v>
      </c>
      <c r="V689" s="1" t="s">
        <v>82</v>
      </c>
      <c r="W689" s="1" t="s">
        <v>82</v>
      </c>
      <c r="X689" s="1" t="s">
        <v>13164</v>
      </c>
      <c r="Y689" s="1" t="s">
        <v>13165</v>
      </c>
      <c r="Z689" s="1" t="s">
        <v>13166</v>
      </c>
      <c r="AA689" s="1">
        <v>1</v>
      </c>
      <c r="AB689" s="1" t="s">
        <v>13167</v>
      </c>
      <c r="AC689" s="1" t="s">
        <v>13168</v>
      </c>
      <c r="AD689" s="1" t="s">
        <v>93</v>
      </c>
      <c r="AE689" s="1" t="s">
        <v>13169</v>
      </c>
      <c r="AF689" s="1" t="s">
        <v>13170</v>
      </c>
      <c r="AG689" s="1" t="s">
        <v>13171</v>
      </c>
      <c r="AH689" s="1" t="s">
        <v>13172</v>
      </c>
      <c r="AI689" s="1" t="s">
        <v>13173</v>
      </c>
      <c r="AJ689" s="1" t="s">
        <v>13174</v>
      </c>
      <c r="AK689" s="1" t="s">
        <v>13175</v>
      </c>
      <c r="AL689" s="1" t="s">
        <v>13176</v>
      </c>
      <c r="AM689" s="1" t="s">
        <v>82</v>
      </c>
      <c r="AN689" s="1">
        <v>41</v>
      </c>
      <c r="AO689" s="1">
        <v>0</v>
      </c>
      <c r="AP689" s="1">
        <v>0</v>
      </c>
      <c r="AQ689" s="1">
        <v>3</v>
      </c>
      <c r="AR689" s="1">
        <v>3</v>
      </c>
      <c r="AS689" s="1" t="s">
        <v>12853</v>
      </c>
      <c r="AT689" s="1" t="s">
        <v>12854</v>
      </c>
      <c r="AU689" s="1" t="s">
        <v>12855</v>
      </c>
      <c r="AV689" s="1" t="s">
        <v>12856</v>
      </c>
      <c r="AW689" s="1" t="s">
        <v>12857</v>
      </c>
      <c r="AX689" s="1" t="s">
        <v>82</v>
      </c>
      <c r="AY689" s="1" t="s">
        <v>12841</v>
      </c>
      <c r="AZ689" s="1" t="s">
        <v>12858</v>
      </c>
      <c r="BA689" s="1" t="s">
        <v>5674</v>
      </c>
      <c r="BB689" s="1">
        <v>2022</v>
      </c>
      <c r="BC689" s="1">
        <v>554</v>
      </c>
      <c r="BD689" s="1">
        <v>2</v>
      </c>
      <c r="BE689" s="1" t="s">
        <v>82</v>
      </c>
      <c r="BF689" s="1" t="s">
        <v>82</v>
      </c>
      <c r="BG689" s="1" t="s">
        <v>82</v>
      </c>
      <c r="BH689" s="1" t="s">
        <v>82</v>
      </c>
      <c r="BI689" s="1">
        <v>122</v>
      </c>
      <c r="BJ689" s="1">
        <v>134</v>
      </c>
      <c r="BK689" s="1" t="s">
        <v>82</v>
      </c>
      <c r="BL689" s="1" t="s">
        <v>13177</v>
      </c>
      <c r="BM689" s="1" t="str">
        <f>HYPERLINK("http://dx.doi.org/10.11646/phytotaxa.554.2.2","http://dx.doi.org/10.11646/phytotaxa.554.2.2")</f>
        <v>http://dx.doi.org/10.11646/phytotaxa.554.2.2</v>
      </c>
      <c r="BN689" s="1" t="s">
        <v>82</v>
      </c>
      <c r="BO689" s="1" t="s">
        <v>82</v>
      </c>
      <c r="BP689" s="1">
        <v>13</v>
      </c>
      <c r="BQ689" s="1" t="s">
        <v>378</v>
      </c>
      <c r="BR689" s="1" t="s">
        <v>104</v>
      </c>
      <c r="BS689" s="1" t="s">
        <v>378</v>
      </c>
      <c r="BT689" s="1" t="s">
        <v>13178</v>
      </c>
      <c r="BU689" s="1" t="s">
        <v>82</v>
      </c>
      <c r="BV689" s="1" t="s">
        <v>82</v>
      </c>
      <c r="BW689" s="1" t="s">
        <v>82</v>
      </c>
      <c r="BX689" s="1" t="s">
        <v>82</v>
      </c>
      <c r="BY689" s="1" t="s">
        <v>108</v>
      </c>
      <c r="BZ689" s="1" t="s">
        <v>13179</v>
      </c>
      <c r="CA689" s="1" t="str">
        <f>HYPERLINK("https%3A%2F%2Fwww.webofscience.com%2Fwos%2Fwoscc%2Ffull-record%2FWOS:000834023800002","View Full Record in Web of Science")</f>
        <v>View Full Record in Web of Science</v>
      </c>
    </row>
    <row r="690" s="1" customFormat="1" ht="14.4" spans="1:79">
      <c r="A690">
        <v>689</v>
      </c>
      <c r="B690" s="2" t="s">
        <v>79</v>
      </c>
      <c r="C690" s="1" t="s">
        <v>80</v>
      </c>
      <c r="D690" s="1" t="s">
        <v>13180</v>
      </c>
      <c r="E690" s="1" t="s">
        <v>82</v>
      </c>
      <c r="F690" s="1" t="s">
        <v>82</v>
      </c>
      <c r="G690" s="1" t="s">
        <v>82</v>
      </c>
      <c r="H690" s="1" t="s">
        <v>13181</v>
      </c>
      <c r="I690" s="1" t="s">
        <v>82</v>
      </c>
      <c r="J690" s="1" t="s">
        <v>82</v>
      </c>
      <c r="K690" s="1" t="s">
        <v>13182</v>
      </c>
      <c r="L690" s="1" t="s">
        <v>12841</v>
      </c>
      <c r="M690" s="1">
        <v>1.05</v>
      </c>
      <c r="O690" s="1" t="s">
        <v>82</v>
      </c>
      <c r="P690" s="1" t="s">
        <v>82</v>
      </c>
      <c r="Q690" s="1" t="s">
        <v>87</v>
      </c>
      <c r="R690" s="1" t="s">
        <v>115</v>
      </c>
      <c r="S690" s="1" t="s">
        <v>82</v>
      </c>
      <c r="T690" s="1" t="s">
        <v>82</v>
      </c>
      <c r="U690" s="1" t="s">
        <v>82</v>
      </c>
      <c r="V690" s="1" t="s">
        <v>82</v>
      </c>
      <c r="W690" s="1" t="s">
        <v>82</v>
      </c>
      <c r="X690" s="1" t="s">
        <v>13183</v>
      </c>
      <c r="Y690" s="1" t="s">
        <v>13184</v>
      </c>
      <c r="Z690" s="1" t="s">
        <v>13185</v>
      </c>
      <c r="AB690" s="1" t="s">
        <v>13186</v>
      </c>
      <c r="AC690" s="1" t="s">
        <v>13187</v>
      </c>
      <c r="AD690" s="1" t="s">
        <v>120</v>
      </c>
      <c r="AE690" s="1" t="s">
        <v>13188</v>
      </c>
      <c r="AF690" s="1" t="s">
        <v>13189</v>
      </c>
      <c r="AG690" s="1" t="s">
        <v>13190</v>
      </c>
      <c r="AH690" s="1" t="s">
        <v>13191</v>
      </c>
      <c r="AI690" s="1" t="s">
        <v>13192</v>
      </c>
      <c r="AJ690" s="1" t="s">
        <v>13193</v>
      </c>
      <c r="AK690" s="1" t="s">
        <v>13194</v>
      </c>
      <c r="AL690" s="1" t="s">
        <v>13195</v>
      </c>
      <c r="AM690" s="1" t="s">
        <v>82</v>
      </c>
      <c r="AN690" s="1">
        <v>35</v>
      </c>
      <c r="AO690" s="1">
        <v>0</v>
      </c>
      <c r="AP690" s="1">
        <v>0</v>
      </c>
      <c r="AQ690" s="1">
        <v>1</v>
      </c>
      <c r="AR690" s="1">
        <v>1</v>
      </c>
      <c r="AS690" s="1" t="s">
        <v>12853</v>
      </c>
      <c r="AT690" s="1" t="s">
        <v>12854</v>
      </c>
      <c r="AU690" s="1" t="s">
        <v>12855</v>
      </c>
      <c r="AV690" s="1" t="s">
        <v>12856</v>
      </c>
      <c r="AW690" s="1" t="s">
        <v>12857</v>
      </c>
      <c r="AX690" s="1" t="s">
        <v>82</v>
      </c>
      <c r="AY690" s="1" t="s">
        <v>12841</v>
      </c>
      <c r="AZ690" s="1" t="s">
        <v>12858</v>
      </c>
      <c r="BA690" s="1" t="s">
        <v>5674</v>
      </c>
      <c r="BB690" s="1">
        <v>2022</v>
      </c>
      <c r="BC690" s="1">
        <v>554</v>
      </c>
      <c r="BD690" s="1">
        <v>2</v>
      </c>
      <c r="BE690" s="1" t="s">
        <v>82</v>
      </c>
      <c r="BF690" s="1" t="s">
        <v>82</v>
      </c>
      <c r="BG690" s="1" t="s">
        <v>82</v>
      </c>
      <c r="BH690" s="1" t="s">
        <v>82</v>
      </c>
      <c r="BI690" s="1">
        <v>189</v>
      </c>
      <c r="BJ690" s="1">
        <v>200</v>
      </c>
      <c r="BK690" s="1" t="s">
        <v>82</v>
      </c>
      <c r="BL690" s="1" t="s">
        <v>13196</v>
      </c>
      <c r="BM690" s="1" t="str">
        <f>HYPERLINK("http://dx.doi.org/10.11646/phytotaxa.554.2.7","http://dx.doi.org/10.11646/phytotaxa.554.2.7")</f>
        <v>http://dx.doi.org/10.11646/phytotaxa.554.2.7</v>
      </c>
      <c r="BN690" s="1" t="s">
        <v>82</v>
      </c>
      <c r="BO690" s="1" t="s">
        <v>82</v>
      </c>
      <c r="BP690" s="1">
        <v>12</v>
      </c>
      <c r="BQ690" s="1" t="s">
        <v>378</v>
      </c>
      <c r="BR690" s="1" t="s">
        <v>104</v>
      </c>
      <c r="BS690" s="1" t="s">
        <v>378</v>
      </c>
      <c r="BT690" s="1" t="s">
        <v>13197</v>
      </c>
      <c r="BU690" s="1" t="s">
        <v>82</v>
      </c>
      <c r="BV690" s="1" t="s">
        <v>82</v>
      </c>
      <c r="BW690" s="1" t="s">
        <v>82</v>
      </c>
      <c r="BX690" s="1" t="s">
        <v>82</v>
      </c>
      <c r="BY690" s="1" t="s">
        <v>108</v>
      </c>
      <c r="BZ690" s="1" t="s">
        <v>13198</v>
      </c>
      <c r="CA690" s="1" t="str">
        <f>HYPERLINK("https%3A%2F%2Fwww.webofscience.com%2Fwos%2Fwoscc%2Ffull-record%2FWOS:000830903200003","View Full Record in Web of Science")</f>
        <v>View Full Record in Web of Science</v>
      </c>
    </row>
    <row r="691" s="1" customFormat="1" ht="14.4" spans="1:79">
      <c r="A691">
        <v>690</v>
      </c>
      <c r="B691" s="2" t="s">
        <v>79</v>
      </c>
      <c r="C691" s="1" t="s">
        <v>80</v>
      </c>
      <c r="D691" s="1" t="s">
        <v>13199</v>
      </c>
      <c r="E691" s="1" t="s">
        <v>82</v>
      </c>
      <c r="F691" s="1" t="s">
        <v>82</v>
      </c>
      <c r="G691" s="1" t="s">
        <v>82</v>
      </c>
      <c r="H691" s="1" t="s">
        <v>13200</v>
      </c>
      <c r="I691" s="1" t="s">
        <v>82</v>
      </c>
      <c r="J691" s="1" t="s">
        <v>82</v>
      </c>
      <c r="K691" s="1" t="s">
        <v>13201</v>
      </c>
      <c r="L691" s="1" t="s">
        <v>12841</v>
      </c>
      <c r="M691" s="1">
        <v>1.05</v>
      </c>
      <c r="O691" s="1" t="s">
        <v>82</v>
      </c>
      <c r="P691" s="1" t="s">
        <v>82</v>
      </c>
      <c r="Q691" s="1" t="s">
        <v>87</v>
      </c>
      <c r="R691" s="1" t="s">
        <v>115</v>
      </c>
      <c r="S691" s="1" t="s">
        <v>82</v>
      </c>
      <c r="T691" s="1" t="s">
        <v>82</v>
      </c>
      <c r="U691" s="1" t="s">
        <v>82</v>
      </c>
      <c r="V691" s="1" t="s">
        <v>82</v>
      </c>
      <c r="W691" s="1" t="s">
        <v>82</v>
      </c>
      <c r="X691" s="1" t="s">
        <v>13202</v>
      </c>
      <c r="Y691" s="1" t="s">
        <v>13203</v>
      </c>
      <c r="Z691" s="1" t="s">
        <v>13204</v>
      </c>
      <c r="AB691" s="1" t="s">
        <v>13205</v>
      </c>
      <c r="AC691" s="1" t="s">
        <v>13206</v>
      </c>
      <c r="AD691" s="1" t="s">
        <v>120</v>
      </c>
      <c r="AE691" s="1" t="s">
        <v>13207</v>
      </c>
      <c r="AF691" s="1" t="s">
        <v>13208</v>
      </c>
      <c r="AG691" s="1" t="s">
        <v>13209</v>
      </c>
      <c r="AH691" s="1" t="s">
        <v>82</v>
      </c>
      <c r="AI691" s="1" t="s">
        <v>13210</v>
      </c>
      <c r="AJ691" s="1" t="s">
        <v>13211</v>
      </c>
      <c r="AK691" s="1" t="s">
        <v>13212</v>
      </c>
      <c r="AL691" s="1" t="s">
        <v>13213</v>
      </c>
      <c r="AM691" s="1" t="s">
        <v>82</v>
      </c>
      <c r="AN691" s="1">
        <v>29</v>
      </c>
      <c r="AO691" s="1">
        <v>0</v>
      </c>
      <c r="AP691" s="1">
        <v>0</v>
      </c>
      <c r="AQ691" s="1">
        <v>3</v>
      </c>
      <c r="AR691" s="1">
        <v>3</v>
      </c>
      <c r="AS691" s="1" t="s">
        <v>12853</v>
      </c>
      <c r="AT691" s="1" t="s">
        <v>12854</v>
      </c>
      <c r="AU691" s="1" t="s">
        <v>12855</v>
      </c>
      <c r="AV691" s="1" t="s">
        <v>12856</v>
      </c>
      <c r="AW691" s="1" t="s">
        <v>12857</v>
      </c>
      <c r="AX691" s="1" t="s">
        <v>82</v>
      </c>
      <c r="AY691" s="1" t="s">
        <v>12841</v>
      </c>
      <c r="AZ691" s="1" t="s">
        <v>12858</v>
      </c>
      <c r="BA691" s="1" t="s">
        <v>10444</v>
      </c>
      <c r="BB691" s="1">
        <v>2022</v>
      </c>
      <c r="BC691" s="1">
        <v>555</v>
      </c>
      <c r="BD691" s="1">
        <v>1</v>
      </c>
      <c r="BE691" s="1" t="s">
        <v>82</v>
      </c>
      <c r="BF691" s="1" t="s">
        <v>82</v>
      </c>
      <c r="BG691" s="1" t="s">
        <v>82</v>
      </c>
      <c r="BH691" s="1" t="s">
        <v>82</v>
      </c>
      <c r="BI691" s="1">
        <v>95</v>
      </c>
      <c r="BJ691" s="1">
        <v>102</v>
      </c>
      <c r="BK691" s="1" t="s">
        <v>82</v>
      </c>
      <c r="BL691" s="1" t="s">
        <v>13214</v>
      </c>
      <c r="BM691" s="1" t="str">
        <f>HYPERLINK("http://dx.doi.org/10.11646/phytotaxa.555.1.7","http://dx.doi.org/10.11646/phytotaxa.555.1.7")</f>
        <v>http://dx.doi.org/10.11646/phytotaxa.555.1.7</v>
      </c>
      <c r="BN691" s="1" t="s">
        <v>82</v>
      </c>
      <c r="BO691" s="1" t="s">
        <v>82</v>
      </c>
      <c r="BP691" s="1">
        <v>8</v>
      </c>
      <c r="BQ691" s="1" t="s">
        <v>378</v>
      </c>
      <c r="BR691" s="1" t="s">
        <v>104</v>
      </c>
      <c r="BS691" s="1" t="s">
        <v>378</v>
      </c>
      <c r="BT691" s="1" t="s">
        <v>13215</v>
      </c>
      <c r="BU691" s="1" t="s">
        <v>82</v>
      </c>
      <c r="BV691" s="1" t="s">
        <v>82</v>
      </c>
      <c r="BW691" s="1" t="s">
        <v>82</v>
      </c>
      <c r="BX691" s="1" t="s">
        <v>82</v>
      </c>
      <c r="BY691" s="1" t="s">
        <v>108</v>
      </c>
      <c r="BZ691" s="1" t="s">
        <v>13216</v>
      </c>
      <c r="CA691" s="1" t="str">
        <f>HYPERLINK("https%3A%2F%2Fwww.webofscience.com%2Fwos%2Fwoscc%2Ffull-record%2FWOS:000830777900004","View Full Record in Web of Science")</f>
        <v>View Full Record in Web of Science</v>
      </c>
    </row>
    <row r="692" s="1" customFormat="1" ht="14.4" spans="1:79">
      <c r="A692">
        <v>691</v>
      </c>
      <c r="B692" s="2" t="s">
        <v>79</v>
      </c>
      <c r="C692" s="1" t="s">
        <v>80</v>
      </c>
      <c r="D692" s="1" t="s">
        <v>13217</v>
      </c>
      <c r="E692" s="1" t="s">
        <v>82</v>
      </c>
      <c r="F692" s="1" t="s">
        <v>82</v>
      </c>
      <c r="G692" s="1" t="s">
        <v>82</v>
      </c>
      <c r="H692" s="1" t="s">
        <v>13218</v>
      </c>
      <c r="I692" s="1" t="s">
        <v>82</v>
      </c>
      <c r="J692" s="1" t="s">
        <v>82</v>
      </c>
      <c r="K692" s="1" t="s">
        <v>13219</v>
      </c>
      <c r="L692" s="1" t="s">
        <v>12841</v>
      </c>
      <c r="M692" s="1">
        <v>1.05</v>
      </c>
      <c r="O692" s="1" t="s">
        <v>82</v>
      </c>
      <c r="P692" s="1" t="s">
        <v>82</v>
      </c>
      <c r="Q692" s="1" t="s">
        <v>87</v>
      </c>
      <c r="R692" s="1" t="s">
        <v>115</v>
      </c>
      <c r="S692" s="1" t="s">
        <v>82</v>
      </c>
      <c r="T692" s="1" t="s">
        <v>82</v>
      </c>
      <c r="U692" s="1" t="s">
        <v>82</v>
      </c>
      <c r="V692" s="1" t="s">
        <v>82</v>
      </c>
      <c r="W692" s="1" t="s">
        <v>82</v>
      </c>
      <c r="X692" s="1" t="s">
        <v>13220</v>
      </c>
      <c r="Y692" s="1" t="s">
        <v>13221</v>
      </c>
      <c r="Z692" s="1" t="s">
        <v>13222</v>
      </c>
      <c r="AB692" s="1" t="s">
        <v>13223</v>
      </c>
      <c r="AC692" s="1" t="s">
        <v>13224</v>
      </c>
      <c r="AD692" s="1" t="s">
        <v>206</v>
      </c>
      <c r="AE692" s="1" t="s">
        <v>94</v>
      </c>
      <c r="AF692" s="1" t="s">
        <v>13225</v>
      </c>
      <c r="AG692" s="1" t="s">
        <v>13226</v>
      </c>
      <c r="AH692" s="1" t="s">
        <v>82</v>
      </c>
      <c r="AI692" s="1" t="s">
        <v>13227</v>
      </c>
      <c r="AJ692" s="1" t="s">
        <v>13228</v>
      </c>
      <c r="AK692" s="1" t="s">
        <v>13229</v>
      </c>
      <c r="AL692" s="1" t="s">
        <v>13230</v>
      </c>
      <c r="AM692" s="1" t="s">
        <v>82</v>
      </c>
      <c r="AN692" s="1">
        <v>28</v>
      </c>
      <c r="AO692" s="1">
        <v>0</v>
      </c>
      <c r="AP692" s="1">
        <v>0</v>
      </c>
      <c r="AQ692" s="1">
        <v>5</v>
      </c>
      <c r="AR692" s="1">
        <v>5</v>
      </c>
      <c r="AS692" s="1" t="s">
        <v>12853</v>
      </c>
      <c r="AT692" s="1" t="s">
        <v>12854</v>
      </c>
      <c r="AU692" s="1" t="s">
        <v>12855</v>
      </c>
      <c r="AV692" s="1" t="s">
        <v>12856</v>
      </c>
      <c r="AW692" s="1" t="s">
        <v>12857</v>
      </c>
      <c r="AX692" s="1" t="s">
        <v>82</v>
      </c>
      <c r="AY692" s="1" t="s">
        <v>12841</v>
      </c>
      <c r="AZ692" s="1" t="s">
        <v>12858</v>
      </c>
      <c r="BA692" s="1" t="s">
        <v>13231</v>
      </c>
      <c r="BB692" s="1">
        <v>2022</v>
      </c>
      <c r="BC692" s="1">
        <v>547</v>
      </c>
      <c r="BD692" s="1">
        <v>2</v>
      </c>
      <c r="BE692" s="1" t="s">
        <v>82</v>
      </c>
      <c r="BF692" s="1" t="s">
        <v>82</v>
      </c>
      <c r="BG692" s="1" t="s">
        <v>82</v>
      </c>
      <c r="BH692" s="1" t="s">
        <v>82</v>
      </c>
      <c r="BI692" s="1">
        <v>177</v>
      </c>
      <c r="BJ692" s="1">
        <v>185</v>
      </c>
      <c r="BK692" s="1" t="s">
        <v>82</v>
      </c>
      <c r="BL692" s="1" t="s">
        <v>13232</v>
      </c>
      <c r="BM692" s="1" t="str">
        <f>HYPERLINK("http://dx.doi.org/10.11646/phytotaxa.547.2.5","http://dx.doi.org/10.11646/phytotaxa.547.2.5")</f>
        <v>http://dx.doi.org/10.11646/phytotaxa.547.2.5</v>
      </c>
      <c r="BN692" s="1" t="s">
        <v>82</v>
      </c>
      <c r="BO692" s="1" t="s">
        <v>82</v>
      </c>
      <c r="BP692" s="1">
        <v>9</v>
      </c>
      <c r="BQ692" s="1" t="s">
        <v>378</v>
      </c>
      <c r="BR692" s="1" t="s">
        <v>104</v>
      </c>
      <c r="BS692" s="1" t="s">
        <v>378</v>
      </c>
      <c r="BT692" s="1" t="s">
        <v>13233</v>
      </c>
      <c r="BU692" s="1" t="s">
        <v>82</v>
      </c>
      <c r="BV692" s="1" t="s">
        <v>82</v>
      </c>
      <c r="BW692" s="1" t="s">
        <v>82</v>
      </c>
      <c r="BX692" s="1" t="s">
        <v>82</v>
      </c>
      <c r="BY692" s="1" t="s">
        <v>108</v>
      </c>
      <c r="BZ692" s="1" t="s">
        <v>13234</v>
      </c>
      <c r="CA692" s="1" t="str">
        <f>HYPERLINK("https%3A%2F%2Fwww.webofscience.com%2Fwos%2Fwoscc%2Ffull-record%2FWOS:000800724300001","View Full Record in Web of Science")</f>
        <v>View Full Record in Web of Science</v>
      </c>
    </row>
    <row r="693" s="1" customFormat="1" ht="14.4" spans="1:79">
      <c r="A693">
        <v>692</v>
      </c>
      <c r="B693" s="2" t="s">
        <v>79</v>
      </c>
      <c r="C693" s="1" t="s">
        <v>80</v>
      </c>
      <c r="D693" s="1" t="s">
        <v>13235</v>
      </c>
      <c r="E693" s="1" t="s">
        <v>82</v>
      </c>
      <c r="F693" s="1" t="s">
        <v>82</v>
      </c>
      <c r="G693" s="1" t="s">
        <v>82</v>
      </c>
      <c r="H693" s="1" t="s">
        <v>13236</v>
      </c>
      <c r="I693" s="1" t="s">
        <v>82</v>
      </c>
      <c r="J693" s="1" t="s">
        <v>82</v>
      </c>
      <c r="K693" s="1" t="s">
        <v>13237</v>
      </c>
      <c r="L693" s="1" t="s">
        <v>12841</v>
      </c>
      <c r="M693" s="1">
        <v>1.05</v>
      </c>
      <c r="O693" s="1" t="s">
        <v>82</v>
      </c>
      <c r="P693" s="1" t="s">
        <v>82</v>
      </c>
      <c r="Q693" s="1" t="s">
        <v>87</v>
      </c>
      <c r="R693" s="1" t="s">
        <v>115</v>
      </c>
      <c r="S693" s="1" t="s">
        <v>82</v>
      </c>
      <c r="T693" s="1" t="s">
        <v>82</v>
      </c>
      <c r="U693" s="1" t="s">
        <v>82</v>
      </c>
      <c r="V693" s="1" t="s">
        <v>82</v>
      </c>
      <c r="W693" s="1" t="s">
        <v>82</v>
      </c>
      <c r="X693" s="1" t="s">
        <v>13238</v>
      </c>
      <c r="Y693" s="1" t="s">
        <v>13239</v>
      </c>
      <c r="Z693" s="1" t="s">
        <v>13240</v>
      </c>
      <c r="AB693" s="1" t="s">
        <v>13241</v>
      </c>
      <c r="AC693" s="1" t="s">
        <v>13242</v>
      </c>
      <c r="AD693" s="1" t="s">
        <v>120</v>
      </c>
      <c r="AE693" s="1" t="s">
        <v>13243</v>
      </c>
      <c r="AF693" s="1" t="s">
        <v>13244</v>
      </c>
      <c r="AG693" s="1" t="s">
        <v>13245</v>
      </c>
      <c r="AH693" s="1" t="s">
        <v>82</v>
      </c>
      <c r="AI693" s="1" t="s">
        <v>82</v>
      </c>
      <c r="AJ693" s="1" t="s">
        <v>13246</v>
      </c>
      <c r="AK693" s="1" t="s">
        <v>13247</v>
      </c>
      <c r="AL693" s="1" t="s">
        <v>13248</v>
      </c>
      <c r="AM693" s="1" t="s">
        <v>82</v>
      </c>
      <c r="AN693" s="1">
        <v>30</v>
      </c>
      <c r="AO693" s="1">
        <v>1</v>
      </c>
      <c r="AP693" s="1">
        <v>1</v>
      </c>
      <c r="AQ693" s="1">
        <v>3</v>
      </c>
      <c r="AR693" s="1">
        <v>3</v>
      </c>
      <c r="AS693" s="1" t="s">
        <v>12853</v>
      </c>
      <c r="AT693" s="1" t="s">
        <v>12854</v>
      </c>
      <c r="AU693" s="1" t="s">
        <v>13249</v>
      </c>
      <c r="AV693" s="1" t="s">
        <v>12856</v>
      </c>
      <c r="AW693" s="1" t="s">
        <v>12857</v>
      </c>
      <c r="AX693" s="1" t="s">
        <v>82</v>
      </c>
      <c r="AY693" s="1" t="s">
        <v>12841</v>
      </c>
      <c r="AZ693" s="1" t="s">
        <v>12858</v>
      </c>
      <c r="BA693" s="1" t="s">
        <v>2639</v>
      </c>
      <c r="BB693" s="1">
        <v>2022</v>
      </c>
      <c r="BC693" s="1">
        <v>545</v>
      </c>
      <c r="BD693" s="1">
        <v>1</v>
      </c>
      <c r="BE693" s="1" t="s">
        <v>82</v>
      </c>
      <c r="BF693" s="1" t="s">
        <v>82</v>
      </c>
      <c r="BG693" s="1" t="s">
        <v>82</v>
      </c>
      <c r="BH693" s="1" t="s">
        <v>82</v>
      </c>
      <c r="BI693" s="1">
        <v>110</v>
      </c>
      <c r="BJ693" s="1">
        <v>114</v>
      </c>
      <c r="BK693" s="1" t="s">
        <v>82</v>
      </c>
      <c r="BL693" s="1" t="s">
        <v>13250</v>
      </c>
      <c r="BM693" s="1" t="str">
        <f>HYPERLINK("http://dx.doi.org/10.11646/phytotaxa.545.1.10","http://dx.doi.org/10.11646/phytotaxa.545.1.10")</f>
        <v>http://dx.doi.org/10.11646/phytotaxa.545.1.10</v>
      </c>
      <c r="BN693" s="1" t="s">
        <v>82</v>
      </c>
      <c r="BO693" s="1" t="s">
        <v>82</v>
      </c>
      <c r="BP693" s="1">
        <v>5</v>
      </c>
      <c r="BQ693" s="1" t="s">
        <v>378</v>
      </c>
      <c r="BR693" s="1" t="s">
        <v>104</v>
      </c>
      <c r="BS693" s="1" t="s">
        <v>378</v>
      </c>
      <c r="BT693" s="1" t="s">
        <v>13251</v>
      </c>
      <c r="BU693" s="1" t="s">
        <v>82</v>
      </c>
      <c r="BV693" s="1" t="s">
        <v>82</v>
      </c>
      <c r="BW693" s="1" t="s">
        <v>82</v>
      </c>
      <c r="BX693" s="1" t="s">
        <v>82</v>
      </c>
      <c r="BY693" s="1" t="s">
        <v>108</v>
      </c>
      <c r="BZ693" s="1" t="s">
        <v>13252</v>
      </c>
      <c r="CA693" s="1" t="str">
        <f>HYPERLINK("https%3A%2F%2Fwww.webofscience.com%2Fwos%2Fwoscc%2Ffull-record%2FWOS:000796955000002","View Full Record in Web of Science")</f>
        <v>View Full Record in Web of Science</v>
      </c>
    </row>
    <row r="694" s="1" customFormat="1" ht="14.4" spans="1:79">
      <c r="A694">
        <v>693</v>
      </c>
      <c r="B694" s="2" t="s">
        <v>79</v>
      </c>
      <c r="C694" s="1" t="s">
        <v>80</v>
      </c>
      <c r="D694" s="1" t="s">
        <v>13253</v>
      </c>
      <c r="E694" s="1" t="s">
        <v>82</v>
      </c>
      <c r="F694" s="1" t="s">
        <v>82</v>
      </c>
      <c r="G694" s="1" t="s">
        <v>82</v>
      </c>
      <c r="H694" s="1" t="s">
        <v>13254</v>
      </c>
      <c r="I694" s="1" t="s">
        <v>82</v>
      </c>
      <c r="J694" s="1" t="s">
        <v>82</v>
      </c>
      <c r="K694" s="1" t="s">
        <v>13255</v>
      </c>
      <c r="L694" s="1" t="s">
        <v>12841</v>
      </c>
      <c r="M694" s="1">
        <v>1.05</v>
      </c>
      <c r="O694" s="1" t="s">
        <v>82</v>
      </c>
      <c r="P694" s="1" t="s">
        <v>82</v>
      </c>
      <c r="Q694" s="1" t="s">
        <v>87</v>
      </c>
      <c r="R694" s="1" t="s">
        <v>115</v>
      </c>
      <c r="S694" s="1" t="s">
        <v>82</v>
      </c>
      <c r="T694" s="1" t="s">
        <v>82</v>
      </c>
      <c r="U694" s="1" t="s">
        <v>82</v>
      </c>
      <c r="V694" s="1" t="s">
        <v>82</v>
      </c>
      <c r="W694" s="1" t="s">
        <v>82</v>
      </c>
      <c r="X694" s="1" t="s">
        <v>13256</v>
      </c>
      <c r="Y694" s="1" t="s">
        <v>13257</v>
      </c>
      <c r="Z694" s="1" t="s">
        <v>13258</v>
      </c>
      <c r="AB694" s="1" t="s">
        <v>13259</v>
      </c>
      <c r="AC694" s="1" t="s">
        <v>13260</v>
      </c>
      <c r="AD694" s="1" t="s">
        <v>206</v>
      </c>
      <c r="AE694" s="1" t="s">
        <v>13261</v>
      </c>
      <c r="AF694" s="1" t="s">
        <v>13262</v>
      </c>
      <c r="AG694" s="1" t="s">
        <v>13263</v>
      </c>
      <c r="AH694" s="1" t="s">
        <v>13264</v>
      </c>
      <c r="AI694" s="1" t="s">
        <v>13265</v>
      </c>
      <c r="AJ694" s="1" t="s">
        <v>13266</v>
      </c>
      <c r="AK694" s="1" t="s">
        <v>13267</v>
      </c>
      <c r="AL694" s="1" t="s">
        <v>13268</v>
      </c>
      <c r="AM694" s="1" t="s">
        <v>82</v>
      </c>
      <c r="AN694" s="1">
        <v>118</v>
      </c>
      <c r="AO694" s="1">
        <v>0</v>
      </c>
      <c r="AP694" s="1">
        <v>0</v>
      </c>
      <c r="AQ694" s="1">
        <v>4</v>
      </c>
      <c r="AR694" s="1">
        <v>5</v>
      </c>
      <c r="AS694" s="1" t="s">
        <v>12853</v>
      </c>
      <c r="AT694" s="1" t="s">
        <v>12854</v>
      </c>
      <c r="AU694" s="1" t="s">
        <v>12855</v>
      </c>
      <c r="AV694" s="1" t="s">
        <v>12856</v>
      </c>
      <c r="AW694" s="1" t="s">
        <v>12857</v>
      </c>
      <c r="AX694" s="1" t="s">
        <v>82</v>
      </c>
      <c r="AY694" s="1" t="s">
        <v>12841</v>
      </c>
      <c r="AZ694" s="1" t="s">
        <v>12858</v>
      </c>
      <c r="BA694" s="1" t="s">
        <v>2639</v>
      </c>
      <c r="BB694" s="1">
        <v>2022</v>
      </c>
      <c r="BC694" s="1">
        <v>545</v>
      </c>
      <c r="BD694" s="1">
        <v>1</v>
      </c>
      <c r="BE694" s="1" t="s">
        <v>82</v>
      </c>
      <c r="BF694" s="1" t="s">
        <v>82</v>
      </c>
      <c r="BG694" s="1" t="s">
        <v>82</v>
      </c>
      <c r="BH694" s="1" t="s">
        <v>82</v>
      </c>
      <c r="BI694" s="1">
        <v>37</v>
      </c>
      <c r="BJ694" s="1">
        <v>56</v>
      </c>
      <c r="BK694" s="1" t="s">
        <v>82</v>
      </c>
      <c r="BL694" s="1" t="s">
        <v>13269</v>
      </c>
      <c r="BM694" s="1" t="str">
        <f>HYPERLINK("http://dx.doi.org/10.11646/phytotaxa.545.1.3","http://dx.doi.org/10.11646/phytotaxa.545.1.3")</f>
        <v>http://dx.doi.org/10.11646/phytotaxa.545.1.3</v>
      </c>
      <c r="BN694" s="1" t="s">
        <v>82</v>
      </c>
      <c r="BO694" s="1" t="s">
        <v>82</v>
      </c>
      <c r="BP694" s="1">
        <v>20</v>
      </c>
      <c r="BQ694" s="1" t="s">
        <v>378</v>
      </c>
      <c r="BR694" s="1" t="s">
        <v>104</v>
      </c>
      <c r="BS694" s="1" t="s">
        <v>378</v>
      </c>
      <c r="BT694" s="1" t="s">
        <v>13270</v>
      </c>
      <c r="BU694" s="1" t="s">
        <v>82</v>
      </c>
      <c r="BV694" s="1" t="s">
        <v>82</v>
      </c>
      <c r="BW694" s="1" t="s">
        <v>82</v>
      </c>
      <c r="BX694" s="1" t="s">
        <v>82</v>
      </c>
      <c r="BY694" s="1" t="s">
        <v>108</v>
      </c>
      <c r="BZ694" s="1" t="s">
        <v>13271</v>
      </c>
      <c r="CA694" s="1" t="str">
        <f>HYPERLINK("https%3A%2F%2Fwww.webofscience.com%2Fwos%2Fwoscc%2Ffull-record%2FWOS:000796950500001","View Full Record in Web of Science")</f>
        <v>View Full Record in Web of Science</v>
      </c>
    </row>
    <row r="695" s="1" customFormat="1" ht="14.4" spans="1:79">
      <c r="A695">
        <v>694</v>
      </c>
      <c r="B695" s="2" t="s">
        <v>79</v>
      </c>
      <c r="C695" s="1" t="s">
        <v>80</v>
      </c>
      <c r="D695" s="1" t="s">
        <v>13272</v>
      </c>
      <c r="E695" s="1" t="s">
        <v>82</v>
      </c>
      <c r="F695" s="1" t="s">
        <v>82</v>
      </c>
      <c r="G695" s="1" t="s">
        <v>82</v>
      </c>
      <c r="H695" s="1" t="s">
        <v>13273</v>
      </c>
      <c r="I695" s="1" t="s">
        <v>82</v>
      </c>
      <c r="J695" s="1" t="s">
        <v>82</v>
      </c>
      <c r="K695" s="1" t="s">
        <v>13274</v>
      </c>
      <c r="L695" s="1" t="s">
        <v>12841</v>
      </c>
      <c r="M695" s="1">
        <v>1.05</v>
      </c>
      <c r="O695" s="1" t="s">
        <v>82</v>
      </c>
      <c r="P695" s="1" t="s">
        <v>82</v>
      </c>
      <c r="Q695" s="1" t="s">
        <v>87</v>
      </c>
      <c r="R695" s="1" t="s">
        <v>115</v>
      </c>
      <c r="S695" s="1" t="s">
        <v>82</v>
      </c>
      <c r="T695" s="1" t="s">
        <v>82</v>
      </c>
      <c r="U695" s="1" t="s">
        <v>82</v>
      </c>
      <c r="V695" s="1" t="s">
        <v>82</v>
      </c>
      <c r="W695" s="1" t="s">
        <v>82</v>
      </c>
      <c r="X695" s="1" t="s">
        <v>13275</v>
      </c>
      <c r="Y695" s="1" t="s">
        <v>13276</v>
      </c>
      <c r="Z695" s="1" t="s">
        <v>13277</v>
      </c>
      <c r="AB695" s="1" t="s">
        <v>13278</v>
      </c>
      <c r="AC695" s="1" t="s">
        <v>13279</v>
      </c>
      <c r="AD695" s="1" t="s">
        <v>206</v>
      </c>
      <c r="AE695" s="1" t="s">
        <v>13280</v>
      </c>
      <c r="AF695" s="1" t="s">
        <v>13281</v>
      </c>
      <c r="AG695" s="1" t="s">
        <v>13282</v>
      </c>
      <c r="AH695" s="1" t="s">
        <v>5055</v>
      </c>
      <c r="AI695" s="1" t="s">
        <v>13283</v>
      </c>
      <c r="AJ695" s="1" t="s">
        <v>13284</v>
      </c>
      <c r="AK695" s="1" t="s">
        <v>13284</v>
      </c>
      <c r="AL695" s="1" t="s">
        <v>13285</v>
      </c>
      <c r="AM695" s="1" t="s">
        <v>82</v>
      </c>
      <c r="AN695" s="1">
        <v>82</v>
      </c>
      <c r="AO695" s="1">
        <v>0</v>
      </c>
      <c r="AP695" s="1">
        <v>0</v>
      </c>
      <c r="AQ695" s="1">
        <v>1</v>
      </c>
      <c r="AR695" s="1">
        <v>1</v>
      </c>
      <c r="AS695" s="1" t="s">
        <v>12853</v>
      </c>
      <c r="AT695" s="1" t="s">
        <v>12854</v>
      </c>
      <c r="AU695" s="1" t="s">
        <v>12855</v>
      </c>
      <c r="AV695" s="1" t="s">
        <v>12856</v>
      </c>
      <c r="AW695" s="1" t="s">
        <v>12857</v>
      </c>
      <c r="AX695" s="1" t="s">
        <v>82</v>
      </c>
      <c r="AY695" s="1" t="s">
        <v>12841</v>
      </c>
      <c r="AZ695" s="1" t="s">
        <v>12858</v>
      </c>
      <c r="BA695" s="1" t="s">
        <v>3393</v>
      </c>
      <c r="BB695" s="1">
        <v>2022</v>
      </c>
      <c r="BC695" s="1">
        <v>541</v>
      </c>
      <c r="BD695" s="1">
        <v>2</v>
      </c>
      <c r="BE695" s="1" t="s">
        <v>82</v>
      </c>
      <c r="BF695" s="1" t="s">
        <v>82</v>
      </c>
      <c r="BG695" s="1" t="s">
        <v>82</v>
      </c>
      <c r="BH695" s="1" t="s">
        <v>82</v>
      </c>
      <c r="BI695" s="1">
        <v>113</v>
      </c>
      <c r="BJ695" s="1">
        <v>128</v>
      </c>
      <c r="BK695" s="1" t="s">
        <v>82</v>
      </c>
      <c r="BL695" s="1" t="s">
        <v>13286</v>
      </c>
      <c r="BM695" s="1" t="str">
        <f>HYPERLINK("http://dx.doi.org/10.11646/phytotaxa.541.2.2","http://dx.doi.org/10.11646/phytotaxa.541.2.2")</f>
        <v>http://dx.doi.org/10.11646/phytotaxa.541.2.2</v>
      </c>
      <c r="BN695" s="1" t="s">
        <v>82</v>
      </c>
      <c r="BO695" s="1" t="s">
        <v>82</v>
      </c>
      <c r="BP695" s="1">
        <v>16</v>
      </c>
      <c r="BQ695" s="1" t="s">
        <v>378</v>
      </c>
      <c r="BR695" s="1" t="s">
        <v>104</v>
      </c>
      <c r="BS695" s="1" t="s">
        <v>378</v>
      </c>
      <c r="BT695" s="1" t="s">
        <v>13287</v>
      </c>
      <c r="BU695" s="1" t="s">
        <v>82</v>
      </c>
      <c r="BV695" s="1" t="s">
        <v>82</v>
      </c>
      <c r="BW695" s="1" t="s">
        <v>82</v>
      </c>
      <c r="BX695" s="1" t="s">
        <v>82</v>
      </c>
      <c r="BY695" s="1" t="s">
        <v>108</v>
      </c>
      <c r="BZ695" s="1" t="s">
        <v>13288</v>
      </c>
      <c r="CA695" s="1" t="str">
        <f>HYPERLINK("https%3A%2F%2Fwww.webofscience.com%2Fwos%2Fwoscc%2Ffull-record%2FWOS:000787560400002","View Full Record in Web of Science")</f>
        <v>View Full Record in Web of Science</v>
      </c>
    </row>
    <row r="696" s="1" customFormat="1" ht="14.4" spans="1:79">
      <c r="A696">
        <v>695</v>
      </c>
      <c r="B696" s="2" t="s">
        <v>79</v>
      </c>
      <c r="C696" s="1" t="s">
        <v>80</v>
      </c>
      <c r="D696" s="1" t="s">
        <v>13289</v>
      </c>
      <c r="E696" s="1" t="s">
        <v>82</v>
      </c>
      <c r="F696" s="1" t="s">
        <v>82</v>
      </c>
      <c r="G696" s="1" t="s">
        <v>82</v>
      </c>
      <c r="H696" s="1" t="s">
        <v>13290</v>
      </c>
      <c r="I696" s="1" t="s">
        <v>82</v>
      </c>
      <c r="J696" s="1" t="s">
        <v>82</v>
      </c>
      <c r="K696" s="1" t="s">
        <v>13291</v>
      </c>
      <c r="L696" s="1" t="s">
        <v>12841</v>
      </c>
      <c r="M696" s="1">
        <v>1.05</v>
      </c>
      <c r="O696" s="1" t="s">
        <v>82</v>
      </c>
      <c r="P696" s="1" t="s">
        <v>82</v>
      </c>
      <c r="Q696" s="1" t="s">
        <v>87</v>
      </c>
      <c r="R696" s="1" t="s">
        <v>115</v>
      </c>
      <c r="S696" s="1" t="s">
        <v>82</v>
      </c>
      <c r="T696" s="1" t="s">
        <v>82</v>
      </c>
      <c r="U696" s="1" t="s">
        <v>82</v>
      </c>
      <c r="V696" s="1" t="s">
        <v>82</v>
      </c>
      <c r="W696" s="1" t="s">
        <v>82</v>
      </c>
      <c r="X696" s="1" t="s">
        <v>13292</v>
      </c>
      <c r="Y696" s="1" t="s">
        <v>13293</v>
      </c>
      <c r="Z696" s="1" t="s">
        <v>13294</v>
      </c>
      <c r="AA696" s="1">
        <v>1</v>
      </c>
      <c r="AB696" s="1" t="s">
        <v>13295</v>
      </c>
      <c r="AC696" s="1" t="s">
        <v>13296</v>
      </c>
      <c r="AD696" s="1" t="s">
        <v>93</v>
      </c>
      <c r="AE696" s="1" t="s">
        <v>1959</v>
      </c>
      <c r="AF696" s="1" t="s">
        <v>13297</v>
      </c>
      <c r="AG696" s="1" t="s">
        <v>13298</v>
      </c>
      <c r="AH696" s="1" t="s">
        <v>82</v>
      </c>
      <c r="AI696" s="1" t="s">
        <v>82</v>
      </c>
      <c r="AJ696" s="1" t="s">
        <v>13299</v>
      </c>
      <c r="AK696" s="1" t="s">
        <v>13300</v>
      </c>
      <c r="AL696" s="1" t="s">
        <v>13301</v>
      </c>
      <c r="AM696" s="1" t="s">
        <v>82</v>
      </c>
      <c r="AN696" s="1">
        <v>51</v>
      </c>
      <c r="AO696" s="1">
        <v>0</v>
      </c>
      <c r="AP696" s="1">
        <v>0</v>
      </c>
      <c r="AQ696" s="1">
        <v>5</v>
      </c>
      <c r="AR696" s="1">
        <v>7</v>
      </c>
      <c r="AS696" s="1" t="s">
        <v>12853</v>
      </c>
      <c r="AT696" s="1" t="s">
        <v>12854</v>
      </c>
      <c r="AU696" s="1" t="s">
        <v>13249</v>
      </c>
      <c r="AV696" s="1" t="s">
        <v>12856</v>
      </c>
      <c r="AW696" s="1" t="s">
        <v>12857</v>
      </c>
      <c r="AX696" s="1" t="s">
        <v>82</v>
      </c>
      <c r="AY696" s="1" t="s">
        <v>12841</v>
      </c>
      <c r="AZ696" s="1" t="s">
        <v>12858</v>
      </c>
      <c r="BA696" s="1" t="s">
        <v>7423</v>
      </c>
      <c r="BB696" s="1">
        <v>2022</v>
      </c>
      <c r="BC696" s="1">
        <v>542</v>
      </c>
      <c r="BD696" s="1">
        <v>1</v>
      </c>
      <c r="BE696" s="1" t="s">
        <v>82</v>
      </c>
      <c r="BF696" s="1" t="s">
        <v>82</v>
      </c>
      <c r="BG696" s="1" t="s">
        <v>82</v>
      </c>
      <c r="BH696" s="1" t="s">
        <v>82</v>
      </c>
      <c r="BI696" s="1">
        <v>73</v>
      </c>
      <c r="BJ696" s="1">
        <v>82</v>
      </c>
      <c r="BK696" s="1" t="s">
        <v>82</v>
      </c>
      <c r="BL696" s="1" t="s">
        <v>13302</v>
      </c>
      <c r="BM696" s="1" t="str">
        <f>HYPERLINK("http://dx.doi.org/10.11646/phytotaxa.542.1.6","http://dx.doi.org/10.11646/phytotaxa.542.1.6")</f>
        <v>http://dx.doi.org/10.11646/phytotaxa.542.1.6</v>
      </c>
      <c r="BN696" s="1" t="s">
        <v>82</v>
      </c>
      <c r="BO696" s="1" t="s">
        <v>82</v>
      </c>
      <c r="BP696" s="1">
        <v>10</v>
      </c>
      <c r="BQ696" s="1" t="s">
        <v>378</v>
      </c>
      <c r="BR696" s="1" t="s">
        <v>104</v>
      </c>
      <c r="BS696" s="1" t="s">
        <v>378</v>
      </c>
      <c r="BT696" s="1" t="s">
        <v>13303</v>
      </c>
      <c r="BU696" s="1" t="s">
        <v>82</v>
      </c>
      <c r="BV696" s="1" t="s">
        <v>82</v>
      </c>
      <c r="BW696" s="1" t="s">
        <v>82</v>
      </c>
      <c r="BX696" s="1" t="s">
        <v>82</v>
      </c>
      <c r="BY696" s="1" t="s">
        <v>108</v>
      </c>
      <c r="BZ696" s="1" t="s">
        <v>13304</v>
      </c>
      <c r="CA696" s="1" t="str">
        <f>HYPERLINK("https%3A%2F%2Fwww.webofscience.com%2Fwos%2Fwoscc%2Ffull-record%2FWOS:000781501500006","View Full Record in Web of Science")</f>
        <v>View Full Record in Web of Science</v>
      </c>
    </row>
    <row r="697" s="1" customFormat="1" ht="14.4" spans="1:79">
      <c r="A697">
        <v>696</v>
      </c>
      <c r="B697" s="2" t="s">
        <v>79</v>
      </c>
      <c r="C697" s="1" t="s">
        <v>80</v>
      </c>
      <c r="D697" s="1" t="s">
        <v>13305</v>
      </c>
      <c r="E697" s="1" t="s">
        <v>82</v>
      </c>
      <c r="F697" s="1" t="s">
        <v>82</v>
      </c>
      <c r="G697" s="1" t="s">
        <v>82</v>
      </c>
      <c r="H697" s="1" t="s">
        <v>13306</v>
      </c>
      <c r="I697" s="1" t="s">
        <v>82</v>
      </c>
      <c r="J697" s="1" t="s">
        <v>82</v>
      </c>
      <c r="K697" s="1" t="s">
        <v>13307</v>
      </c>
      <c r="L697" s="1" t="s">
        <v>12841</v>
      </c>
      <c r="M697" s="1">
        <v>1.05</v>
      </c>
      <c r="O697" s="1" t="s">
        <v>82</v>
      </c>
      <c r="P697" s="1" t="s">
        <v>82</v>
      </c>
      <c r="Q697" s="1" t="s">
        <v>87</v>
      </c>
      <c r="R697" s="1" t="s">
        <v>115</v>
      </c>
      <c r="S697" s="1" t="s">
        <v>82</v>
      </c>
      <c r="T697" s="1" t="s">
        <v>82</v>
      </c>
      <c r="U697" s="1" t="s">
        <v>82</v>
      </c>
      <c r="V697" s="1" t="s">
        <v>82</v>
      </c>
      <c r="W697" s="1" t="s">
        <v>82</v>
      </c>
      <c r="X697" s="1" t="s">
        <v>13308</v>
      </c>
      <c r="Y697" s="1" t="s">
        <v>13309</v>
      </c>
      <c r="Z697" s="1" t="s">
        <v>13310</v>
      </c>
      <c r="AB697" s="1" t="s">
        <v>13311</v>
      </c>
      <c r="AC697" s="1" t="s">
        <v>13312</v>
      </c>
      <c r="AD697" s="1" t="s">
        <v>120</v>
      </c>
      <c r="AE697" s="1" t="s">
        <v>13313</v>
      </c>
      <c r="AF697" s="1" t="s">
        <v>13314</v>
      </c>
      <c r="AG697" s="1" t="s">
        <v>13315</v>
      </c>
      <c r="AH697" s="1" t="s">
        <v>13316</v>
      </c>
      <c r="AI697" s="1" t="s">
        <v>13317</v>
      </c>
      <c r="AJ697" s="1" t="s">
        <v>13318</v>
      </c>
      <c r="AK697" s="1" t="s">
        <v>13319</v>
      </c>
      <c r="AL697" s="1" t="s">
        <v>13320</v>
      </c>
      <c r="AM697" s="1" t="s">
        <v>82</v>
      </c>
      <c r="AN697" s="1">
        <v>71</v>
      </c>
      <c r="AO697" s="1">
        <v>0</v>
      </c>
      <c r="AP697" s="1">
        <v>0</v>
      </c>
      <c r="AQ697" s="1">
        <v>1</v>
      </c>
      <c r="AR697" s="1">
        <v>1</v>
      </c>
      <c r="AS697" s="1" t="s">
        <v>12853</v>
      </c>
      <c r="AT697" s="1" t="s">
        <v>12854</v>
      </c>
      <c r="AU697" s="1" t="s">
        <v>13249</v>
      </c>
      <c r="AV697" s="1" t="s">
        <v>12856</v>
      </c>
      <c r="AW697" s="1" t="s">
        <v>12857</v>
      </c>
      <c r="AX697" s="1" t="s">
        <v>82</v>
      </c>
      <c r="AY697" s="1" t="s">
        <v>12841</v>
      </c>
      <c r="AZ697" s="1" t="s">
        <v>12858</v>
      </c>
      <c r="BA697" s="1" t="s">
        <v>8291</v>
      </c>
      <c r="BB697" s="1">
        <v>2022</v>
      </c>
      <c r="BC697" s="1">
        <v>533</v>
      </c>
      <c r="BD697" s="1">
        <v>2</v>
      </c>
      <c r="BE697" s="1" t="s">
        <v>82</v>
      </c>
      <c r="BF697" s="1" t="s">
        <v>82</v>
      </c>
      <c r="BG697" s="1" t="s">
        <v>82</v>
      </c>
      <c r="BH697" s="1" t="s">
        <v>82</v>
      </c>
      <c r="BI697" s="1">
        <v>117</v>
      </c>
      <c r="BJ697" s="1">
        <v>136</v>
      </c>
      <c r="BK697" s="1" t="s">
        <v>82</v>
      </c>
      <c r="BL697" s="1" t="s">
        <v>13321</v>
      </c>
      <c r="BM697" s="1" t="str">
        <f>HYPERLINK("http://dx.doi.org/10.11646/phytotaxa.533.2.1","http://dx.doi.org/10.11646/phytotaxa.533.2.1")</f>
        <v>http://dx.doi.org/10.11646/phytotaxa.533.2.1</v>
      </c>
      <c r="BN697" s="1" t="s">
        <v>82</v>
      </c>
      <c r="BO697" s="1" t="s">
        <v>82</v>
      </c>
      <c r="BP697" s="1">
        <v>20</v>
      </c>
      <c r="BQ697" s="1" t="s">
        <v>378</v>
      </c>
      <c r="BR697" s="1" t="s">
        <v>104</v>
      </c>
      <c r="BS697" s="1" t="s">
        <v>378</v>
      </c>
      <c r="BT697" s="1" t="s">
        <v>13322</v>
      </c>
      <c r="BU697" s="1" t="s">
        <v>82</v>
      </c>
      <c r="BV697" s="1" t="s">
        <v>82</v>
      </c>
      <c r="BW697" s="1" t="s">
        <v>82</v>
      </c>
      <c r="BX697" s="1" t="s">
        <v>82</v>
      </c>
      <c r="BY697" s="1" t="s">
        <v>108</v>
      </c>
      <c r="BZ697" s="1" t="s">
        <v>13323</v>
      </c>
      <c r="CA697" s="1" t="str">
        <f>HYPERLINK("https%3A%2F%2Fwww.webofscience.com%2Fwos%2Fwoscc%2Ffull-record%2FWOS:000783199300001","View Full Record in Web of Science")</f>
        <v>View Full Record in Web of Science</v>
      </c>
    </row>
    <row r="698" s="1" customFormat="1" ht="14.4" spans="1:79">
      <c r="A698">
        <v>697</v>
      </c>
      <c r="B698" s="2" t="s">
        <v>79</v>
      </c>
      <c r="C698" s="1" t="s">
        <v>80</v>
      </c>
      <c r="D698" s="1" t="s">
        <v>13324</v>
      </c>
      <c r="E698" s="1" t="s">
        <v>82</v>
      </c>
      <c r="F698" s="1" t="s">
        <v>82</v>
      </c>
      <c r="G698" s="1" t="s">
        <v>82</v>
      </c>
      <c r="H698" s="1" t="s">
        <v>13325</v>
      </c>
      <c r="I698" s="1" t="s">
        <v>82</v>
      </c>
      <c r="J698" s="1" t="s">
        <v>82</v>
      </c>
      <c r="K698" s="1" t="s">
        <v>13326</v>
      </c>
      <c r="L698" s="1" t="s">
        <v>12841</v>
      </c>
      <c r="M698" s="1">
        <v>1.05</v>
      </c>
      <c r="O698" s="1" t="s">
        <v>82</v>
      </c>
      <c r="P698" s="1" t="s">
        <v>82</v>
      </c>
      <c r="Q698" s="1" t="s">
        <v>87</v>
      </c>
      <c r="R698" s="1" t="s">
        <v>115</v>
      </c>
      <c r="S698" s="1" t="s">
        <v>82</v>
      </c>
      <c r="T698" s="1" t="s">
        <v>82</v>
      </c>
      <c r="U698" s="1" t="s">
        <v>82</v>
      </c>
      <c r="V698" s="1" t="s">
        <v>82</v>
      </c>
      <c r="W698" s="1" t="s">
        <v>82</v>
      </c>
      <c r="X698" s="1" t="s">
        <v>13327</v>
      </c>
      <c r="Y698" s="1" t="s">
        <v>13328</v>
      </c>
      <c r="Z698" s="1" t="s">
        <v>13329</v>
      </c>
      <c r="AB698" s="1" t="s">
        <v>13330</v>
      </c>
      <c r="AC698" s="1" t="s">
        <v>13331</v>
      </c>
      <c r="AD698" s="1" t="s">
        <v>120</v>
      </c>
      <c r="AE698" s="1" t="s">
        <v>13332</v>
      </c>
      <c r="AF698" s="1" t="s">
        <v>13333</v>
      </c>
      <c r="AG698" s="1" t="s">
        <v>13334</v>
      </c>
      <c r="AH698" s="1" t="s">
        <v>13335</v>
      </c>
      <c r="AI698" s="1" t="s">
        <v>13336</v>
      </c>
      <c r="AJ698" s="1" t="s">
        <v>13337</v>
      </c>
      <c r="AK698" s="1" t="s">
        <v>13338</v>
      </c>
      <c r="AL698" s="1" t="s">
        <v>13339</v>
      </c>
      <c r="AM698" s="1" t="s">
        <v>82</v>
      </c>
      <c r="AN698" s="1">
        <v>30</v>
      </c>
      <c r="AO698" s="1">
        <v>1</v>
      </c>
      <c r="AP698" s="1">
        <v>1</v>
      </c>
      <c r="AQ698" s="1">
        <v>2</v>
      </c>
      <c r="AR698" s="1">
        <v>6</v>
      </c>
      <c r="AS698" s="1" t="s">
        <v>12853</v>
      </c>
      <c r="AT698" s="1" t="s">
        <v>12854</v>
      </c>
      <c r="AU698" s="1" t="s">
        <v>13249</v>
      </c>
      <c r="AV698" s="1" t="s">
        <v>12856</v>
      </c>
      <c r="AW698" s="1" t="s">
        <v>12857</v>
      </c>
      <c r="AX698" s="1" t="s">
        <v>82</v>
      </c>
      <c r="AY698" s="1" t="s">
        <v>12841</v>
      </c>
      <c r="AZ698" s="1" t="s">
        <v>12858</v>
      </c>
      <c r="BA698" s="1" t="s">
        <v>12721</v>
      </c>
      <c r="BB698" s="1">
        <v>2022</v>
      </c>
      <c r="BC698" s="1">
        <v>541</v>
      </c>
      <c r="BD698" s="1">
        <v>1</v>
      </c>
      <c r="BE698" s="1" t="s">
        <v>82</v>
      </c>
      <c r="BF698" s="1" t="s">
        <v>82</v>
      </c>
      <c r="BG698" s="1" t="s">
        <v>82</v>
      </c>
      <c r="BH698" s="1" t="s">
        <v>82</v>
      </c>
      <c r="BI698" s="1">
        <v>1</v>
      </c>
      <c r="BJ698" s="1">
        <v>9</v>
      </c>
      <c r="BK698" s="1" t="s">
        <v>82</v>
      </c>
      <c r="BL698" s="1" t="s">
        <v>13340</v>
      </c>
      <c r="BM698" s="1" t="str">
        <f>HYPERLINK("http://dx.doi.org/10.11646/phytotaxa.541.1.1","http://dx.doi.org/10.11646/phytotaxa.541.1.1")</f>
        <v>http://dx.doi.org/10.11646/phytotaxa.541.1.1</v>
      </c>
      <c r="BN698" s="1" t="s">
        <v>82</v>
      </c>
      <c r="BO698" s="1" t="s">
        <v>82</v>
      </c>
      <c r="BP698" s="1">
        <v>9</v>
      </c>
      <c r="BQ698" s="1" t="s">
        <v>378</v>
      </c>
      <c r="BR698" s="1" t="s">
        <v>104</v>
      </c>
      <c r="BS698" s="1" t="s">
        <v>378</v>
      </c>
      <c r="BT698" s="1" t="s">
        <v>13341</v>
      </c>
      <c r="BU698" s="1" t="s">
        <v>82</v>
      </c>
      <c r="BV698" s="1" t="s">
        <v>107</v>
      </c>
      <c r="BW698" s="1" t="s">
        <v>82</v>
      </c>
      <c r="BX698" s="1" t="s">
        <v>82</v>
      </c>
      <c r="BY698" s="1" t="s">
        <v>108</v>
      </c>
      <c r="BZ698" s="1" t="s">
        <v>13342</v>
      </c>
      <c r="CA698" s="1" t="str">
        <f>HYPERLINK("https%3A%2F%2Fwww.webofscience.com%2Fwos%2Fwoscc%2Ffull-record%2FWOS:000776088800002","View Full Record in Web of Science")</f>
        <v>View Full Record in Web of Science</v>
      </c>
    </row>
    <row r="699" s="1" customFormat="1" ht="14.4" spans="1:79">
      <c r="A699">
        <v>698</v>
      </c>
      <c r="B699" s="2" t="s">
        <v>79</v>
      </c>
      <c r="C699" s="1" t="s">
        <v>80</v>
      </c>
      <c r="D699" s="1" t="s">
        <v>13343</v>
      </c>
      <c r="E699" s="1" t="s">
        <v>82</v>
      </c>
      <c r="F699" s="1" t="s">
        <v>82</v>
      </c>
      <c r="G699" s="1" t="s">
        <v>82</v>
      </c>
      <c r="H699" s="1" t="s">
        <v>13344</v>
      </c>
      <c r="I699" s="1" t="s">
        <v>82</v>
      </c>
      <c r="J699" s="1" t="s">
        <v>82</v>
      </c>
      <c r="K699" s="1" t="s">
        <v>13345</v>
      </c>
      <c r="L699" s="1" t="s">
        <v>12841</v>
      </c>
      <c r="M699" s="1">
        <v>1.05</v>
      </c>
      <c r="O699" s="1" t="s">
        <v>82</v>
      </c>
      <c r="P699" s="1" t="s">
        <v>82</v>
      </c>
      <c r="Q699" s="1" t="s">
        <v>87</v>
      </c>
      <c r="R699" s="1" t="s">
        <v>115</v>
      </c>
      <c r="S699" s="1" t="s">
        <v>82</v>
      </c>
      <c r="T699" s="1" t="s">
        <v>82</v>
      </c>
      <c r="U699" s="1" t="s">
        <v>82</v>
      </c>
      <c r="V699" s="1" t="s">
        <v>82</v>
      </c>
      <c r="W699" s="1" t="s">
        <v>82</v>
      </c>
      <c r="X699" s="1" t="s">
        <v>13346</v>
      </c>
      <c r="Y699" s="1" t="s">
        <v>13347</v>
      </c>
      <c r="Z699" s="1" t="s">
        <v>13348</v>
      </c>
      <c r="AB699" s="1" t="s">
        <v>11457</v>
      </c>
      <c r="AC699" s="1" t="s">
        <v>13349</v>
      </c>
      <c r="AD699" s="1" t="s">
        <v>206</v>
      </c>
      <c r="AE699" s="1" t="s">
        <v>13350</v>
      </c>
      <c r="AF699" s="1" t="s">
        <v>13351</v>
      </c>
      <c r="AG699" s="1" t="s">
        <v>13352</v>
      </c>
      <c r="AH699" s="1" t="s">
        <v>11462</v>
      </c>
      <c r="AI699" s="1" t="s">
        <v>13353</v>
      </c>
      <c r="AJ699" s="1" t="s">
        <v>13354</v>
      </c>
      <c r="AK699" s="1" t="s">
        <v>13355</v>
      </c>
      <c r="AL699" s="1" t="s">
        <v>13356</v>
      </c>
      <c r="AM699" s="1" t="s">
        <v>82</v>
      </c>
      <c r="AN699" s="1">
        <v>42</v>
      </c>
      <c r="AO699" s="1">
        <v>0</v>
      </c>
      <c r="AP699" s="1">
        <v>0</v>
      </c>
      <c r="AQ699" s="1">
        <v>2</v>
      </c>
      <c r="AR699" s="1">
        <v>4</v>
      </c>
      <c r="AS699" s="1" t="s">
        <v>12853</v>
      </c>
      <c r="AT699" s="1" t="s">
        <v>12854</v>
      </c>
      <c r="AU699" s="1" t="s">
        <v>13249</v>
      </c>
      <c r="AV699" s="1" t="s">
        <v>12856</v>
      </c>
      <c r="AW699" s="1" t="s">
        <v>12857</v>
      </c>
      <c r="AX699" s="1" t="s">
        <v>82</v>
      </c>
      <c r="AY699" s="1" t="s">
        <v>12841</v>
      </c>
      <c r="AZ699" s="1" t="s">
        <v>12858</v>
      </c>
      <c r="BA699" s="1" t="s">
        <v>13357</v>
      </c>
      <c r="BB699" s="1">
        <v>2022</v>
      </c>
      <c r="BC699" s="1">
        <v>539</v>
      </c>
      <c r="BD699" s="1">
        <v>3</v>
      </c>
      <c r="BE699" s="1" t="s">
        <v>82</v>
      </c>
      <c r="BF699" s="1" t="s">
        <v>82</v>
      </c>
      <c r="BG699" s="1" t="s">
        <v>82</v>
      </c>
      <c r="BH699" s="1" t="s">
        <v>82</v>
      </c>
      <c r="BI699" s="1">
        <v>244</v>
      </c>
      <c r="BJ699" s="1">
        <v>256</v>
      </c>
      <c r="BK699" s="1" t="s">
        <v>82</v>
      </c>
      <c r="BL699" s="1" t="s">
        <v>13358</v>
      </c>
      <c r="BM699" s="1" t="str">
        <f>HYPERLINK("http://dx.doi.org/10.11646/phytotaxa.539.3.3","http://dx.doi.org/10.11646/phytotaxa.539.3.3")</f>
        <v>http://dx.doi.org/10.11646/phytotaxa.539.3.3</v>
      </c>
      <c r="BN699" s="1" t="s">
        <v>82</v>
      </c>
      <c r="BO699" s="1" t="s">
        <v>82</v>
      </c>
      <c r="BP699" s="1">
        <v>13</v>
      </c>
      <c r="BQ699" s="1" t="s">
        <v>378</v>
      </c>
      <c r="BR699" s="1" t="s">
        <v>104</v>
      </c>
      <c r="BS699" s="1" t="s">
        <v>378</v>
      </c>
      <c r="BT699" s="1" t="s">
        <v>13359</v>
      </c>
      <c r="BU699" s="1" t="s">
        <v>82</v>
      </c>
      <c r="BV699" s="1" t="s">
        <v>82</v>
      </c>
      <c r="BW699" s="1" t="s">
        <v>82</v>
      </c>
      <c r="BX699" s="1" t="s">
        <v>82</v>
      </c>
      <c r="BY699" s="1" t="s">
        <v>108</v>
      </c>
      <c r="BZ699" s="1" t="s">
        <v>13360</v>
      </c>
      <c r="CA699" s="1" t="str">
        <f>HYPERLINK("https%3A%2F%2Fwww.webofscience.com%2Fwos%2Fwoscc%2Ffull-record%2FWOS:000773305300003","View Full Record in Web of Science")</f>
        <v>View Full Record in Web of Science</v>
      </c>
    </row>
    <row r="700" s="1" customFormat="1" ht="14.4" spans="1:79">
      <c r="A700">
        <v>699</v>
      </c>
      <c r="B700" s="2" t="s">
        <v>79</v>
      </c>
      <c r="C700" s="1" t="s">
        <v>80</v>
      </c>
      <c r="D700" s="1" t="s">
        <v>13361</v>
      </c>
      <c r="E700" s="1" t="s">
        <v>82</v>
      </c>
      <c r="F700" s="1" t="s">
        <v>82</v>
      </c>
      <c r="G700" s="1" t="s">
        <v>82</v>
      </c>
      <c r="H700" s="1" t="s">
        <v>13362</v>
      </c>
      <c r="I700" s="1" t="s">
        <v>82</v>
      </c>
      <c r="J700" s="1" t="s">
        <v>82</v>
      </c>
      <c r="K700" s="1" t="s">
        <v>13363</v>
      </c>
      <c r="L700" s="1" t="s">
        <v>12841</v>
      </c>
      <c r="M700" s="1">
        <v>1.05</v>
      </c>
      <c r="O700" s="1" t="s">
        <v>82</v>
      </c>
      <c r="P700" s="1" t="s">
        <v>82</v>
      </c>
      <c r="Q700" s="1" t="s">
        <v>87</v>
      </c>
      <c r="R700" s="1" t="s">
        <v>115</v>
      </c>
      <c r="S700" s="1" t="s">
        <v>82</v>
      </c>
      <c r="T700" s="1" t="s">
        <v>82</v>
      </c>
      <c r="U700" s="1" t="s">
        <v>82</v>
      </c>
      <c r="V700" s="1" t="s">
        <v>82</v>
      </c>
      <c r="W700" s="1" t="s">
        <v>82</v>
      </c>
      <c r="X700" s="1" t="s">
        <v>13364</v>
      </c>
      <c r="Y700" s="1" t="s">
        <v>82</v>
      </c>
      <c r="Z700" s="1" t="s">
        <v>13365</v>
      </c>
      <c r="AB700" s="1" t="s">
        <v>13366</v>
      </c>
      <c r="AC700" s="1" t="s">
        <v>13367</v>
      </c>
      <c r="AD700" s="1" t="s">
        <v>206</v>
      </c>
      <c r="AE700" s="1" t="s">
        <v>13368</v>
      </c>
      <c r="AF700" s="1" t="s">
        <v>13369</v>
      </c>
      <c r="AG700" s="1" t="s">
        <v>13370</v>
      </c>
      <c r="AH700" s="1" t="s">
        <v>13371</v>
      </c>
      <c r="AI700" s="1" t="s">
        <v>13372</v>
      </c>
      <c r="AJ700" s="1" t="s">
        <v>13373</v>
      </c>
      <c r="AK700" s="1" t="s">
        <v>13374</v>
      </c>
      <c r="AL700" s="1" t="s">
        <v>13375</v>
      </c>
      <c r="AM700" s="1" t="s">
        <v>82</v>
      </c>
      <c r="AN700" s="1">
        <v>14</v>
      </c>
      <c r="AO700" s="1">
        <v>1</v>
      </c>
      <c r="AP700" s="1">
        <v>1</v>
      </c>
      <c r="AQ700" s="1">
        <v>4</v>
      </c>
      <c r="AR700" s="1">
        <v>5</v>
      </c>
      <c r="AS700" s="1" t="s">
        <v>12853</v>
      </c>
      <c r="AT700" s="1" t="s">
        <v>12854</v>
      </c>
      <c r="AU700" s="1" t="s">
        <v>13249</v>
      </c>
      <c r="AV700" s="1" t="s">
        <v>12856</v>
      </c>
      <c r="AW700" s="1" t="s">
        <v>12857</v>
      </c>
      <c r="AX700" s="1" t="s">
        <v>82</v>
      </c>
      <c r="AY700" s="1" t="s">
        <v>12841</v>
      </c>
      <c r="AZ700" s="1" t="s">
        <v>12858</v>
      </c>
      <c r="BA700" s="1" t="s">
        <v>13376</v>
      </c>
      <c r="BB700" s="1">
        <v>2022</v>
      </c>
      <c r="BC700" s="1">
        <v>539</v>
      </c>
      <c r="BD700" s="1">
        <v>1</v>
      </c>
      <c r="BE700" s="1" t="s">
        <v>82</v>
      </c>
      <c r="BF700" s="1" t="s">
        <v>82</v>
      </c>
      <c r="BG700" s="1" t="s">
        <v>82</v>
      </c>
      <c r="BH700" s="1" t="s">
        <v>82</v>
      </c>
      <c r="BI700" s="1">
        <v>69</v>
      </c>
      <c r="BJ700" s="1">
        <v>73</v>
      </c>
      <c r="BK700" s="1" t="s">
        <v>82</v>
      </c>
      <c r="BL700" s="1" t="s">
        <v>13377</v>
      </c>
      <c r="BM700" s="1" t="str">
        <f>HYPERLINK("http://dx.doi.org/10.11646/phytotaxa.539.1.8","http://dx.doi.org/10.11646/phytotaxa.539.1.8")</f>
        <v>http://dx.doi.org/10.11646/phytotaxa.539.1.8</v>
      </c>
      <c r="BN700" s="1" t="s">
        <v>82</v>
      </c>
      <c r="BO700" s="1" t="s">
        <v>82</v>
      </c>
      <c r="BP700" s="1">
        <v>5</v>
      </c>
      <c r="BQ700" s="1" t="s">
        <v>378</v>
      </c>
      <c r="BR700" s="1" t="s">
        <v>104</v>
      </c>
      <c r="BS700" s="1" t="s">
        <v>378</v>
      </c>
      <c r="BT700" s="1" t="s">
        <v>13378</v>
      </c>
      <c r="BU700" s="1" t="s">
        <v>82</v>
      </c>
      <c r="BV700" s="1" t="s">
        <v>82</v>
      </c>
      <c r="BW700" s="1" t="s">
        <v>82</v>
      </c>
      <c r="BX700" s="1" t="s">
        <v>82</v>
      </c>
      <c r="BY700" s="1" t="s">
        <v>108</v>
      </c>
      <c r="BZ700" s="1" t="s">
        <v>13379</v>
      </c>
      <c r="CA700" s="1" t="str">
        <f>HYPERLINK("https%3A%2F%2Fwww.webofscience.com%2Fwos%2Fwoscc%2Ffull-record%2FWOS:000773244200001","View Full Record in Web of Science")</f>
        <v>View Full Record in Web of Science</v>
      </c>
    </row>
    <row r="701" s="1" customFormat="1" ht="14.4" spans="1:79">
      <c r="A701">
        <v>700</v>
      </c>
      <c r="B701" s="2" t="s">
        <v>79</v>
      </c>
      <c r="C701" s="1" t="s">
        <v>80</v>
      </c>
      <c r="D701" s="1" t="s">
        <v>13380</v>
      </c>
      <c r="E701" s="1" t="s">
        <v>82</v>
      </c>
      <c r="F701" s="1" t="s">
        <v>82</v>
      </c>
      <c r="G701" s="1" t="s">
        <v>82</v>
      </c>
      <c r="H701" s="1" t="s">
        <v>13381</v>
      </c>
      <c r="I701" s="1" t="s">
        <v>82</v>
      </c>
      <c r="J701" s="1" t="s">
        <v>82</v>
      </c>
      <c r="K701" s="1" t="s">
        <v>13382</v>
      </c>
      <c r="L701" s="1" t="s">
        <v>12841</v>
      </c>
      <c r="M701" s="1">
        <v>1.05</v>
      </c>
      <c r="O701" s="1" t="s">
        <v>82</v>
      </c>
      <c r="P701" s="1" t="s">
        <v>82</v>
      </c>
      <c r="Q701" s="1" t="s">
        <v>87</v>
      </c>
      <c r="R701" s="1" t="s">
        <v>115</v>
      </c>
      <c r="S701" s="1" t="s">
        <v>82</v>
      </c>
      <c r="T701" s="1" t="s">
        <v>82</v>
      </c>
      <c r="U701" s="1" t="s">
        <v>82</v>
      </c>
      <c r="V701" s="1" t="s">
        <v>82</v>
      </c>
      <c r="W701" s="1" t="s">
        <v>82</v>
      </c>
      <c r="X701" s="1" t="s">
        <v>13383</v>
      </c>
      <c r="Y701" s="1" t="s">
        <v>9214</v>
      </c>
      <c r="Z701" s="1" t="s">
        <v>13384</v>
      </c>
      <c r="AB701" s="1" t="s">
        <v>9216</v>
      </c>
      <c r="AC701" s="1" t="s">
        <v>13385</v>
      </c>
      <c r="AD701" s="1" t="s">
        <v>206</v>
      </c>
      <c r="AE701" s="1" t="s">
        <v>13386</v>
      </c>
      <c r="AF701" s="1" t="s">
        <v>13387</v>
      </c>
      <c r="AG701" s="1" t="s">
        <v>13388</v>
      </c>
      <c r="AH701" s="1" t="s">
        <v>2307</v>
      </c>
      <c r="AI701" s="1" t="s">
        <v>9219</v>
      </c>
      <c r="AJ701" s="1" t="s">
        <v>13389</v>
      </c>
      <c r="AK701" s="1" t="s">
        <v>13390</v>
      </c>
      <c r="AL701" s="1" t="s">
        <v>13391</v>
      </c>
      <c r="AM701" s="1" t="s">
        <v>82</v>
      </c>
      <c r="AN701" s="1">
        <v>35</v>
      </c>
      <c r="AO701" s="1">
        <v>1</v>
      </c>
      <c r="AP701" s="1">
        <v>1</v>
      </c>
      <c r="AQ701" s="1">
        <v>3</v>
      </c>
      <c r="AR701" s="1">
        <v>5</v>
      </c>
      <c r="AS701" s="1" t="s">
        <v>12853</v>
      </c>
      <c r="AT701" s="1" t="s">
        <v>12854</v>
      </c>
      <c r="AU701" s="1" t="s">
        <v>13249</v>
      </c>
      <c r="AV701" s="1" t="s">
        <v>12856</v>
      </c>
      <c r="AW701" s="1" t="s">
        <v>12857</v>
      </c>
      <c r="AX701" s="1" t="s">
        <v>82</v>
      </c>
      <c r="AY701" s="1" t="s">
        <v>12841</v>
      </c>
      <c r="AZ701" s="1" t="s">
        <v>12858</v>
      </c>
      <c r="BA701" s="1" t="s">
        <v>4334</v>
      </c>
      <c r="BB701" s="1">
        <v>2022</v>
      </c>
      <c r="BC701" s="1">
        <v>533</v>
      </c>
      <c r="BD701" s="1">
        <v>5</v>
      </c>
      <c r="BE701" s="1" t="s">
        <v>82</v>
      </c>
      <c r="BF701" s="1" t="s">
        <v>82</v>
      </c>
      <c r="BG701" s="1" t="s">
        <v>82</v>
      </c>
      <c r="BH701" s="1" t="s">
        <v>82</v>
      </c>
      <c r="BI701" s="1">
        <v>256</v>
      </c>
      <c r="BJ701" s="1">
        <v>266</v>
      </c>
      <c r="BK701" s="1" t="s">
        <v>82</v>
      </c>
      <c r="BL701" s="1" t="s">
        <v>13392</v>
      </c>
      <c r="BM701" s="1" t="str">
        <f>HYPERLINK("http://dx.doi.org/10.11646/phytotaxa.533.5.2","http://dx.doi.org/10.11646/phytotaxa.533.5.2")</f>
        <v>http://dx.doi.org/10.11646/phytotaxa.533.5.2</v>
      </c>
      <c r="BN701" s="1" t="s">
        <v>82</v>
      </c>
      <c r="BO701" s="1" t="s">
        <v>82</v>
      </c>
      <c r="BP701" s="1">
        <v>11</v>
      </c>
      <c r="BQ701" s="1" t="s">
        <v>378</v>
      </c>
      <c r="BR701" s="1" t="s">
        <v>104</v>
      </c>
      <c r="BS701" s="1" t="s">
        <v>378</v>
      </c>
      <c r="BT701" s="1" t="s">
        <v>13393</v>
      </c>
      <c r="BU701" s="1" t="s">
        <v>82</v>
      </c>
      <c r="BV701" s="1" t="s">
        <v>82</v>
      </c>
      <c r="BW701" s="1" t="s">
        <v>82</v>
      </c>
      <c r="BX701" s="1" t="s">
        <v>82</v>
      </c>
      <c r="BY701" s="1" t="s">
        <v>108</v>
      </c>
      <c r="BZ701" s="1" t="s">
        <v>13394</v>
      </c>
      <c r="CA701" s="1" t="str">
        <f>HYPERLINK("https%3A%2F%2Fwww.webofscience.com%2Fwos%2Fwoscc%2Ffull-record%2FWOS:000760046100002","View Full Record in Web of Science")</f>
        <v>View Full Record in Web of Science</v>
      </c>
    </row>
    <row r="702" s="1" customFormat="1" ht="14.4" spans="1:79">
      <c r="A702">
        <v>701</v>
      </c>
      <c r="B702" s="2" t="s">
        <v>79</v>
      </c>
      <c r="C702" s="1" t="s">
        <v>80</v>
      </c>
      <c r="D702" s="1" t="s">
        <v>13395</v>
      </c>
      <c r="E702" s="1" t="s">
        <v>82</v>
      </c>
      <c r="F702" s="1" t="s">
        <v>82</v>
      </c>
      <c r="G702" s="1" t="s">
        <v>82</v>
      </c>
      <c r="H702" s="1" t="s">
        <v>13396</v>
      </c>
      <c r="I702" s="1" t="s">
        <v>82</v>
      </c>
      <c r="J702" s="1" t="s">
        <v>82</v>
      </c>
      <c r="K702" s="1" t="s">
        <v>13397</v>
      </c>
      <c r="L702" s="1" t="s">
        <v>12841</v>
      </c>
      <c r="M702" s="1">
        <v>1.05</v>
      </c>
      <c r="O702" s="1" t="s">
        <v>82</v>
      </c>
      <c r="P702" s="1" t="s">
        <v>82</v>
      </c>
      <c r="Q702" s="1" t="s">
        <v>87</v>
      </c>
      <c r="R702" s="1" t="s">
        <v>115</v>
      </c>
      <c r="S702" s="1" t="s">
        <v>82</v>
      </c>
      <c r="T702" s="1" t="s">
        <v>82</v>
      </c>
      <c r="U702" s="1" t="s">
        <v>82</v>
      </c>
      <c r="V702" s="1" t="s">
        <v>82</v>
      </c>
      <c r="W702" s="1" t="s">
        <v>82</v>
      </c>
      <c r="X702" s="1" t="s">
        <v>13398</v>
      </c>
      <c r="Y702" s="1" t="s">
        <v>13399</v>
      </c>
      <c r="Z702" s="1" t="s">
        <v>13400</v>
      </c>
      <c r="AB702" s="1" t="s">
        <v>13401</v>
      </c>
      <c r="AC702" s="1" t="s">
        <v>13402</v>
      </c>
      <c r="AD702" s="1" t="s">
        <v>206</v>
      </c>
      <c r="AE702" s="1" t="s">
        <v>13403</v>
      </c>
      <c r="AF702" s="1" t="s">
        <v>13404</v>
      </c>
      <c r="AG702" s="1" t="s">
        <v>13405</v>
      </c>
      <c r="AH702" s="1" t="s">
        <v>82</v>
      </c>
      <c r="AI702" s="1" t="s">
        <v>13406</v>
      </c>
      <c r="AJ702" s="1" t="s">
        <v>13211</v>
      </c>
      <c r="AK702" s="1" t="s">
        <v>13212</v>
      </c>
      <c r="AL702" s="1" t="s">
        <v>13407</v>
      </c>
      <c r="AM702" s="1" t="s">
        <v>82</v>
      </c>
      <c r="AN702" s="1">
        <v>27</v>
      </c>
      <c r="AO702" s="1">
        <v>1</v>
      </c>
      <c r="AP702" s="1">
        <v>1</v>
      </c>
      <c r="AQ702" s="1">
        <v>5</v>
      </c>
      <c r="AR702" s="1">
        <v>10</v>
      </c>
      <c r="AS702" s="1" t="s">
        <v>12853</v>
      </c>
      <c r="AT702" s="1" t="s">
        <v>12854</v>
      </c>
      <c r="AU702" s="1" t="s">
        <v>13249</v>
      </c>
      <c r="AV702" s="1" t="s">
        <v>12856</v>
      </c>
      <c r="AW702" s="1" t="s">
        <v>12857</v>
      </c>
      <c r="AX702" s="1" t="s">
        <v>82</v>
      </c>
      <c r="AY702" s="1" t="s">
        <v>12841</v>
      </c>
      <c r="AZ702" s="1" t="s">
        <v>12858</v>
      </c>
      <c r="BA702" s="1" t="s">
        <v>13408</v>
      </c>
      <c r="BB702" s="1">
        <v>2022</v>
      </c>
      <c r="BC702" s="1">
        <v>533</v>
      </c>
      <c r="BD702" s="1">
        <v>3</v>
      </c>
      <c r="BE702" s="1" t="s">
        <v>82</v>
      </c>
      <c r="BF702" s="1" t="s">
        <v>82</v>
      </c>
      <c r="BG702" s="1" t="s">
        <v>82</v>
      </c>
      <c r="BH702" s="1" t="s">
        <v>82</v>
      </c>
      <c r="BI702" s="1">
        <v>165</v>
      </c>
      <c r="BJ702" s="1">
        <v>172</v>
      </c>
      <c r="BK702" s="1" t="s">
        <v>82</v>
      </c>
      <c r="BL702" s="1" t="s">
        <v>13409</v>
      </c>
      <c r="BM702" s="1" t="str">
        <f>HYPERLINK("http://dx.doi.org/10.11646/phytotaxa.533.3.2","http://dx.doi.org/10.11646/phytotaxa.533.3.2")</f>
        <v>http://dx.doi.org/10.11646/phytotaxa.533.3.2</v>
      </c>
      <c r="BN702" s="1" t="s">
        <v>82</v>
      </c>
      <c r="BO702" s="1" t="s">
        <v>82</v>
      </c>
      <c r="BP702" s="1">
        <v>8</v>
      </c>
      <c r="BQ702" s="1" t="s">
        <v>378</v>
      </c>
      <c r="BR702" s="1" t="s">
        <v>104</v>
      </c>
      <c r="BS702" s="1" t="s">
        <v>378</v>
      </c>
      <c r="BT702" s="1" t="s">
        <v>13410</v>
      </c>
      <c r="BU702" s="1" t="s">
        <v>82</v>
      </c>
      <c r="BV702" s="1" t="s">
        <v>82</v>
      </c>
      <c r="BW702" s="1" t="s">
        <v>82</v>
      </c>
      <c r="BX702" s="1" t="s">
        <v>82</v>
      </c>
      <c r="BY702" s="1" t="s">
        <v>108</v>
      </c>
      <c r="BZ702" s="1" t="s">
        <v>13411</v>
      </c>
      <c r="CA702" s="1" t="str">
        <f>HYPERLINK("https%3A%2F%2Fwww.webofscience.com%2Fwos%2Fwoscc%2Ffull-record%2FWOS:000755775000002","View Full Record in Web of Science")</f>
        <v>View Full Record in Web of Science</v>
      </c>
    </row>
    <row r="703" s="1" customFormat="1" ht="14.4" spans="1:79">
      <c r="A703">
        <v>702</v>
      </c>
      <c r="B703" s="2" t="s">
        <v>79</v>
      </c>
      <c r="C703" s="1" t="s">
        <v>80</v>
      </c>
      <c r="D703" s="1" t="s">
        <v>13412</v>
      </c>
      <c r="E703" s="1" t="s">
        <v>82</v>
      </c>
      <c r="F703" s="1" t="s">
        <v>82</v>
      </c>
      <c r="G703" s="1" t="s">
        <v>82</v>
      </c>
      <c r="H703" s="1" t="s">
        <v>13413</v>
      </c>
      <c r="I703" s="1" t="s">
        <v>82</v>
      </c>
      <c r="J703" s="1" t="s">
        <v>82</v>
      </c>
      <c r="K703" s="1" t="s">
        <v>13414</v>
      </c>
      <c r="L703" s="1" t="s">
        <v>12841</v>
      </c>
      <c r="M703" s="1">
        <v>1.05</v>
      </c>
      <c r="O703" s="1" t="s">
        <v>82</v>
      </c>
      <c r="P703" s="1" t="s">
        <v>82</v>
      </c>
      <c r="Q703" s="1" t="s">
        <v>87</v>
      </c>
      <c r="R703" s="1" t="s">
        <v>115</v>
      </c>
      <c r="S703" s="1" t="s">
        <v>82</v>
      </c>
      <c r="T703" s="1" t="s">
        <v>82</v>
      </c>
      <c r="U703" s="1" t="s">
        <v>82</v>
      </c>
      <c r="V703" s="1" t="s">
        <v>82</v>
      </c>
      <c r="W703" s="1" t="s">
        <v>82</v>
      </c>
      <c r="X703" s="1" t="s">
        <v>13415</v>
      </c>
      <c r="Y703" s="1" t="s">
        <v>13416</v>
      </c>
      <c r="Z703" s="1" t="s">
        <v>13417</v>
      </c>
      <c r="AB703" s="1" t="s">
        <v>13418</v>
      </c>
      <c r="AC703" s="1" t="s">
        <v>13419</v>
      </c>
      <c r="AD703" s="1" t="s">
        <v>206</v>
      </c>
      <c r="AE703" s="1" t="s">
        <v>13420</v>
      </c>
      <c r="AF703" s="1" t="s">
        <v>13421</v>
      </c>
      <c r="AG703" s="1" t="s">
        <v>13422</v>
      </c>
      <c r="AH703" s="1" t="s">
        <v>13423</v>
      </c>
      <c r="AI703" s="1" t="s">
        <v>10073</v>
      </c>
      <c r="AJ703" s="1" t="s">
        <v>13424</v>
      </c>
      <c r="AK703" s="1" t="s">
        <v>13425</v>
      </c>
      <c r="AL703" s="1" t="s">
        <v>13426</v>
      </c>
      <c r="AM703" s="1" t="s">
        <v>82</v>
      </c>
      <c r="AN703" s="1">
        <v>32</v>
      </c>
      <c r="AO703" s="1">
        <v>0</v>
      </c>
      <c r="AP703" s="1">
        <v>0</v>
      </c>
      <c r="AQ703" s="1">
        <v>5</v>
      </c>
      <c r="AR703" s="1">
        <v>6</v>
      </c>
      <c r="AS703" s="1" t="s">
        <v>12853</v>
      </c>
      <c r="AT703" s="1" t="s">
        <v>12854</v>
      </c>
      <c r="AU703" s="1" t="s">
        <v>13249</v>
      </c>
      <c r="AV703" s="1" t="s">
        <v>12856</v>
      </c>
      <c r="AW703" s="1" t="s">
        <v>12857</v>
      </c>
      <c r="AX703" s="1" t="s">
        <v>82</v>
      </c>
      <c r="AY703" s="1" t="s">
        <v>12841</v>
      </c>
      <c r="AZ703" s="1" t="s">
        <v>12858</v>
      </c>
      <c r="BA703" s="1" t="s">
        <v>8243</v>
      </c>
      <c r="BB703" s="1">
        <v>2022</v>
      </c>
      <c r="BC703" s="1">
        <v>531</v>
      </c>
      <c r="BD703" s="1">
        <v>2</v>
      </c>
      <c r="BE703" s="1" t="s">
        <v>82</v>
      </c>
      <c r="BF703" s="1" t="s">
        <v>82</v>
      </c>
      <c r="BG703" s="1" t="s">
        <v>82</v>
      </c>
      <c r="BH703" s="1" t="s">
        <v>82</v>
      </c>
      <c r="BI703" s="1">
        <v>111</v>
      </c>
      <c r="BJ703" s="1">
        <v>119</v>
      </c>
      <c r="BK703" s="1" t="s">
        <v>82</v>
      </c>
      <c r="BL703" s="1" t="s">
        <v>13427</v>
      </c>
      <c r="BM703" s="1" t="str">
        <f>HYPERLINK("http://dx.doi.org/10.11646/phytotaxa.531.2.3","http://dx.doi.org/10.11646/phytotaxa.531.2.3")</f>
        <v>http://dx.doi.org/10.11646/phytotaxa.531.2.3</v>
      </c>
      <c r="BN703" s="1" t="s">
        <v>82</v>
      </c>
      <c r="BO703" s="1" t="s">
        <v>82</v>
      </c>
      <c r="BP703" s="1">
        <v>9</v>
      </c>
      <c r="BQ703" s="1" t="s">
        <v>378</v>
      </c>
      <c r="BR703" s="1" t="s">
        <v>104</v>
      </c>
      <c r="BS703" s="1" t="s">
        <v>378</v>
      </c>
      <c r="BT703" s="1" t="s">
        <v>13428</v>
      </c>
      <c r="BU703" s="1" t="s">
        <v>82</v>
      </c>
      <c r="BV703" s="1" t="s">
        <v>82</v>
      </c>
      <c r="BW703" s="1" t="s">
        <v>82</v>
      </c>
      <c r="BX703" s="1" t="s">
        <v>82</v>
      </c>
      <c r="BY703" s="1" t="s">
        <v>108</v>
      </c>
      <c r="BZ703" s="1" t="s">
        <v>13429</v>
      </c>
      <c r="CA703" s="1" t="str">
        <f>HYPERLINK("https%3A%2F%2Fwww.webofscience.com%2Fwos%2Fwoscc%2Ffull-record%2FWOS:000745926300003","View Full Record in Web of Science")</f>
        <v>View Full Record in Web of Science</v>
      </c>
    </row>
    <row r="704" s="1" customFormat="1" ht="14.4" spans="1:79">
      <c r="A704">
        <v>703</v>
      </c>
      <c r="B704" s="2" t="s">
        <v>79</v>
      </c>
      <c r="C704" s="1" t="s">
        <v>80</v>
      </c>
      <c r="D704" s="1" t="s">
        <v>13430</v>
      </c>
      <c r="E704" s="1" t="s">
        <v>82</v>
      </c>
      <c r="F704" s="1" t="s">
        <v>82</v>
      </c>
      <c r="G704" s="1" t="s">
        <v>82</v>
      </c>
      <c r="H704" s="1" t="s">
        <v>13431</v>
      </c>
      <c r="I704" s="1" t="s">
        <v>82</v>
      </c>
      <c r="J704" s="1" t="s">
        <v>82</v>
      </c>
      <c r="K704" s="1" t="s">
        <v>13432</v>
      </c>
      <c r="L704" s="1" t="s">
        <v>12841</v>
      </c>
      <c r="M704" s="1">
        <v>1.05</v>
      </c>
      <c r="O704" s="1" t="s">
        <v>82</v>
      </c>
      <c r="P704" s="1" t="s">
        <v>82</v>
      </c>
      <c r="Q704" s="1" t="s">
        <v>87</v>
      </c>
      <c r="R704" s="1" t="s">
        <v>115</v>
      </c>
      <c r="S704" s="1" t="s">
        <v>82</v>
      </c>
      <c r="T704" s="1" t="s">
        <v>82</v>
      </c>
      <c r="U704" s="1" t="s">
        <v>82</v>
      </c>
      <c r="V704" s="1" t="s">
        <v>82</v>
      </c>
      <c r="W704" s="1" t="s">
        <v>82</v>
      </c>
      <c r="X704" s="1" t="s">
        <v>13433</v>
      </c>
      <c r="Y704" s="1" t="s">
        <v>13434</v>
      </c>
      <c r="Z704" s="1" t="s">
        <v>13435</v>
      </c>
      <c r="AA704" s="1">
        <v>1</v>
      </c>
      <c r="AB704" s="1" t="s">
        <v>13436</v>
      </c>
      <c r="AC704" s="1" t="s">
        <v>13437</v>
      </c>
      <c r="AD704" s="1" t="s">
        <v>93</v>
      </c>
      <c r="AE704" s="1" t="s">
        <v>13092</v>
      </c>
      <c r="AF704" s="1" t="s">
        <v>13438</v>
      </c>
      <c r="AG704" s="1" t="s">
        <v>13439</v>
      </c>
      <c r="AH704" s="1" t="s">
        <v>13440</v>
      </c>
      <c r="AI704" s="1" t="s">
        <v>13441</v>
      </c>
      <c r="AJ704" s="1" t="s">
        <v>13442</v>
      </c>
      <c r="AK704" s="1" t="s">
        <v>13443</v>
      </c>
      <c r="AL704" s="1" t="s">
        <v>13444</v>
      </c>
      <c r="AM704" s="1" t="s">
        <v>82</v>
      </c>
      <c r="AN704" s="1">
        <v>43</v>
      </c>
      <c r="AO704" s="1">
        <v>1</v>
      </c>
      <c r="AP704" s="1">
        <v>1</v>
      </c>
      <c r="AQ704" s="1">
        <v>0</v>
      </c>
      <c r="AR704" s="1">
        <v>1</v>
      </c>
      <c r="AS704" s="1" t="s">
        <v>12853</v>
      </c>
      <c r="AT704" s="1" t="s">
        <v>12854</v>
      </c>
      <c r="AU704" s="1" t="s">
        <v>13249</v>
      </c>
      <c r="AV704" s="1" t="s">
        <v>12856</v>
      </c>
      <c r="AW704" s="1" t="s">
        <v>12857</v>
      </c>
      <c r="AX704" s="1" t="s">
        <v>82</v>
      </c>
      <c r="AY704" s="1" t="s">
        <v>12841</v>
      </c>
      <c r="AZ704" s="1" t="s">
        <v>12858</v>
      </c>
      <c r="BA704" s="1" t="s">
        <v>13445</v>
      </c>
      <c r="BB704" s="1">
        <v>2022</v>
      </c>
      <c r="BC704" s="1">
        <v>530</v>
      </c>
      <c r="BD704" s="1">
        <v>1</v>
      </c>
      <c r="BE704" s="1" t="s">
        <v>82</v>
      </c>
      <c r="BF704" s="1" t="s">
        <v>82</v>
      </c>
      <c r="BG704" s="1" t="s">
        <v>82</v>
      </c>
      <c r="BH704" s="1" t="s">
        <v>82</v>
      </c>
      <c r="BI704" s="1">
        <v>65</v>
      </c>
      <c r="BJ704" s="1">
        <v>76</v>
      </c>
      <c r="BK704" s="1" t="s">
        <v>82</v>
      </c>
      <c r="BL704" s="1" t="s">
        <v>13446</v>
      </c>
      <c r="BM704" s="1" t="str">
        <f>HYPERLINK("http://dx.doi.org/10.11646/phytotaxa.530.1.5","http://dx.doi.org/10.11646/phytotaxa.530.1.5")</f>
        <v>http://dx.doi.org/10.11646/phytotaxa.530.1.5</v>
      </c>
      <c r="BN704" s="1" t="s">
        <v>82</v>
      </c>
      <c r="BO704" s="1" t="s">
        <v>82</v>
      </c>
      <c r="BP704" s="1">
        <v>12</v>
      </c>
      <c r="BQ704" s="1" t="s">
        <v>378</v>
      </c>
      <c r="BR704" s="1" t="s">
        <v>104</v>
      </c>
      <c r="BS704" s="1" t="s">
        <v>378</v>
      </c>
      <c r="BT704" s="1" t="s">
        <v>13447</v>
      </c>
      <c r="BU704" s="1" t="s">
        <v>82</v>
      </c>
      <c r="BV704" s="1" t="s">
        <v>82</v>
      </c>
      <c r="BW704" s="1" t="s">
        <v>82</v>
      </c>
      <c r="BX704" s="1" t="s">
        <v>82</v>
      </c>
      <c r="BY704" s="1" t="s">
        <v>108</v>
      </c>
      <c r="BZ704" s="1" t="s">
        <v>13448</v>
      </c>
      <c r="CA704" s="1" t="str">
        <f>HYPERLINK("https%3A%2F%2Fwww.webofscience.com%2Fwos%2Fwoscc%2Ffull-record%2FWOS:000742531300005","View Full Record in Web of Science")</f>
        <v>View Full Record in Web of Science</v>
      </c>
    </row>
    <row r="705" s="1" customFormat="1" ht="14.4" spans="1:79">
      <c r="A705">
        <v>704</v>
      </c>
      <c r="B705" s="2" t="s">
        <v>79</v>
      </c>
      <c r="C705" s="1" t="s">
        <v>80</v>
      </c>
      <c r="D705" s="1" t="s">
        <v>13449</v>
      </c>
      <c r="E705" s="1" t="s">
        <v>82</v>
      </c>
      <c r="F705" s="1" t="s">
        <v>82</v>
      </c>
      <c r="G705" s="1" t="s">
        <v>82</v>
      </c>
      <c r="H705" s="1" t="s">
        <v>13450</v>
      </c>
      <c r="I705" s="1" t="s">
        <v>82</v>
      </c>
      <c r="J705" s="1" t="s">
        <v>82</v>
      </c>
      <c r="K705" s="1" t="s">
        <v>13451</v>
      </c>
      <c r="L705" s="1" t="s">
        <v>12841</v>
      </c>
      <c r="M705" s="1">
        <v>1.05</v>
      </c>
      <c r="O705" s="1" t="s">
        <v>82</v>
      </c>
      <c r="P705" s="1" t="s">
        <v>82</v>
      </c>
      <c r="Q705" s="1" t="s">
        <v>87</v>
      </c>
      <c r="R705" s="1" t="s">
        <v>115</v>
      </c>
      <c r="S705" s="1" t="s">
        <v>82</v>
      </c>
      <c r="T705" s="1" t="s">
        <v>82</v>
      </c>
      <c r="U705" s="1" t="s">
        <v>82</v>
      </c>
      <c r="V705" s="1" t="s">
        <v>82</v>
      </c>
      <c r="W705" s="1" t="s">
        <v>82</v>
      </c>
      <c r="X705" s="1" t="s">
        <v>13452</v>
      </c>
      <c r="Y705" s="1" t="s">
        <v>13453</v>
      </c>
      <c r="Z705" s="1" t="s">
        <v>13454</v>
      </c>
      <c r="AA705" s="1">
        <v>1</v>
      </c>
      <c r="AB705" s="1" t="s">
        <v>13455</v>
      </c>
      <c r="AC705" s="1" t="s">
        <v>13456</v>
      </c>
      <c r="AD705" s="1" t="s">
        <v>93</v>
      </c>
      <c r="AE705" s="1" t="s">
        <v>11546</v>
      </c>
      <c r="AF705" s="1" t="s">
        <v>13457</v>
      </c>
      <c r="AG705" s="1" t="s">
        <v>13458</v>
      </c>
      <c r="AH705" s="1" t="s">
        <v>82</v>
      </c>
      <c r="AI705" s="1" t="s">
        <v>13459</v>
      </c>
      <c r="AJ705" s="1" t="s">
        <v>13460</v>
      </c>
      <c r="AK705" s="1" t="s">
        <v>13461</v>
      </c>
      <c r="AL705" s="1" t="s">
        <v>13462</v>
      </c>
      <c r="AM705" s="1" t="s">
        <v>82</v>
      </c>
      <c r="AN705" s="1">
        <v>44</v>
      </c>
      <c r="AO705" s="1">
        <v>1</v>
      </c>
      <c r="AP705" s="1">
        <v>1</v>
      </c>
      <c r="AQ705" s="1">
        <v>3</v>
      </c>
      <c r="AR705" s="1">
        <v>6</v>
      </c>
      <c r="AS705" s="1" t="s">
        <v>12853</v>
      </c>
      <c r="AT705" s="1" t="s">
        <v>12854</v>
      </c>
      <c r="AU705" s="1" t="s">
        <v>13249</v>
      </c>
      <c r="AV705" s="1" t="s">
        <v>12856</v>
      </c>
      <c r="AW705" s="1" t="s">
        <v>12857</v>
      </c>
      <c r="AX705" s="1" t="s">
        <v>82</v>
      </c>
      <c r="AY705" s="1" t="s">
        <v>12841</v>
      </c>
      <c r="AZ705" s="1" t="s">
        <v>12858</v>
      </c>
      <c r="BA705" s="1" t="s">
        <v>13463</v>
      </c>
      <c r="BB705" s="1">
        <v>2022</v>
      </c>
      <c r="BC705" s="1">
        <v>530</v>
      </c>
      <c r="BD705" s="1">
        <v>2</v>
      </c>
      <c r="BE705" s="1" t="s">
        <v>82</v>
      </c>
      <c r="BF705" s="1" t="s">
        <v>82</v>
      </c>
      <c r="BG705" s="1" t="s">
        <v>82</v>
      </c>
      <c r="BH705" s="1" t="s">
        <v>82</v>
      </c>
      <c r="BI705" s="1">
        <v>177</v>
      </c>
      <c r="BJ705" s="1">
        <v>188</v>
      </c>
      <c r="BK705" s="1" t="s">
        <v>82</v>
      </c>
      <c r="BL705" s="1" t="s">
        <v>13464</v>
      </c>
      <c r="BM705" s="1" t="str">
        <f>HYPERLINK("http://dx.doi.org/10.11646/phytotaxa.530.2.4","http://dx.doi.org/10.11646/phytotaxa.530.2.4")</f>
        <v>http://dx.doi.org/10.11646/phytotaxa.530.2.4</v>
      </c>
      <c r="BN705" s="1" t="s">
        <v>82</v>
      </c>
      <c r="BO705" s="1" t="s">
        <v>82</v>
      </c>
      <c r="BP705" s="1">
        <v>12</v>
      </c>
      <c r="BQ705" s="1" t="s">
        <v>378</v>
      </c>
      <c r="BR705" s="1" t="s">
        <v>104</v>
      </c>
      <c r="BS705" s="1" t="s">
        <v>378</v>
      </c>
      <c r="BT705" s="1" t="s">
        <v>13465</v>
      </c>
      <c r="BU705" s="1" t="s">
        <v>82</v>
      </c>
      <c r="BV705" s="1" t="s">
        <v>82</v>
      </c>
      <c r="BW705" s="1" t="s">
        <v>82</v>
      </c>
      <c r="BX705" s="1" t="s">
        <v>82</v>
      </c>
      <c r="BY705" s="1" t="s">
        <v>108</v>
      </c>
      <c r="BZ705" s="1" t="s">
        <v>13466</v>
      </c>
      <c r="CA705" s="1" t="str">
        <f>HYPERLINK("https%3A%2F%2Fwww.webofscience.com%2Fwos%2Fwoscc%2Ffull-record%2FWOS:000743469500004","View Full Record in Web of Science")</f>
        <v>View Full Record in Web of Science</v>
      </c>
    </row>
    <row r="706" s="1" customFormat="1" ht="14.4" spans="1:79">
      <c r="A706">
        <v>705</v>
      </c>
      <c r="B706" s="2" t="s">
        <v>79</v>
      </c>
      <c r="C706" s="1" t="s">
        <v>80</v>
      </c>
      <c r="D706" s="1" t="s">
        <v>13467</v>
      </c>
      <c r="E706" s="1" t="s">
        <v>82</v>
      </c>
      <c r="F706" s="1" t="s">
        <v>82</v>
      </c>
      <c r="G706" s="1" t="s">
        <v>82</v>
      </c>
      <c r="H706" s="1" t="s">
        <v>13468</v>
      </c>
      <c r="I706" s="1" t="s">
        <v>82</v>
      </c>
      <c r="J706" s="1" t="s">
        <v>82</v>
      </c>
      <c r="K706" s="1" t="s">
        <v>13469</v>
      </c>
      <c r="L706" s="1" t="s">
        <v>13470</v>
      </c>
      <c r="M706" s="1">
        <v>0.94</v>
      </c>
      <c r="O706" s="1" t="s">
        <v>82</v>
      </c>
      <c r="P706" s="1" t="s">
        <v>82</v>
      </c>
      <c r="Q706" s="1" t="s">
        <v>87</v>
      </c>
      <c r="R706" s="1" t="s">
        <v>115</v>
      </c>
      <c r="S706" s="1" t="s">
        <v>82</v>
      </c>
      <c r="T706" s="1" t="s">
        <v>82</v>
      </c>
      <c r="U706" s="1" t="s">
        <v>82</v>
      </c>
      <c r="V706" s="1" t="s">
        <v>82</v>
      </c>
      <c r="W706" s="1" t="s">
        <v>82</v>
      </c>
      <c r="X706" s="1" t="s">
        <v>13471</v>
      </c>
      <c r="Y706" s="1" t="s">
        <v>13472</v>
      </c>
      <c r="Z706" s="1" t="s">
        <v>13473</v>
      </c>
      <c r="AA706" s="1">
        <v>1</v>
      </c>
      <c r="AB706" s="1" t="s">
        <v>10290</v>
      </c>
      <c r="AC706" s="1" t="s">
        <v>13474</v>
      </c>
      <c r="AD706" s="1" t="s">
        <v>93</v>
      </c>
      <c r="AE706" s="1" t="s">
        <v>13475</v>
      </c>
      <c r="AF706" s="1" t="s">
        <v>13476</v>
      </c>
      <c r="AG706" s="1" t="s">
        <v>13477</v>
      </c>
      <c r="AH706" s="1" t="s">
        <v>13478</v>
      </c>
      <c r="AI706" s="1" t="s">
        <v>13479</v>
      </c>
      <c r="AJ706" s="1" t="s">
        <v>13480</v>
      </c>
      <c r="AK706" s="1" t="s">
        <v>13481</v>
      </c>
      <c r="AL706" s="1" t="s">
        <v>13482</v>
      </c>
      <c r="AM706" s="1" t="s">
        <v>82</v>
      </c>
      <c r="AN706" s="1">
        <v>56</v>
      </c>
      <c r="AO706" s="1">
        <v>0</v>
      </c>
      <c r="AP706" s="1">
        <v>0</v>
      </c>
      <c r="AQ706" s="1">
        <v>2</v>
      </c>
      <c r="AR706" s="1">
        <v>6</v>
      </c>
      <c r="AS706" s="1" t="s">
        <v>13483</v>
      </c>
      <c r="AT706" s="1" t="s">
        <v>13484</v>
      </c>
      <c r="AU706" s="1" t="s">
        <v>13485</v>
      </c>
      <c r="AV706" s="1" t="s">
        <v>13486</v>
      </c>
      <c r="AW706" s="1" t="s">
        <v>13487</v>
      </c>
      <c r="AX706" s="1" t="s">
        <v>82</v>
      </c>
      <c r="AY706" s="1" t="s">
        <v>13488</v>
      </c>
      <c r="AZ706" s="1" t="s">
        <v>13489</v>
      </c>
      <c r="BA706" s="1" t="s">
        <v>13490</v>
      </c>
      <c r="BB706" s="1">
        <v>2022</v>
      </c>
      <c r="BC706" s="1">
        <v>100</v>
      </c>
      <c r="BD706" s="1">
        <v>2</v>
      </c>
      <c r="BE706" s="1" t="s">
        <v>82</v>
      </c>
      <c r="BF706" s="1" t="s">
        <v>82</v>
      </c>
      <c r="BG706" s="1" t="s">
        <v>82</v>
      </c>
      <c r="BH706" s="1" t="s">
        <v>82</v>
      </c>
      <c r="BI706" s="1">
        <v>397</v>
      </c>
      <c r="BJ706" s="1">
        <v>411</v>
      </c>
      <c r="BK706" s="1" t="s">
        <v>82</v>
      </c>
      <c r="BL706" s="1" t="s">
        <v>13491</v>
      </c>
      <c r="BM706" s="1" t="str">
        <f>HYPERLINK("http://dx.doi.org/10.17129/botsci.2830","http://dx.doi.org/10.17129/botsci.2830")</f>
        <v>http://dx.doi.org/10.17129/botsci.2830</v>
      </c>
      <c r="BN706" s="1" t="s">
        <v>82</v>
      </c>
      <c r="BO706" s="1" t="s">
        <v>1462</v>
      </c>
      <c r="BP706" s="1">
        <v>15</v>
      </c>
      <c r="BQ706" s="1" t="s">
        <v>378</v>
      </c>
      <c r="BR706" s="1" t="s">
        <v>104</v>
      </c>
      <c r="BS706" s="1" t="s">
        <v>378</v>
      </c>
      <c r="BT706" s="1" t="s">
        <v>13492</v>
      </c>
      <c r="BU706" s="1" t="s">
        <v>82</v>
      </c>
      <c r="BV706" s="1" t="s">
        <v>808</v>
      </c>
      <c r="BW706" s="1" t="s">
        <v>82</v>
      </c>
      <c r="BX706" s="1" t="s">
        <v>82</v>
      </c>
      <c r="BY706" s="1" t="s">
        <v>108</v>
      </c>
      <c r="BZ706" s="1" t="s">
        <v>13493</v>
      </c>
      <c r="CA706" s="1" t="str">
        <f>HYPERLINK("https%3A%2F%2Fwww.webofscience.com%2Fwos%2Fwoscc%2Ffull-record%2FWOS:000750868900001","View Full Record in Web of Science")</f>
        <v>View Full Record in Web of Science</v>
      </c>
    </row>
    <row r="707" s="1" customFormat="1" ht="14.4" spans="1:79">
      <c r="A707">
        <v>706</v>
      </c>
      <c r="B707" s="2" t="s">
        <v>79</v>
      </c>
      <c r="C707" s="1" t="s">
        <v>80</v>
      </c>
      <c r="D707" s="1" t="s">
        <v>13494</v>
      </c>
      <c r="E707" s="1" t="s">
        <v>82</v>
      </c>
      <c r="F707" s="1" t="s">
        <v>82</v>
      </c>
      <c r="G707" s="1" t="s">
        <v>82</v>
      </c>
      <c r="H707" s="1" t="s">
        <v>13495</v>
      </c>
      <c r="I707" s="1" t="s">
        <v>82</v>
      </c>
      <c r="J707" s="1" t="s">
        <v>82</v>
      </c>
      <c r="K707" s="1" t="s">
        <v>13496</v>
      </c>
      <c r="L707" s="1" t="s">
        <v>13497</v>
      </c>
      <c r="M707" s="1">
        <v>0.933</v>
      </c>
      <c r="O707" s="1" t="s">
        <v>82</v>
      </c>
      <c r="P707" s="1" t="s">
        <v>82</v>
      </c>
      <c r="Q707" s="1" t="s">
        <v>87</v>
      </c>
      <c r="R707" s="1" t="s">
        <v>115</v>
      </c>
      <c r="S707" s="1" t="s">
        <v>82</v>
      </c>
      <c r="T707" s="1" t="s">
        <v>82</v>
      </c>
      <c r="U707" s="1" t="s">
        <v>82</v>
      </c>
      <c r="V707" s="1" t="s">
        <v>82</v>
      </c>
      <c r="W707" s="1" t="s">
        <v>82</v>
      </c>
      <c r="X707" s="1" t="s">
        <v>13498</v>
      </c>
      <c r="Y707" s="1" t="s">
        <v>13499</v>
      </c>
      <c r="Z707" s="1" t="s">
        <v>13500</v>
      </c>
      <c r="AA707" s="1">
        <v>1</v>
      </c>
      <c r="AB707" s="1" t="s">
        <v>3216</v>
      </c>
      <c r="AC707" s="1" t="s">
        <v>13501</v>
      </c>
      <c r="AD707" s="1" t="s">
        <v>93</v>
      </c>
      <c r="AE707" s="1" t="s">
        <v>2785</v>
      </c>
      <c r="AF707" s="1" t="s">
        <v>13502</v>
      </c>
      <c r="AG707" s="1" t="s">
        <v>12376</v>
      </c>
      <c r="AH707" s="1" t="s">
        <v>82</v>
      </c>
      <c r="AI707" s="1" t="s">
        <v>82</v>
      </c>
      <c r="AJ707" s="1" t="s">
        <v>13503</v>
      </c>
      <c r="AK707" s="1" t="s">
        <v>13504</v>
      </c>
      <c r="AL707" s="1" t="s">
        <v>13505</v>
      </c>
      <c r="AM707" s="1" t="s">
        <v>82</v>
      </c>
      <c r="AN707" s="1">
        <v>15</v>
      </c>
      <c r="AO707" s="1">
        <v>3</v>
      </c>
      <c r="AP707" s="1">
        <v>3</v>
      </c>
      <c r="AQ707" s="1">
        <v>4</v>
      </c>
      <c r="AR707" s="1">
        <v>4</v>
      </c>
      <c r="AS707" s="1" t="s">
        <v>13506</v>
      </c>
      <c r="AT707" s="1" t="s">
        <v>13507</v>
      </c>
      <c r="AU707" s="1" t="s">
        <v>13508</v>
      </c>
      <c r="AV707" s="1" t="s">
        <v>13509</v>
      </c>
      <c r="AW707" s="1" t="s">
        <v>13510</v>
      </c>
      <c r="AX707" s="1" t="s">
        <v>82</v>
      </c>
      <c r="AY707" s="1" t="s">
        <v>13511</v>
      </c>
      <c r="AZ707" s="1" t="s">
        <v>13512</v>
      </c>
      <c r="BA707" s="1" t="s">
        <v>13513</v>
      </c>
      <c r="BB707" s="1">
        <v>2022</v>
      </c>
      <c r="BC707" s="1">
        <v>47</v>
      </c>
      <c r="BD707" s="1">
        <v>1</v>
      </c>
      <c r="BE707" s="1" t="s">
        <v>82</v>
      </c>
      <c r="BF707" s="1" t="s">
        <v>82</v>
      </c>
      <c r="BG707" s="1" t="s">
        <v>82</v>
      </c>
      <c r="BH707" s="1" t="s">
        <v>82</v>
      </c>
      <c r="BI707" s="1">
        <v>251</v>
      </c>
      <c r="BJ707" s="1">
        <v>258</v>
      </c>
      <c r="BK707" s="1" t="s">
        <v>82</v>
      </c>
      <c r="BL707" s="1" t="s">
        <v>13514</v>
      </c>
      <c r="BM707" s="1" t="str">
        <f>HYPERLINK("http://dx.doi.org/10.1600/036364422X16442668423572","http://dx.doi.org/10.1600/036364422X16442668423572")</f>
        <v>http://dx.doi.org/10.1600/036364422X16442668423572</v>
      </c>
      <c r="BN707" s="1" t="s">
        <v>82</v>
      </c>
      <c r="BO707" s="1" t="s">
        <v>82</v>
      </c>
      <c r="BP707" s="1">
        <v>8</v>
      </c>
      <c r="BQ707" s="1" t="s">
        <v>10963</v>
      </c>
      <c r="BR707" s="1" t="s">
        <v>104</v>
      </c>
      <c r="BS707" s="1" t="s">
        <v>10963</v>
      </c>
      <c r="BT707" s="1" t="s">
        <v>13515</v>
      </c>
      <c r="BU707" s="1" t="s">
        <v>82</v>
      </c>
      <c r="BV707" s="1" t="s">
        <v>427</v>
      </c>
      <c r="BW707" s="1" t="s">
        <v>82</v>
      </c>
      <c r="BX707" s="1" t="s">
        <v>82</v>
      </c>
      <c r="BY707" s="1" t="s">
        <v>108</v>
      </c>
      <c r="BZ707" s="1" t="s">
        <v>13516</v>
      </c>
      <c r="CA707" s="1" t="str">
        <f>HYPERLINK("https%3A%2F%2Fwww.webofscience.com%2Fwos%2Fwoscc%2Ffull-record%2FWOS:000815776200019","View Full Record in Web of Science")</f>
        <v>View Full Record in Web of Science</v>
      </c>
    </row>
    <row r="708" s="1" customFormat="1" ht="14.4" spans="1:79">
      <c r="A708">
        <v>707</v>
      </c>
      <c r="B708" s="2" t="s">
        <v>79</v>
      </c>
      <c r="C708" s="1" t="s">
        <v>80</v>
      </c>
      <c r="D708" s="1" t="s">
        <v>13517</v>
      </c>
      <c r="E708" s="1" t="s">
        <v>82</v>
      </c>
      <c r="F708" s="1" t="s">
        <v>82</v>
      </c>
      <c r="G708" s="1" t="s">
        <v>82</v>
      </c>
      <c r="H708" s="1" t="s">
        <v>13518</v>
      </c>
      <c r="I708" s="1" t="s">
        <v>82</v>
      </c>
      <c r="J708" s="1" t="s">
        <v>82</v>
      </c>
      <c r="K708" s="1" t="s">
        <v>13519</v>
      </c>
      <c r="L708" s="1" t="s">
        <v>13520</v>
      </c>
      <c r="M708" s="1">
        <v>0.931</v>
      </c>
      <c r="O708" s="1" t="s">
        <v>82</v>
      </c>
      <c r="P708" s="1" t="s">
        <v>82</v>
      </c>
      <c r="Q708" s="1" t="s">
        <v>87</v>
      </c>
      <c r="R708" s="1" t="s">
        <v>115</v>
      </c>
      <c r="S708" s="1" t="s">
        <v>82</v>
      </c>
      <c r="T708" s="1" t="s">
        <v>82</v>
      </c>
      <c r="U708" s="1" t="s">
        <v>82</v>
      </c>
      <c r="V708" s="1" t="s">
        <v>82</v>
      </c>
      <c r="W708" s="1" t="s">
        <v>82</v>
      </c>
      <c r="X708" s="1" t="s">
        <v>13521</v>
      </c>
      <c r="Y708" s="1" t="s">
        <v>13522</v>
      </c>
      <c r="Z708" s="1" t="s">
        <v>13523</v>
      </c>
      <c r="AB708" s="1" t="s">
        <v>13524</v>
      </c>
      <c r="AC708" s="1" t="s">
        <v>13525</v>
      </c>
      <c r="AD708" s="1" t="s">
        <v>120</v>
      </c>
      <c r="AE708" s="1" t="s">
        <v>13526</v>
      </c>
      <c r="AF708" s="1" t="s">
        <v>13527</v>
      </c>
      <c r="AG708" s="1" t="s">
        <v>13528</v>
      </c>
      <c r="AH708" s="1" t="s">
        <v>13529</v>
      </c>
      <c r="AI708" s="1" t="s">
        <v>13530</v>
      </c>
      <c r="AJ708" s="1" t="s">
        <v>13531</v>
      </c>
      <c r="AK708" s="1" t="s">
        <v>13531</v>
      </c>
      <c r="AL708" s="1" t="s">
        <v>13532</v>
      </c>
      <c r="AM708" s="1" t="s">
        <v>82</v>
      </c>
      <c r="AN708" s="1">
        <v>108</v>
      </c>
      <c r="AO708" s="1">
        <v>0</v>
      </c>
      <c r="AP708" s="1">
        <v>0</v>
      </c>
      <c r="AQ708" s="1">
        <v>5</v>
      </c>
      <c r="AR708" s="1">
        <v>5</v>
      </c>
      <c r="AS708" s="1" t="s">
        <v>1002</v>
      </c>
      <c r="AT708" s="1" t="s">
        <v>1003</v>
      </c>
      <c r="AU708" s="1" t="s">
        <v>1004</v>
      </c>
      <c r="AV708" s="1" t="s">
        <v>13533</v>
      </c>
      <c r="AW708" s="1" t="s">
        <v>13534</v>
      </c>
      <c r="AX708" s="1" t="s">
        <v>82</v>
      </c>
      <c r="AY708" s="1" t="s">
        <v>13535</v>
      </c>
      <c r="AZ708" s="1" t="s">
        <v>13536</v>
      </c>
      <c r="BA708" s="1" t="s">
        <v>486</v>
      </c>
      <c r="BB708" s="1">
        <v>2022</v>
      </c>
      <c r="BC708" s="1">
        <v>2022</v>
      </c>
      <c r="BD708" s="1">
        <v>11</v>
      </c>
      <c r="BE708" s="1" t="s">
        <v>82</v>
      </c>
      <c r="BF708" s="1" t="s">
        <v>82</v>
      </c>
      <c r="BG708" s="1" t="s">
        <v>82</v>
      </c>
      <c r="BH708" s="1" t="s">
        <v>82</v>
      </c>
      <c r="BI708" s="1" t="s">
        <v>82</v>
      </c>
      <c r="BJ708" s="1" t="s">
        <v>82</v>
      </c>
      <c r="BK708" s="1" t="s">
        <v>82</v>
      </c>
      <c r="BL708" s="1" t="s">
        <v>13537</v>
      </c>
      <c r="BM708" s="1" t="str">
        <f>HYPERLINK("http://dx.doi.org/10.1111/njb.03706","http://dx.doi.org/10.1111/njb.03706")</f>
        <v>http://dx.doi.org/10.1111/njb.03706</v>
      </c>
      <c r="BN708" s="1" t="s">
        <v>82</v>
      </c>
      <c r="BO708" s="1" t="s">
        <v>2084</v>
      </c>
      <c r="BP708" s="1">
        <v>13</v>
      </c>
      <c r="BQ708" s="1" t="s">
        <v>378</v>
      </c>
      <c r="BR708" s="1" t="s">
        <v>104</v>
      </c>
      <c r="BS708" s="1" t="s">
        <v>378</v>
      </c>
      <c r="BT708" s="1" t="s">
        <v>13538</v>
      </c>
      <c r="BU708" s="1" t="s">
        <v>82</v>
      </c>
      <c r="BV708" s="1" t="s">
        <v>82</v>
      </c>
      <c r="BW708" s="1" t="s">
        <v>82</v>
      </c>
      <c r="BX708" s="1" t="s">
        <v>82</v>
      </c>
      <c r="BY708" s="1" t="s">
        <v>108</v>
      </c>
      <c r="BZ708" s="1" t="s">
        <v>13539</v>
      </c>
      <c r="CA708" s="1" t="str">
        <f>HYPERLINK("https%3A%2F%2Fwww.webofscience.com%2Fwos%2Fwoscc%2Ffull-record%2FWOS:000871399500001","View Full Record in Web of Science")</f>
        <v>View Full Record in Web of Science</v>
      </c>
    </row>
    <row r="709" s="1" customFormat="1" ht="14.4" spans="1:79">
      <c r="A709">
        <v>708</v>
      </c>
      <c r="B709" s="2" t="s">
        <v>79</v>
      </c>
      <c r="C709" s="1" t="s">
        <v>80</v>
      </c>
      <c r="D709" s="1" t="s">
        <v>13540</v>
      </c>
      <c r="E709" s="1" t="s">
        <v>82</v>
      </c>
      <c r="F709" s="1" t="s">
        <v>82</v>
      </c>
      <c r="G709" s="1" t="s">
        <v>82</v>
      </c>
      <c r="H709" s="1" t="s">
        <v>13541</v>
      </c>
      <c r="I709" s="1" t="s">
        <v>82</v>
      </c>
      <c r="J709" s="1" t="s">
        <v>82</v>
      </c>
      <c r="K709" s="1" t="s">
        <v>13542</v>
      </c>
      <c r="L709" s="1" t="s">
        <v>13520</v>
      </c>
      <c r="M709" s="1">
        <v>0.931</v>
      </c>
      <c r="O709" s="1" t="s">
        <v>82</v>
      </c>
      <c r="P709" s="1" t="s">
        <v>82</v>
      </c>
      <c r="Q709" s="1" t="s">
        <v>87</v>
      </c>
      <c r="R709" s="1" t="s">
        <v>115</v>
      </c>
      <c r="S709" s="1" t="s">
        <v>82</v>
      </c>
      <c r="T709" s="1" t="s">
        <v>82</v>
      </c>
      <c r="U709" s="1" t="s">
        <v>82</v>
      </c>
      <c r="V709" s="1" t="s">
        <v>82</v>
      </c>
      <c r="W709" s="1" t="s">
        <v>82</v>
      </c>
      <c r="X709" s="1" t="s">
        <v>13543</v>
      </c>
      <c r="Y709" s="1" t="s">
        <v>82</v>
      </c>
      <c r="Z709" s="1" t="s">
        <v>13544</v>
      </c>
      <c r="AB709" s="1" t="s">
        <v>13545</v>
      </c>
      <c r="AC709" s="1" t="s">
        <v>13546</v>
      </c>
      <c r="AD709" s="1" t="s">
        <v>206</v>
      </c>
      <c r="AE709" s="1" t="s">
        <v>13547</v>
      </c>
      <c r="AF709" s="1" t="s">
        <v>13548</v>
      </c>
      <c r="AG709" s="1" t="s">
        <v>13549</v>
      </c>
      <c r="AH709" s="1" t="s">
        <v>13550</v>
      </c>
      <c r="AI709" s="1" t="s">
        <v>13551</v>
      </c>
      <c r="AJ709" s="1" t="s">
        <v>13552</v>
      </c>
      <c r="AK709" s="1" t="s">
        <v>13552</v>
      </c>
      <c r="AL709" s="1" t="s">
        <v>13553</v>
      </c>
      <c r="AM709" s="1" t="s">
        <v>82</v>
      </c>
      <c r="AN709" s="1">
        <v>15</v>
      </c>
      <c r="AO709" s="1">
        <v>0</v>
      </c>
      <c r="AP709" s="1">
        <v>0</v>
      </c>
      <c r="AQ709" s="1">
        <v>3</v>
      </c>
      <c r="AR709" s="1">
        <v>7</v>
      </c>
      <c r="AS709" s="1" t="s">
        <v>1002</v>
      </c>
      <c r="AT709" s="1" t="s">
        <v>1003</v>
      </c>
      <c r="AU709" s="1" t="s">
        <v>1004</v>
      </c>
      <c r="AV709" s="1" t="s">
        <v>13533</v>
      </c>
      <c r="AW709" s="1" t="s">
        <v>13534</v>
      </c>
      <c r="AX709" s="1" t="s">
        <v>82</v>
      </c>
      <c r="AY709" s="1" t="s">
        <v>13535</v>
      </c>
      <c r="AZ709" s="1" t="s">
        <v>13536</v>
      </c>
      <c r="BA709" s="1" t="s">
        <v>1146</v>
      </c>
      <c r="BB709" s="1">
        <v>2022</v>
      </c>
      <c r="BC709" s="1">
        <v>2022</v>
      </c>
      <c r="BD709" s="1">
        <v>6</v>
      </c>
      <c r="BE709" s="1" t="s">
        <v>82</v>
      </c>
      <c r="BF709" s="1" t="s">
        <v>82</v>
      </c>
      <c r="BG709" s="1" t="s">
        <v>82</v>
      </c>
      <c r="BH709" s="1" t="s">
        <v>82</v>
      </c>
      <c r="BI709" s="1" t="s">
        <v>82</v>
      </c>
      <c r="BJ709" s="1" t="s">
        <v>82</v>
      </c>
      <c r="BK709" s="1" t="s">
        <v>13554</v>
      </c>
      <c r="BL709" s="1" t="s">
        <v>13555</v>
      </c>
      <c r="BM709" s="1" t="str">
        <f>HYPERLINK("http://dx.doi.org/10.1111/njb.03568","http://dx.doi.org/10.1111/njb.03568")</f>
        <v>http://dx.doi.org/10.1111/njb.03568</v>
      </c>
      <c r="BN709" s="1" t="s">
        <v>82</v>
      </c>
      <c r="BO709" s="1" t="s">
        <v>282</v>
      </c>
      <c r="BP709" s="1">
        <v>11</v>
      </c>
      <c r="BQ709" s="1" t="s">
        <v>378</v>
      </c>
      <c r="BR709" s="1" t="s">
        <v>104</v>
      </c>
      <c r="BS709" s="1" t="s">
        <v>378</v>
      </c>
      <c r="BT709" s="1" t="s">
        <v>13556</v>
      </c>
      <c r="BU709" s="1" t="s">
        <v>82</v>
      </c>
      <c r="BV709" s="1" t="s">
        <v>82</v>
      </c>
      <c r="BW709" s="1" t="s">
        <v>82</v>
      </c>
      <c r="BX709" s="1" t="s">
        <v>82</v>
      </c>
      <c r="BY709" s="1" t="s">
        <v>108</v>
      </c>
      <c r="BZ709" s="1" t="s">
        <v>13557</v>
      </c>
      <c r="CA709" s="1" t="str">
        <f>HYPERLINK("https%3A%2F%2Fwww.webofscience.com%2Fwos%2Fwoscc%2Ffull-record%2FWOS:000768415100001","View Full Record in Web of Science")</f>
        <v>View Full Record in Web of Science</v>
      </c>
    </row>
    <row r="710" s="1" customFormat="1" ht="14.4" spans="1:79">
      <c r="A710">
        <v>709</v>
      </c>
      <c r="B710" t="s">
        <v>110</v>
      </c>
      <c r="C710" t="s">
        <v>80</v>
      </c>
      <c r="D710" t="s">
        <v>13558</v>
      </c>
      <c r="E710" t="s">
        <v>82</v>
      </c>
      <c r="F710" t="s">
        <v>82</v>
      </c>
      <c r="G710" t="s">
        <v>82</v>
      </c>
      <c r="H710" t="s">
        <v>13559</v>
      </c>
      <c r="I710" t="s">
        <v>82</v>
      </c>
      <c r="J710" t="s">
        <v>82</v>
      </c>
      <c r="K710" t="s">
        <v>13560</v>
      </c>
      <c r="L710" t="s">
        <v>13561</v>
      </c>
      <c r="M710">
        <v>0.862</v>
      </c>
      <c r="N710"/>
      <c r="O710" t="s">
        <v>82</v>
      </c>
      <c r="P710" t="s">
        <v>82</v>
      </c>
      <c r="Q710" t="s">
        <v>87</v>
      </c>
      <c r="R710" t="s">
        <v>115</v>
      </c>
      <c r="S710" t="s">
        <v>82</v>
      </c>
      <c r="T710" t="s">
        <v>82</v>
      </c>
      <c r="U710" t="s">
        <v>82</v>
      </c>
      <c r="V710" t="s">
        <v>82</v>
      </c>
      <c r="W710" t="s">
        <v>82</v>
      </c>
      <c r="X710" t="s">
        <v>13562</v>
      </c>
      <c r="Y710" t="s">
        <v>82</v>
      </c>
      <c r="Z710" t="s">
        <v>13563</v>
      </c>
      <c r="AA710"/>
      <c r="AB710" t="s">
        <v>13564</v>
      </c>
      <c r="AC710" t="s">
        <v>13565</v>
      </c>
      <c r="AD710" s="1" t="s">
        <v>120</v>
      </c>
      <c r="AE710" t="s">
        <v>94</v>
      </c>
      <c r="AF710" t="s">
        <v>13566</v>
      </c>
      <c r="AG710" t="s">
        <v>13567</v>
      </c>
      <c r="AH710" t="s">
        <v>82</v>
      </c>
      <c r="AI710" t="s">
        <v>82</v>
      </c>
      <c r="AJ710" t="s">
        <v>13568</v>
      </c>
      <c r="AK710" t="s">
        <v>13569</v>
      </c>
      <c r="AL710" t="s">
        <v>13570</v>
      </c>
      <c r="AM710" t="s">
        <v>82</v>
      </c>
      <c r="AN710">
        <v>10</v>
      </c>
      <c r="AO710">
        <v>0</v>
      </c>
      <c r="AP710">
        <v>0</v>
      </c>
      <c r="AQ710">
        <v>0</v>
      </c>
      <c r="AR710">
        <v>0</v>
      </c>
      <c r="AS710" t="s">
        <v>13571</v>
      </c>
      <c r="AT710" t="s">
        <v>216</v>
      </c>
      <c r="AU710" t="s">
        <v>13572</v>
      </c>
      <c r="AV710" t="s">
        <v>13573</v>
      </c>
      <c r="AW710" t="s">
        <v>13574</v>
      </c>
      <c r="AX710" t="s">
        <v>82</v>
      </c>
      <c r="AY710" t="s">
        <v>13575</v>
      </c>
      <c r="AZ710" t="s">
        <v>13576</v>
      </c>
      <c r="BA710" t="s">
        <v>2123</v>
      </c>
      <c r="BB710">
        <v>2022</v>
      </c>
      <c r="BC710">
        <v>58</v>
      </c>
      <c r="BD710">
        <v>12</v>
      </c>
      <c r="BE710" t="s">
        <v>82</v>
      </c>
      <c r="BF710" t="s">
        <v>82</v>
      </c>
      <c r="BG710" t="s">
        <v>82</v>
      </c>
      <c r="BH710" t="s">
        <v>82</v>
      </c>
      <c r="BI710">
        <v>1861</v>
      </c>
      <c r="BJ710">
        <v>1867</v>
      </c>
      <c r="BK710" t="s">
        <v>82</v>
      </c>
      <c r="BL710" t="s">
        <v>13577</v>
      </c>
      <c r="BM710" t="s">
        <v>13578</v>
      </c>
      <c r="BN710" t="s">
        <v>82</v>
      </c>
      <c r="BO710" t="s">
        <v>82</v>
      </c>
      <c r="BP710">
        <v>7</v>
      </c>
      <c r="BQ710" t="s">
        <v>4190</v>
      </c>
      <c r="BR710" t="s">
        <v>104</v>
      </c>
      <c r="BS710" t="s">
        <v>706</v>
      </c>
      <c r="BT710" t="s">
        <v>13579</v>
      </c>
      <c r="BU710" t="s">
        <v>82</v>
      </c>
      <c r="BV710" t="s">
        <v>82</v>
      </c>
      <c r="BW710" t="s">
        <v>82</v>
      </c>
      <c r="BX710" t="s">
        <v>82</v>
      </c>
      <c r="BY710" t="s">
        <v>340</v>
      </c>
      <c r="BZ710" t="s">
        <v>13580</v>
      </c>
      <c r="CA710" t="s">
        <v>342</v>
      </c>
    </row>
    <row r="711" s="1" customFormat="1" ht="14.4" spans="1:79">
      <c r="A711">
        <v>710</v>
      </c>
      <c r="B711" s="2" t="s">
        <v>110</v>
      </c>
      <c r="C711" s="1" t="s">
        <v>80</v>
      </c>
      <c r="D711" s="1" t="s">
        <v>13581</v>
      </c>
      <c r="E711" s="1" t="s">
        <v>82</v>
      </c>
      <c r="F711" s="1" t="s">
        <v>82</v>
      </c>
      <c r="G711" s="1" t="s">
        <v>82</v>
      </c>
      <c r="H711" s="1" t="s">
        <v>13582</v>
      </c>
      <c r="I711" s="1" t="s">
        <v>82</v>
      </c>
      <c r="J711" s="1" t="s">
        <v>82</v>
      </c>
      <c r="K711" s="1" t="s">
        <v>13583</v>
      </c>
      <c r="L711" s="1" t="s">
        <v>13584</v>
      </c>
      <c r="M711" s="1">
        <v>0.83</v>
      </c>
      <c r="O711" s="1" t="s">
        <v>82</v>
      </c>
      <c r="P711" s="1" t="s">
        <v>82</v>
      </c>
      <c r="Q711" s="1" t="s">
        <v>87</v>
      </c>
      <c r="R711" s="1" t="s">
        <v>115</v>
      </c>
      <c r="S711" s="1" t="s">
        <v>82</v>
      </c>
      <c r="T711" s="1" t="s">
        <v>82</v>
      </c>
      <c r="U711" s="1" t="s">
        <v>82</v>
      </c>
      <c r="V711" s="1" t="s">
        <v>82</v>
      </c>
      <c r="W711" s="1" t="s">
        <v>82</v>
      </c>
      <c r="X711" s="1" t="s">
        <v>13585</v>
      </c>
      <c r="Y711" s="1" t="s">
        <v>13586</v>
      </c>
      <c r="Z711" s="1" t="s">
        <v>13587</v>
      </c>
      <c r="AB711" s="1" t="s">
        <v>11202</v>
      </c>
      <c r="AC711" s="1" t="s">
        <v>13588</v>
      </c>
      <c r="AD711" s="1" t="s">
        <v>206</v>
      </c>
      <c r="AE711" s="1" t="s">
        <v>7053</v>
      </c>
      <c r="AF711" s="1" t="s">
        <v>13589</v>
      </c>
      <c r="AG711" s="1" t="s">
        <v>13590</v>
      </c>
      <c r="AH711" s="1" t="s">
        <v>82</v>
      </c>
      <c r="AI711" s="1" t="s">
        <v>82</v>
      </c>
      <c r="AJ711" s="1" t="s">
        <v>13591</v>
      </c>
      <c r="AK711" s="1" t="s">
        <v>13592</v>
      </c>
      <c r="AL711" s="1" t="s">
        <v>13593</v>
      </c>
      <c r="AM711" s="1" t="s">
        <v>82</v>
      </c>
      <c r="AN711" s="1">
        <v>8</v>
      </c>
      <c r="AO711" s="1">
        <v>0</v>
      </c>
      <c r="AP711" s="1">
        <v>0</v>
      </c>
      <c r="AQ711" s="1">
        <v>0</v>
      </c>
      <c r="AR711" s="1">
        <v>0</v>
      </c>
      <c r="AS711" s="1" t="s">
        <v>215</v>
      </c>
      <c r="AT711" s="1" t="s">
        <v>216</v>
      </c>
      <c r="AU711" s="1" t="s">
        <v>217</v>
      </c>
      <c r="AV711" s="1" t="s">
        <v>13594</v>
      </c>
      <c r="AW711" s="1" t="s">
        <v>13595</v>
      </c>
      <c r="AX711" s="1" t="s">
        <v>82</v>
      </c>
      <c r="AY711" s="1" t="s">
        <v>13596</v>
      </c>
      <c r="AZ711" s="1" t="s">
        <v>13597</v>
      </c>
      <c r="BA711" s="1" t="s">
        <v>245</v>
      </c>
      <c r="BB711" s="1">
        <v>2022</v>
      </c>
      <c r="BC711" s="1">
        <v>58</v>
      </c>
      <c r="BD711" s="1">
        <v>3</v>
      </c>
      <c r="BE711" s="1" t="s">
        <v>82</v>
      </c>
      <c r="BF711" s="1" t="s">
        <v>82</v>
      </c>
      <c r="BG711" s="1" t="s">
        <v>82</v>
      </c>
      <c r="BH711" s="1" t="s">
        <v>82</v>
      </c>
      <c r="BI711" s="1">
        <v>482</v>
      </c>
      <c r="BJ711" s="1">
        <v>484</v>
      </c>
      <c r="BK711" s="1" t="s">
        <v>82</v>
      </c>
      <c r="BL711" s="1" t="s">
        <v>13598</v>
      </c>
      <c r="BM711" s="1" t="str">
        <f>HYPERLINK("http://dx.doi.org/10.1007/s10600-022-03715-9","http://dx.doi.org/10.1007/s10600-022-03715-9")</f>
        <v>http://dx.doi.org/10.1007/s10600-022-03715-9</v>
      </c>
      <c r="BN711" s="1" t="s">
        <v>82</v>
      </c>
      <c r="BO711" s="1" t="s">
        <v>1298</v>
      </c>
      <c r="BP711" s="1">
        <v>3</v>
      </c>
      <c r="BQ711" s="1" t="s">
        <v>13599</v>
      </c>
      <c r="BR711" s="1" t="s">
        <v>745</v>
      </c>
      <c r="BS711" s="1" t="s">
        <v>13600</v>
      </c>
      <c r="BT711" s="1" t="s">
        <v>13601</v>
      </c>
      <c r="BU711" s="1" t="s">
        <v>82</v>
      </c>
      <c r="BV711" s="1" t="s">
        <v>82</v>
      </c>
      <c r="BW711" s="1" t="s">
        <v>82</v>
      </c>
      <c r="BX711" s="1" t="s">
        <v>82</v>
      </c>
      <c r="BY711" s="1" t="s">
        <v>108</v>
      </c>
      <c r="BZ711" s="1" t="s">
        <v>13602</v>
      </c>
      <c r="CA711" s="1" t="str">
        <f>HYPERLINK("https%3A%2F%2Fwww.webofscience.com%2Fwos%2Fwoscc%2Ffull-record%2FWOS:000814025200028","View Full Record in Web of Science")</f>
        <v>View Full Record in Web of Science</v>
      </c>
    </row>
    <row r="712" s="1" customFormat="1" ht="14.4" spans="1:79">
      <c r="A712">
        <v>711</v>
      </c>
      <c r="B712" s="2" t="s">
        <v>110</v>
      </c>
      <c r="C712" s="1" t="s">
        <v>80</v>
      </c>
      <c r="D712" s="1" t="s">
        <v>13603</v>
      </c>
      <c r="E712" s="1" t="s">
        <v>82</v>
      </c>
      <c r="F712" s="1" t="s">
        <v>82</v>
      </c>
      <c r="G712" s="1" t="s">
        <v>82</v>
      </c>
      <c r="H712" s="1" t="s">
        <v>13604</v>
      </c>
      <c r="I712" s="1" t="s">
        <v>82</v>
      </c>
      <c r="J712" s="1" t="s">
        <v>82</v>
      </c>
      <c r="K712" s="1" t="s">
        <v>13605</v>
      </c>
      <c r="L712" s="1" t="s">
        <v>13584</v>
      </c>
      <c r="M712" s="1">
        <v>0.83</v>
      </c>
      <c r="O712" s="1" t="s">
        <v>82</v>
      </c>
      <c r="P712" s="1" t="s">
        <v>82</v>
      </c>
      <c r="Q712" s="1" t="s">
        <v>87</v>
      </c>
      <c r="R712" s="1" t="s">
        <v>115</v>
      </c>
      <c r="S712" s="1" t="s">
        <v>82</v>
      </c>
      <c r="T712" s="1" t="s">
        <v>82</v>
      </c>
      <c r="U712" s="1" t="s">
        <v>82</v>
      </c>
      <c r="V712" s="1" t="s">
        <v>82</v>
      </c>
      <c r="W712" s="1" t="s">
        <v>82</v>
      </c>
      <c r="X712" s="1" t="s">
        <v>13606</v>
      </c>
      <c r="Y712" s="1" t="s">
        <v>13607</v>
      </c>
      <c r="Z712" s="1" t="s">
        <v>13608</v>
      </c>
      <c r="AB712" s="1" t="s">
        <v>13609</v>
      </c>
      <c r="AC712" s="1" t="s">
        <v>13610</v>
      </c>
      <c r="AD712" s="1" t="s">
        <v>120</v>
      </c>
      <c r="AE712" s="1" t="s">
        <v>13611</v>
      </c>
      <c r="AF712" s="1" t="s">
        <v>13612</v>
      </c>
      <c r="AG712" s="1" t="s">
        <v>13613</v>
      </c>
      <c r="AH712" s="1" t="s">
        <v>13614</v>
      </c>
      <c r="AI712" s="1" t="s">
        <v>82</v>
      </c>
      <c r="AJ712" s="1" t="s">
        <v>13615</v>
      </c>
      <c r="AK712" s="1" t="s">
        <v>13616</v>
      </c>
      <c r="AL712" s="1" t="s">
        <v>13617</v>
      </c>
      <c r="AM712" s="1" t="s">
        <v>82</v>
      </c>
      <c r="AN712" s="1">
        <v>20</v>
      </c>
      <c r="AO712" s="1">
        <v>0</v>
      </c>
      <c r="AP712" s="1">
        <v>0</v>
      </c>
      <c r="AQ712" s="1">
        <v>3</v>
      </c>
      <c r="AR712" s="1">
        <v>4</v>
      </c>
      <c r="AS712" s="1" t="s">
        <v>215</v>
      </c>
      <c r="AT712" s="1" t="s">
        <v>216</v>
      </c>
      <c r="AU712" s="1" t="s">
        <v>217</v>
      </c>
      <c r="AV712" s="1" t="s">
        <v>13594</v>
      </c>
      <c r="AW712" s="1" t="s">
        <v>13595</v>
      </c>
      <c r="AX712" s="1" t="s">
        <v>82</v>
      </c>
      <c r="AY712" s="1" t="s">
        <v>13596</v>
      </c>
      <c r="AZ712" s="1" t="s">
        <v>13597</v>
      </c>
      <c r="BA712" s="1" t="s">
        <v>2145</v>
      </c>
      <c r="BB712" s="1">
        <v>2022</v>
      </c>
      <c r="BC712" s="1">
        <v>58</v>
      </c>
      <c r="BD712" s="1">
        <v>2</v>
      </c>
      <c r="BE712" s="1" t="s">
        <v>82</v>
      </c>
      <c r="BF712" s="1" t="s">
        <v>82</v>
      </c>
      <c r="BG712" s="1" t="s">
        <v>82</v>
      </c>
      <c r="BH712" s="1" t="s">
        <v>82</v>
      </c>
      <c r="BI712" s="1">
        <v>297</v>
      </c>
      <c r="BJ712" s="1">
        <v>300</v>
      </c>
      <c r="BK712" s="1" t="s">
        <v>82</v>
      </c>
      <c r="BL712" s="1" t="s">
        <v>13618</v>
      </c>
      <c r="BM712" s="1" t="str">
        <f>HYPERLINK("http://dx.doi.org/10.1007/s10600-022-03663-4","http://dx.doi.org/10.1007/s10600-022-03663-4")</f>
        <v>http://dx.doi.org/10.1007/s10600-022-03663-4</v>
      </c>
      <c r="BN712" s="1" t="s">
        <v>82</v>
      </c>
      <c r="BO712" s="1" t="s">
        <v>247</v>
      </c>
      <c r="BP712" s="1">
        <v>4</v>
      </c>
      <c r="BQ712" s="1" t="s">
        <v>13599</v>
      </c>
      <c r="BR712" s="1" t="s">
        <v>745</v>
      </c>
      <c r="BS712" s="1" t="s">
        <v>13600</v>
      </c>
      <c r="BT712" s="1" t="s">
        <v>13619</v>
      </c>
      <c r="BU712" s="1" t="s">
        <v>82</v>
      </c>
      <c r="BV712" s="1" t="s">
        <v>82</v>
      </c>
      <c r="BW712" s="1" t="s">
        <v>82</v>
      </c>
      <c r="BX712" s="1" t="s">
        <v>82</v>
      </c>
      <c r="BY712" s="1" t="s">
        <v>108</v>
      </c>
      <c r="BZ712" s="1" t="s">
        <v>13620</v>
      </c>
      <c r="CA712" s="1" t="str">
        <f>HYPERLINK("https%3A%2F%2Fwww.webofscience.com%2Fwos%2Fwoscc%2Ffull-record%2FWOS:000789721700006","View Full Record in Web of Science")</f>
        <v>View Full Record in Web of Science</v>
      </c>
    </row>
    <row r="713" s="1" customFormat="1" ht="14.4" spans="1:79">
      <c r="A713">
        <v>712</v>
      </c>
      <c r="B713" t="s">
        <v>79</v>
      </c>
      <c r="C713" t="s">
        <v>80</v>
      </c>
      <c r="D713" t="s">
        <v>13621</v>
      </c>
      <c r="E713" t="s">
        <v>82</v>
      </c>
      <c r="F713" t="s">
        <v>82</v>
      </c>
      <c r="G713" t="s">
        <v>82</v>
      </c>
      <c r="H713" t="s">
        <v>13622</v>
      </c>
      <c r="I713" t="s">
        <v>82</v>
      </c>
      <c r="J713" t="s">
        <v>82</v>
      </c>
      <c r="K713" t="s">
        <v>13623</v>
      </c>
      <c r="L713" t="s">
        <v>13624</v>
      </c>
      <c r="M713">
        <v>0.816</v>
      </c>
      <c r="N713"/>
      <c r="O713" t="s">
        <v>82</v>
      </c>
      <c r="P713" t="s">
        <v>82</v>
      </c>
      <c r="Q713" t="s">
        <v>87</v>
      </c>
      <c r="R713" t="s">
        <v>1624</v>
      </c>
      <c r="S713" t="s">
        <v>82</v>
      </c>
      <c r="T713" t="s">
        <v>82</v>
      </c>
      <c r="U713" t="s">
        <v>82</v>
      </c>
      <c r="V713" t="s">
        <v>82</v>
      </c>
      <c r="W713" t="s">
        <v>82</v>
      </c>
      <c r="X713" t="s">
        <v>13625</v>
      </c>
      <c r="Y713" t="s">
        <v>13626</v>
      </c>
      <c r="Z713" t="s">
        <v>13627</v>
      </c>
      <c r="AA713"/>
      <c r="AB713" t="s">
        <v>13628</v>
      </c>
      <c r="AC713" t="s">
        <v>13629</v>
      </c>
      <c r="AD713" s="1" t="s">
        <v>206</v>
      </c>
      <c r="AE713" t="s">
        <v>94</v>
      </c>
      <c r="AF713" t="s">
        <v>13630</v>
      </c>
      <c r="AG713" t="s">
        <v>13631</v>
      </c>
      <c r="AH713" t="s">
        <v>82</v>
      </c>
      <c r="AI713" t="s">
        <v>82</v>
      </c>
      <c r="AJ713" t="s">
        <v>13632</v>
      </c>
      <c r="AK713" t="s">
        <v>13633</v>
      </c>
      <c r="AL713" t="s">
        <v>13634</v>
      </c>
      <c r="AM713" t="s">
        <v>82</v>
      </c>
      <c r="AN713">
        <v>54</v>
      </c>
      <c r="AO713">
        <v>0</v>
      </c>
      <c r="AP713">
        <v>0</v>
      </c>
      <c r="AQ713">
        <v>1</v>
      </c>
      <c r="AR713">
        <v>1</v>
      </c>
      <c r="AS713" t="s">
        <v>13635</v>
      </c>
      <c r="AT713" t="s">
        <v>13636</v>
      </c>
      <c r="AU713" t="s">
        <v>13637</v>
      </c>
      <c r="AV713" t="s">
        <v>13638</v>
      </c>
      <c r="AW713" t="s">
        <v>13639</v>
      </c>
      <c r="AX713" t="s">
        <v>82</v>
      </c>
      <c r="AY713" t="s">
        <v>13640</v>
      </c>
      <c r="AZ713" t="s">
        <v>13641</v>
      </c>
      <c r="BA713" t="s">
        <v>82</v>
      </c>
      <c r="BB713" t="s">
        <v>82</v>
      </c>
      <c r="BC713" t="s">
        <v>82</v>
      </c>
      <c r="BD713" t="s">
        <v>82</v>
      </c>
      <c r="BE713" t="s">
        <v>82</v>
      </c>
      <c r="BF713" t="s">
        <v>82</v>
      </c>
      <c r="BG713" t="s">
        <v>82</v>
      </c>
      <c r="BH713" t="s">
        <v>82</v>
      </c>
      <c r="BI713" t="s">
        <v>82</v>
      </c>
      <c r="BJ713" t="s">
        <v>82</v>
      </c>
      <c r="BK713" t="s">
        <v>82</v>
      </c>
      <c r="BL713" t="s">
        <v>13642</v>
      </c>
      <c r="BM713" t="s">
        <v>13643</v>
      </c>
      <c r="BN713" t="s">
        <v>82</v>
      </c>
      <c r="BO713" t="s">
        <v>870</v>
      </c>
      <c r="BP713">
        <v>18</v>
      </c>
      <c r="BQ713" t="s">
        <v>13644</v>
      </c>
      <c r="BR713" t="s">
        <v>104</v>
      </c>
      <c r="BS713" t="s">
        <v>545</v>
      </c>
      <c r="BT713" t="s">
        <v>13645</v>
      </c>
      <c r="BU713" t="s">
        <v>82</v>
      </c>
      <c r="BV713" t="s">
        <v>808</v>
      </c>
      <c r="BW713" t="s">
        <v>82</v>
      </c>
      <c r="BX713" t="s">
        <v>82</v>
      </c>
      <c r="BY713" t="s">
        <v>340</v>
      </c>
      <c r="BZ713" t="s">
        <v>13646</v>
      </c>
      <c r="CA713" t="s">
        <v>342</v>
      </c>
    </row>
    <row r="714" s="1" customFormat="1" ht="14.4" spans="1:79">
      <c r="A714">
        <v>713</v>
      </c>
      <c r="B714" s="2" t="s">
        <v>79</v>
      </c>
      <c r="C714" s="1" t="s">
        <v>80</v>
      </c>
      <c r="D714" s="1" t="s">
        <v>13647</v>
      </c>
      <c r="E714" s="1" t="s">
        <v>82</v>
      </c>
      <c r="F714" s="1" t="s">
        <v>82</v>
      </c>
      <c r="G714" s="1" t="s">
        <v>82</v>
      </c>
      <c r="H714" s="1" t="s">
        <v>13648</v>
      </c>
      <c r="I714" s="1" t="s">
        <v>82</v>
      </c>
      <c r="J714" s="1" t="s">
        <v>82</v>
      </c>
      <c r="K714" s="1" t="s">
        <v>13649</v>
      </c>
      <c r="L714" s="1" t="s">
        <v>13650</v>
      </c>
      <c r="M714" s="1">
        <v>0.816</v>
      </c>
      <c r="O714" s="1" t="s">
        <v>82</v>
      </c>
      <c r="P714" s="1" t="s">
        <v>82</v>
      </c>
      <c r="Q714" s="1" t="s">
        <v>87</v>
      </c>
      <c r="R714" s="1" t="s">
        <v>115</v>
      </c>
      <c r="S714" s="1" t="s">
        <v>82</v>
      </c>
      <c r="T714" s="1" t="s">
        <v>82</v>
      </c>
      <c r="U714" s="1" t="s">
        <v>82</v>
      </c>
      <c r="V714" s="1" t="s">
        <v>82</v>
      </c>
      <c r="W714" s="1" t="s">
        <v>82</v>
      </c>
      <c r="X714" s="1" t="s">
        <v>13651</v>
      </c>
      <c r="Y714" s="1" t="s">
        <v>13652</v>
      </c>
      <c r="Z714" s="1" t="s">
        <v>13653</v>
      </c>
      <c r="AB714" s="1" t="s">
        <v>13654</v>
      </c>
      <c r="AC714" s="1" t="s">
        <v>13655</v>
      </c>
      <c r="AD714" s="1" t="s">
        <v>120</v>
      </c>
      <c r="AE714" s="1" t="s">
        <v>13656</v>
      </c>
      <c r="AF714" s="1" t="s">
        <v>13657</v>
      </c>
      <c r="AG714" s="1" t="s">
        <v>13658</v>
      </c>
      <c r="AH714" s="1" t="s">
        <v>82</v>
      </c>
      <c r="AI714" s="1" t="s">
        <v>82</v>
      </c>
      <c r="AJ714" s="1" t="s">
        <v>13659</v>
      </c>
      <c r="AK714" s="1" t="s">
        <v>13660</v>
      </c>
      <c r="AL714" s="1" t="s">
        <v>13661</v>
      </c>
      <c r="AM714" s="1" t="s">
        <v>82</v>
      </c>
      <c r="AN714" s="1">
        <v>35</v>
      </c>
      <c r="AO714" s="1">
        <v>0</v>
      </c>
      <c r="AP714" s="1">
        <v>0</v>
      </c>
      <c r="AQ714" s="1">
        <v>3</v>
      </c>
      <c r="AR714" s="1">
        <v>3</v>
      </c>
      <c r="AS714" s="1" t="s">
        <v>13662</v>
      </c>
      <c r="AT714" s="1" t="s">
        <v>13663</v>
      </c>
      <c r="AU714" s="1" t="s">
        <v>13664</v>
      </c>
      <c r="AV714" s="1" t="s">
        <v>13665</v>
      </c>
      <c r="AW714" s="1" t="s">
        <v>82</v>
      </c>
      <c r="AX714" s="1" t="s">
        <v>82</v>
      </c>
      <c r="AY714" s="1" t="s">
        <v>13650</v>
      </c>
      <c r="AZ714" s="1" t="s">
        <v>13666</v>
      </c>
      <c r="BA714" s="1" t="s">
        <v>13667</v>
      </c>
      <c r="BB714" s="1">
        <v>2022</v>
      </c>
      <c r="BC714" s="1">
        <v>67</v>
      </c>
      <c r="BD714" s="1">
        <v>2</v>
      </c>
      <c r="BE714" s="1" t="s">
        <v>82</v>
      </c>
      <c r="BF714" s="1" t="s">
        <v>82</v>
      </c>
      <c r="BG714" s="1" t="s">
        <v>82</v>
      </c>
      <c r="BH714" s="1" t="s">
        <v>82</v>
      </c>
      <c r="BI714" s="1">
        <v>254</v>
      </c>
      <c r="BJ714" s="1">
        <v>259</v>
      </c>
      <c r="BK714" s="1" t="s">
        <v>82</v>
      </c>
      <c r="BL714" s="1" t="s">
        <v>13668</v>
      </c>
      <c r="BM714" s="1" t="str">
        <f>HYPERLINK("http://dx.doi.org/10.6165/tai.2022.67.254","http://dx.doi.org/10.6165/tai.2022.67.254")</f>
        <v>http://dx.doi.org/10.6165/tai.2022.67.254</v>
      </c>
      <c r="BN714" s="1" t="s">
        <v>82</v>
      </c>
      <c r="BO714" s="1" t="s">
        <v>82</v>
      </c>
      <c r="BP714" s="1">
        <v>6</v>
      </c>
      <c r="BQ714" s="1" t="s">
        <v>378</v>
      </c>
      <c r="BR714" s="1" t="s">
        <v>104</v>
      </c>
      <c r="BS714" s="1" t="s">
        <v>378</v>
      </c>
      <c r="BT714" s="1" t="s">
        <v>13669</v>
      </c>
      <c r="BU714" s="1" t="s">
        <v>82</v>
      </c>
      <c r="BV714" s="1" t="s">
        <v>82</v>
      </c>
      <c r="BW714" s="1" t="s">
        <v>82</v>
      </c>
      <c r="BX714" s="1" t="s">
        <v>82</v>
      </c>
      <c r="BY714" s="1" t="s">
        <v>108</v>
      </c>
      <c r="BZ714" s="1" t="s">
        <v>13670</v>
      </c>
      <c r="CA714" s="1" t="str">
        <f>HYPERLINK("https%3A%2F%2Fwww.webofscience.com%2Fwos%2Fwoscc%2Ffull-record%2FWOS:000796369600002","View Full Record in Web of Science")</f>
        <v>View Full Record in Web of Science</v>
      </c>
    </row>
    <row r="715" s="1" customFormat="1" ht="14.4" spans="1:79">
      <c r="A715">
        <v>714</v>
      </c>
      <c r="B715" s="2" t="s">
        <v>79</v>
      </c>
      <c r="C715" s="1" t="s">
        <v>80</v>
      </c>
      <c r="D715" s="1" t="s">
        <v>13671</v>
      </c>
      <c r="E715" s="1" t="s">
        <v>82</v>
      </c>
      <c r="F715" s="1" t="s">
        <v>82</v>
      </c>
      <c r="G715" s="1" t="s">
        <v>82</v>
      </c>
      <c r="H715" s="1" t="s">
        <v>13672</v>
      </c>
      <c r="I715" s="1" t="s">
        <v>82</v>
      </c>
      <c r="J715" s="1" t="s">
        <v>82</v>
      </c>
      <c r="K715" s="1" t="s">
        <v>13673</v>
      </c>
      <c r="L715" s="1" t="s">
        <v>13650</v>
      </c>
      <c r="M715" s="1">
        <v>0.816</v>
      </c>
      <c r="O715" s="1" t="s">
        <v>82</v>
      </c>
      <c r="P715" s="1" t="s">
        <v>82</v>
      </c>
      <c r="Q715" s="1" t="s">
        <v>87</v>
      </c>
      <c r="R715" s="1" t="s">
        <v>115</v>
      </c>
      <c r="S715" s="1" t="s">
        <v>82</v>
      </c>
      <c r="T715" s="1" t="s">
        <v>82</v>
      </c>
      <c r="U715" s="1" t="s">
        <v>82</v>
      </c>
      <c r="V715" s="1" t="s">
        <v>82</v>
      </c>
      <c r="W715" s="1" t="s">
        <v>82</v>
      </c>
      <c r="X715" s="1" t="s">
        <v>13674</v>
      </c>
      <c r="Y715" s="1" t="s">
        <v>82</v>
      </c>
      <c r="Z715" s="1" t="s">
        <v>13675</v>
      </c>
      <c r="AA715" s="1">
        <v>1</v>
      </c>
      <c r="AB715" s="1" t="s">
        <v>13676</v>
      </c>
      <c r="AC715" s="1" t="s">
        <v>13677</v>
      </c>
      <c r="AD715" s="1" t="s">
        <v>93</v>
      </c>
      <c r="AE715" s="1" t="s">
        <v>3237</v>
      </c>
      <c r="AF715" s="1" t="s">
        <v>13678</v>
      </c>
      <c r="AG715" s="1" t="s">
        <v>13549</v>
      </c>
      <c r="AH715" s="1" t="s">
        <v>82</v>
      </c>
      <c r="AI715" s="1" t="s">
        <v>82</v>
      </c>
      <c r="AJ715" s="1" t="s">
        <v>13679</v>
      </c>
      <c r="AK715" s="1" t="s">
        <v>13680</v>
      </c>
      <c r="AL715" s="1" t="s">
        <v>13681</v>
      </c>
      <c r="AM715" s="1" t="s">
        <v>82</v>
      </c>
      <c r="AN715" s="1">
        <v>19</v>
      </c>
      <c r="AO715" s="1">
        <v>0</v>
      </c>
      <c r="AP715" s="1">
        <v>0</v>
      </c>
      <c r="AQ715" s="1">
        <v>1</v>
      </c>
      <c r="AR715" s="1">
        <v>1</v>
      </c>
      <c r="AS715" s="1" t="s">
        <v>13662</v>
      </c>
      <c r="AT715" s="1" t="s">
        <v>13663</v>
      </c>
      <c r="AU715" s="1" t="s">
        <v>13664</v>
      </c>
      <c r="AV715" s="1" t="s">
        <v>13665</v>
      </c>
      <c r="AW715" s="1" t="s">
        <v>82</v>
      </c>
      <c r="AX715" s="1" t="s">
        <v>82</v>
      </c>
      <c r="AY715" s="1" t="s">
        <v>13650</v>
      </c>
      <c r="AZ715" s="1" t="s">
        <v>13666</v>
      </c>
      <c r="BA715" s="1" t="s">
        <v>13682</v>
      </c>
      <c r="BB715" s="1">
        <v>2022</v>
      </c>
      <c r="BC715" s="1">
        <v>67</v>
      </c>
      <c r="BD715" s="1">
        <v>4</v>
      </c>
      <c r="BE715" s="1" t="s">
        <v>82</v>
      </c>
      <c r="BF715" s="1" t="s">
        <v>82</v>
      </c>
      <c r="BG715" s="1" t="s">
        <v>82</v>
      </c>
      <c r="BH715" s="1" t="s">
        <v>82</v>
      </c>
      <c r="BI715" s="1">
        <v>591</v>
      </c>
      <c r="BJ715" s="1">
        <v>594</v>
      </c>
      <c r="BK715" s="1" t="s">
        <v>82</v>
      </c>
      <c r="BL715" s="1" t="s">
        <v>13683</v>
      </c>
      <c r="BM715" s="1" t="str">
        <f>HYPERLINK("http://dx.doi.org/10.6165/tai.2022.67.591","http://dx.doi.org/10.6165/tai.2022.67.591")</f>
        <v>http://dx.doi.org/10.6165/tai.2022.67.591</v>
      </c>
      <c r="BN715" s="1" t="s">
        <v>82</v>
      </c>
      <c r="BO715" s="1" t="s">
        <v>82</v>
      </c>
      <c r="BP715" s="1">
        <v>4</v>
      </c>
      <c r="BQ715" s="1" t="s">
        <v>378</v>
      </c>
      <c r="BR715" s="1" t="s">
        <v>104</v>
      </c>
      <c r="BS715" s="1" t="s">
        <v>378</v>
      </c>
      <c r="BT715" s="1" t="s">
        <v>13684</v>
      </c>
      <c r="BU715" s="1" t="s">
        <v>82</v>
      </c>
      <c r="BV715" s="1" t="s">
        <v>82</v>
      </c>
      <c r="BW715" s="1" t="s">
        <v>82</v>
      </c>
      <c r="BX715" s="1" t="s">
        <v>82</v>
      </c>
      <c r="BY715" s="1" t="s">
        <v>108</v>
      </c>
      <c r="BZ715" s="1" t="s">
        <v>13685</v>
      </c>
      <c r="CA715" s="1" t="str">
        <f>HYPERLINK("https%3A%2F%2Fwww.webofscience.com%2Fwos%2Fwoscc%2Ffull-record%2FWOS:000886918700016","View Full Record in Web of Science")</f>
        <v>View Full Record in Web of Science</v>
      </c>
    </row>
    <row r="716" s="1" customFormat="1" ht="14.4" spans="1:79">
      <c r="A716">
        <v>715</v>
      </c>
      <c r="B716" s="2" t="s">
        <v>79</v>
      </c>
      <c r="C716" s="1" t="s">
        <v>80</v>
      </c>
      <c r="D716" s="1" t="s">
        <v>13686</v>
      </c>
      <c r="E716" s="1" t="s">
        <v>82</v>
      </c>
      <c r="F716" s="1" t="s">
        <v>82</v>
      </c>
      <c r="G716" s="1" t="s">
        <v>82</v>
      </c>
      <c r="H716" s="1" t="s">
        <v>13687</v>
      </c>
      <c r="I716" s="1" t="s">
        <v>82</v>
      </c>
      <c r="J716" s="1" t="s">
        <v>82</v>
      </c>
      <c r="K716" s="1" t="s">
        <v>13688</v>
      </c>
      <c r="L716" s="1" t="s">
        <v>13650</v>
      </c>
      <c r="M716" s="1">
        <v>0.816</v>
      </c>
      <c r="O716" s="1" t="s">
        <v>82</v>
      </c>
      <c r="P716" s="1" t="s">
        <v>82</v>
      </c>
      <c r="Q716" s="1" t="s">
        <v>87</v>
      </c>
      <c r="R716" s="1" t="s">
        <v>115</v>
      </c>
      <c r="S716" s="1" t="s">
        <v>82</v>
      </c>
      <c r="T716" s="1" t="s">
        <v>82</v>
      </c>
      <c r="U716" s="1" t="s">
        <v>82</v>
      </c>
      <c r="V716" s="1" t="s">
        <v>82</v>
      </c>
      <c r="W716" s="1" t="s">
        <v>82</v>
      </c>
      <c r="X716" s="1" t="s">
        <v>13689</v>
      </c>
      <c r="Y716" s="1" t="s">
        <v>13690</v>
      </c>
      <c r="Z716" s="1" t="s">
        <v>13691</v>
      </c>
      <c r="AA716" s="1">
        <v>1</v>
      </c>
      <c r="AB716" s="1" t="s">
        <v>13692</v>
      </c>
      <c r="AC716" s="1" t="s">
        <v>13693</v>
      </c>
      <c r="AD716" s="1" t="s">
        <v>93</v>
      </c>
      <c r="AE716" s="1" t="s">
        <v>13694</v>
      </c>
      <c r="AF716" s="1" t="s">
        <v>13695</v>
      </c>
      <c r="AG716" s="1" t="s">
        <v>13696</v>
      </c>
      <c r="AH716" s="1" t="s">
        <v>13697</v>
      </c>
      <c r="AI716" s="1" t="s">
        <v>82</v>
      </c>
      <c r="AJ716" s="1" t="s">
        <v>13698</v>
      </c>
      <c r="AK716" s="1" t="s">
        <v>13699</v>
      </c>
      <c r="AL716" s="1" t="s">
        <v>13700</v>
      </c>
      <c r="AM716" s="1" t="s">
        <v>82</v>
      </c>
      <c r="AN716" s="1">
        <v>19</v>
      </c>
      <c r="AO716" s="1">
        <v>0</v>
      </c>
      <c r="AP716" s="1">
        <v>0</v>
      </c>
      <c r="AQ716" s="1">
        <v>2</v>
      </c>
      <c r="AR716" s="1">
        <v>2</v>
      </c>
      <c r="AS716" s="1" t="s">
        <v>13662</v>
      </c>
      <c r="AT716" s="1" t="s">
        <v>13663</v>
      </c>
      <c r="AU716" s="1" t="s">
        <v>13664</v>
      </c>
      <c r="AV716" s="1" t="s">
        <v>13665</v>
      </c>
      <c r="AW716" s="1" t="s">
        <v>82</v>
      </c>
      <c r="AX716" s="1" t="s">
        <v>82</v>
      </c>
      <c r="AY716" s="1" t="s">
        <v>13650</v>
      </c>
      <c r="AZ716" s="1" t="s">
        <v>13666</v>
      </c>
      <c r="BA716" s="1" t="s">
        <v>13701</v>
      </c>
      <c r="BB716" s="1">
        <v>2022</v>
      </c>
      <c r="BC716" s="1">
        <v>67</v>
      </c>
      <c r="BD716" s="1">
        <v>3</v>
      </c>
      <c r="BE716" s="1" t="s">
        <v>82</v>
      </c>
      <c r="BF716" s="1" t="s">
        <v>82</v>
      </c>
      <c r="BG716" s="1" t="s">
        <v>82</v>
      </c>
      <c r="BH716" s="1" t="s">
        <v>82</v>
      </c>
      <c r="BI716" s="1">
        <v>326</v>
      </c>
      <c r="BJ716" s="1">
        <v>334</v>
      </c>
      <c r="BK716" s="1" t="s">
        <v>82</v>
      </c>
      <c r="BL716" s="1" t="s">
        <v>13702</v>
      </c>
      <c r="BM716" s="1" t="str">
        <f>HYPERLINK("http://dx.doi.org/10.6165/tai.2022.67.326","http://dx.doi.org/10.6165/tai.2022.67.326")</f>
        <v>http://dx.doi.org/10.6165/tai.2022.67.326</v>
      </c>
      <c r="BN716" s="1" t="s">
        <v>82</v>
      </c>
      <c r="BO716" s="1" t="s">
        <v>82</v>
      </c>
      <c r="BP716" s="1">
        <v>9</v>
      </c>
      <c r="BQ716" s="1" t="s">
        <v>378</v>
      </c>
      <c r="BR716" s="1" t="s">
        <v>104</v>
      </c>
      <c r="BS716" s="1" t="s">
        <v>378</v>
      </c>
      <c r="BT716" s="1" t="s">
        <v>13703</v>
      </c>
      <c r="BU716" s="1" t="s">
        <v>82</v>
      </c>
      <c r="BV716" s="1" t="s">
        <v>82</v>
      </c>
      <c r="BW716" s="1" t="s">
        <v>82</v>
      </c>
      <c r="BX716" s="1" t="s">
        <v>82</v>
      </c>
      <c r="BY716" s="1" t="s">
        <v>108</v>
      </c>
      <c r="BZ716" s="1" t="s">
        <v>13704</v>
      </c>
      <c r="CA716" s="1" t="str">
        <f>HYPERLINK("https%3A%2F%2Fwww.webofscience.com%2Fwos%2Fwoscc%2Ffull-record%2FWOS:000809947900001","View Full Record in Web of Science")</f>
        <v>View Full Record in Web of Science</v>
      </c>
    </row>
    <row r="717" s="1" customFormat="1" ht="14.4" spans="1:79">
      <c r="A717">
        <v>716</v>
      </c>
      <c r="B717" s="2" t="s">
        <v>79</v>
      </c>
      <c r="C717" s="1" t="s">
        <v>80</v>
      </c>
      <c r="D717" s="1" t="s">
        <v>13705</v>
      </c>
      <c r="E717" s="1" t="s">
        <v>82</v>
      </c>
      <c r="F717" s="1" t="s">
        <v>82</v>
      </c>
      <c r="G717" s="1" t="s">
        <v>82</v>
      </c>
      <c r="H717" s="1" t="s">
        <v>13706</v>
      </c>
      <c r="I717" s="1" t="s">
        <v>82</v>
      </c>
      <c r="J717" s="1" t="s">
        <v>82</v>
      </c>
      <c r="K717" s="1" t="s">
        <v>13707</v>
      </c>
      <c r="L717" s="1" t="s">
        <v>13650</v>
      </c>
      <c r="M717" s="1">
        <v>0.816</v>
      </c>
      <c r="O717" s="1" t="s">
        <v>82</v>
      </c>
      <c r="P717" s="1" t="s">
        <v>82</v>
      </c>
      <c r="Q717" s="1" t="s">
        <v>87</v>
      </c>
      <c r="R717" s="1" t="s">
        <v>115</v>
      </c>
      <c r="S717" s="1" t="s">
        <v>82</v>
      </c>
      <c r="T717" s="1" t="s">
        <v>82</v>
      </c>
      <c r="U717" s="1" t="s">
        <v>82</v>
      </c>
      <c r="V717" s="1" t="s">
        <v>82</v>
      </c>
      <c r="W717" s="1" t="s">
        <v>82</v>
      </c>
      <c r="X717" s="1" t="s">
        <v>13708</v>
      </c>
      <c r="Y717" s="1" t="s">
        <v>82</v>
      </c>
      <c r="Z717" s="1" t="s">
        <v>13709</v>
      </c>
      <c r="AA717" s="1">
        <v>1</v>
      </c>
      <c r="AB717" s="1" t="s">
        <v>13710</v>
      </c>
      <c r="AC717" s="1" t="s">
        <v>13711</v>
      </c>
      <c r="AD717" s="1" t="s">
        <v>93</v>
      </c>
      <c r="AE717" s="1" t="s">
        <v>13712</v>
      </c>
      <c r="AF717" s="1" t="s">
        <v>13713</v>
      </c>
      <c r="AG717" s="1" t="s">
        <v>13549</v>
      </c>
      <c r="AH717" s="1" t="s">
        <v>82</v>
      </c>
      <c r="AI717" s="1" t="s">
        <v>82</v>
      </c>
      <c r="AJ717" s="1" t="s">
        <v>13714</v>
      </c>
      <c r="AK717" s="1" t="s">
        <v>13715</v>
      </c>
      <c r="AL717" s="1" t="s">
        <v>13716</v>
      </c>
      <c r="AM717" s="1" t="s">
        <v>82</v>
      </c>
      <c r="AN717" s="1">
        <v>27</v>
      </c>
      <c r="AO717" s="1">
        <v>0</v>
      </c>
      <c r="AP717" s="1">
        <v>0</v>
      </c>
      <c r="AQ717" s="1">
        <v>0</v>
      </c>
      <c r="AR717" s="1">
        <v>2</v>
      </c>
      <c r="AS717" s="1" t="s">
        <v>13662</v>
      </c>
      <c r="AT717" s="1" t="s">
        <v>13663</v>
      </c>
      <c r="AU717" s="1" t="s">
        <v>13664</v>
      </c>
      <c r="AV717" s="1" t="s">
        <v>13665</v>
      </c>
      <c r="AW717" s="1" t="s">
        <v>82</v>
      </c>
      <c r="AX717" s="1" t="s">
        <v>82</v>
      </c>
      <c r="AY717" s="1" t="s">
        <v>13650</v>
      </c>
      <c r="AZ717" s="1" t="s">
        <v>13666</v>
      </c>
      <c r="BA717" s="1" t="s">
        <v>13717</v>
      </c>
      <c r="BB717" s="1">
        <v>2022</v>
      </c>
      <c r="BC717" s="1">
        <v>67</v>
      </c>
      <c r="BD717" s="1">
        <v>2</v>
      </c>
      <c r="BE717" s="1" t="s">
        <v>82</v>
      </c>
      <c r="BF717" s="1" t="s">
        <v>82</v>
      </c>
      <c r="BG717" s="1" t="s">
        <v>82</v>
      </c>
      <c r="BH717" s="1" t="s">
        <v>82</v>
      </c>
      <c r="BI717" s="1">
        <v>250</v>
      </c>
      <c r="BJ717" s="1">
        <v>253</v>
      </c>
      <c r="BK717" s="1" t="s">
        <v>82</v>
      </c>
      <c r="BL717" s="1" t="s">
        <v>13718</v>
      </c>
      <c r="BM717" s="1" t="str">
        <f>HYPERLINK("http://dx.doi.org/10.6165/tai.2022.67.250","http://dx.doi.org/10.6165/tai.2022.67.250")</f>
        <v>http://dx.doi.org/10.6165/tai.2022.67.250</v>
      </c>
      <c r="BN717" s="1" t="s">
        <v>82</v>
      </c>
      <c r="BO717" s="1" t="s">
        <v>82</v>
      </c>
      <c r="BP717" s="1">
        <v>4</v>
      </c>
      <c r="BQ717" s="1" t="s">
        <v>378</v>
      </c>
      <c r="BR717" s="1" t="s">
        <v>104</v>
      </c>
      <c r="BS717" s="1" t="s">
        <v>378</v>
      </c>
      <c r="BT717" s="1" t="s">
        <v>13719</v>
      </c>
      <c r="BU717" s="1" t="s">
        <v>82</v>
      </c>
      <c r="BV717" s="1" t="s">
        <v>82</v>
      </c>
      <c r="BW717" s="1" t="s">
        <v>82</v>
      </c>
      <c r="BX717" s="1" t="s">
        <v>82</v>
      </c>
      <c r="BY717" s="1" t="s">
        <v>108</v>
      </c>
      <c r="BZ717" s="1" t="s">
        <v>13720</v>
      </c>
      <c r="CA717" s="1" t="str">
        <f>HYPERLINK("https%3A%2F%2Fwww.webofscience.com%2Fwos%2Fwoscc%2Ffull-record%2FWOS:000792522000001","View Full Record in Web of Science")</f>
        <v>View Full Record in Web of Science</v>
      </c>
    </row>
    <row r="718" s="1" customFormat="1" ht="14.4" spans="1:79">
      <c r="A718">
        <v>717</v>
      </c>
      <c r="B718" s="2" t="s">
        <v>79</v>
      </c>
      <c r="C718" s="1" t="s">
        <v>80</v>
      </c>
      <c r="D718" s="1" t="s">
        <v>13721</v>
      </c>
      <c r="E718" s="1" t="s">
        <v>82</v>
      </c>
      <c r="F718" s="1" t="s">
        <v>82</v>
      </c>
      <c r="G718" s="1" t="s">
        <v>82</v>
      </c>
      <c r="H718" s="1" t="s">
        <v>13722</v>
      </c>
      <c r="I718" s="1" t="s">
        <v>82</v>
      </c>
      <c r="J718" s="1" t="s">
        <v>82</v>
      </c>
      <c r="K718" s="1" t="s">
        <v>13723</v>
      </c>
      <c r="L718" s="1" t="s">
        <v>13650</v>
      </c>
      <c r="M718" s="1">
        <v>0.816</v>
      </c>
      <c r="O718" s="1" t="s">
        <v>82</v>
      </c>
      <c r="P718" s="1" t="s">
        <v>82</v>
      </c>
      <c r="Q718" s="1" t="s">
        <v>87</v>
      </c>
      <c r="R718" s="1" t="s">
        <v>115</v>
      </c>
      <c r="S718" s="1" t="s">
        <v>82</v>
      </c>
      <c r="T718" s="1" t="s">
        <v>82</v>
      </c>
      <c r="U718" s="1" t="s">
        <v>82</v>
      </c>
      <c r="V718" s="1" t="s">
        <v>82</v>
      </c>
      <c r="W718" s="1" t="s">
        <v>82</v>
      </c>
      <c r="X718" s="1" t="s">
        <v>13724</v>
      </c>
      <c r="Y718" s="1" t="s">
        <v>13725</v>
      </c>
      <c r="Z718" s="1" t="s">
        <v>13726</v>
      </c>
      <c r="AA718" s="1">
        <v>1</v>
      </c>
      <c r="AB718" s="1" t="s">
        <v>13727</v>
      </c>
      <c r="AC718" s="1" t="s">
        <v>13728</v>
      </c>
      <c r="AD718" s="1" t="s">
        <v>93</v>
      </c>
      <c r="AE718" s="1" t="s">
        <v>13729</v>
      </c>
      <c r="AF718" s="1" t="s">
        <v>13730</v>
      </c>
      <c r="AG718" s="1" t="s">
        <v>13731</v>
      </c>
      <c r="AH718" s="1" t="s">
        <v>82</v>
      </c>
      <c r="AI718" s="1" t="s">
        <v>82</v>
      </c>
      <c r="AJ718" s="1" t="s">
        <v>13732</v>
      </c>
      <c r="AK718" s="1" t="s">
        <v>13733</v>
      </c>
      <c r="AL718" s="1" t="s">
        <v>13734</v>
      </c>
      <c r="AM718" s="1" t="s">
        <v>82</v>
      </c>
      <c r="AN718" s="1">
        <v>26</v>
      </c>
      <c r="AO718" s="1">
        <v>1</v>
      </c>
      <c r="AP718" s="1">
        <v>1</v>
      </c>
      <c r="AQ718" s="1">
        <v>2</v>
      </c>
      <c r="AR718" s="1">
        <v>6</v>
      </c>
      <c r="AS718" s="1" t="s">
        <v>13662</v>
      </c>
      <c r="AT718" s="1" t="s">
        <v>13663</v>
      </c>
      <c r="AU718" s="1" t="s">
        <v>13664</v>
      </c>
      <c r="AV718" s="1" t="s">
        <v>13665</v>
      </c>
      <c r="AW718" s="1" t="s">
        <v>82</v>
      </c>
      <c r="AX718" s="1" t="s">
        <v>82</v>
      </c>
      <c r="AY718" s="1" t="s">
        <v>13650</v>
      </c>
      <c r="AZ718" s="1" t="s">
        <v>13666</v>
      </c>
      <c r="BA718" s="1" t="s">
        <v>13735</v>
      </c>
      <c r="BB718" s="1">
        <v>2022</v>
      </c>
      <c r="BC718" s="1">
        <v>67</v>
      </c>
      <c r="BD718" s="1">
        <v>2</v>
      </c>
      <c r="BE718" s="1" t="s">
        <v>82</v>
      </c>
      <c r="BF718" s="1" t="s">
        <v>82</v>
      </c>
      <c r="BG718" s="1" t="s">
        <v>82</v>
      </c>
      <c r="BH718" s="1" t="s">
        <v>82</v>
      </c>
      <c r="BI718" s="1">
        <v>195</v>
      </c>
      <c r="BJ718" s="1">
        <v>200</v>
      </c>
      <c r="BK718" s="1" t="s">
        <v>82</v>
      </c>
      <c r="BL718" s="1" t="s">
        <v>13736</v>
      </c>
      <c r="BM718" s="1" t="str">
        <f>HYPERLINK("http://dx.doi.org/10.6165/tai.2022.67.195","http://dx.doi.org/10.6165/tai.2022.67.195")</f>
        <v>http://dx.doi.org/10.6165/tai.2022.67.195</v>
      </c>
      <c r="BN718" s="1" t="s">
        <v>82</v>
      </c>
      <c r="BO718" s="1" t="s">
        <v>82</v>
      </c>
      <c r="BP718" s="1">
        <v>6</v>
      </c>
      <c r="BQ718" s="1" t="s">
        <v>378</v>
      </c>
      <c r="BR718" s="1" t="s">
        <v>104</v>
      </c>
      <c r="BS718" s="1" t="s">
        <v>378</v>
      </c>
      <c r="BT718" s="1" t="s">
        <v>13737</v>
      </c>
      <c r="BU718" s="1" t="s">
        <v>82</v>
      </c>
      <c r="BV718" s="1" t="s">
        <v>82</v>
      </c>
      <c r="BW718" s="1" t="s">
        <v>82</v>
      </c>
      <c r="BX718" s="1" t="s">
        <v>82</v>
      </c>
      <c r="BY718" s="1" t="s">
        <v>108</v>
      </c>
      <c r="BZ718" s="1" t="s">
        <v>13738</v>
      </c>
      <c r="CA718" s="1" t="str">
        <f>HYPERLINK("https%3A%2F%2Fwww.webofscience.com%2Fwos%2Fwoscc%2Ffull-record%2FWOS:000766750100001","View Full Record in Web of Science")</f>
        <v>View Full Record in Web of Science</v>
      </c>
    </row>
    <row r="719" s="1" customFormat="1" ht="14.4" spans="1:79">
      <c r="A719">
        <v>718</v>
      </c>
      <c r="B719" s="2" t="s">
        <v>79</v>
      </c>
      <c r="C719" s="1" t="s">
        <v>80</v>
      </c>
      <c r="D719" s="1" t="s">
        <v>13739</v>
      </c>
      <c r="E719" s="1" t="s">
        <v>82</v>
      </c>
      <c r="F719" s="1" t="s">
        <v>82</v>
      </c>
      <c r="G719" s="1" t="s">
        <v>82</v>
      </c>
      <c r="H719" s="1" t="s">
        <v>13740</v>
      </c>
      <c r="I719" s="1" t="s">
        <v>82</v>
      </c>
      <c r="J719" s="1" t="s">
        <v>82</v>
      </c>
      <c r="K719" s="1" t="s">
        <v>13741</v>
      </c>
      <c r="L719" s="1" t="s">
        <v>13650</v>
      </c>
      <c r="M719" s="1">
        <v>0.816</v>
      </c>
      <c r="O719" s="1" t="s">
        <v>82</v>
      </c>
      <c r="P719" s="1" t="s">
        <v>82</v>
      </c>
      <c r="Q719" s="1" t="s">
        <v>87</v>
      </c>
      <c r="R719" s="1" t="s">
        <v>115</v>
      </c>
      <c r="S719" s="1" t="s">
        <v>82</v>
      </c>
      <c r="T719" s="1" t="s">
        <v>82</v>
      </c>
      <c r="U719" s="1" t="s">
        <v>82</v>
      </c>
      <c r="V719" s="1" t="s">
        <v>82</v>
      </c>
      <c r="W719" s="1" t="s">
        <v>82</v>
      </c>
      <c r="X719" s="1" t="s">
        <v>82</v>
      </c>
      <c r="Y719" s="1" t="s">
        <v>13742</v>
      </c>
      <c r="Z719" s="1" t="s">
        <v>13743</v>
      </c>
      <c r="AA719" s="1">
        <v>1</v>
      </c>
      <c r="AB719" s="1" t="s">
        <v>13676</v>
      </c>
      <c r="AC719" s="1" t="s">
        <v>13744</v>
      </c>
      <c r="AD719" s="1" t="s">
        <v>93</v>
      </c>
      <c r="AE719" s="1" t="s">
        <v>13745</v>
      </c>
      <c r="AF719" s="1" t="s">
        <v>13746</v>
      </c>
      <c r="AG719" s="1" t="s">
        <v>13747</v>
      </c>
      <c r="AH719" s="1" t="s">
        <v>82</v>
      </c>
      <c r="AI719" s="1" t="s">
        <v>82</v>
      </c>
      <c r="AJ719" s="1" t="s">
        <v>13748</v>
      </c>
      <c r="AK719" s="1" t="s">
        <v>13749</v>
      </c>
      <c r="AL719" s="1" t="s">
        <v>13750</v>
      </c>
      <c r="AM719" s="1" t="s">
        <v>82</v>
      </c>
      <c r="AN719" s="1">
        <v>36</v>
      </c>
      <c r="AO719" s="1">
        <v>1</v>
      </c>
      <c r="AP719" s="1">
        <v>1</v>
      </c>
      <c r="AQ719" s="1">
        <v>5</v>
      </c>
      <c r="AR719" s="1">
        <v>7</v>
      </c>
      <c r="AS719" s="1" t="s">
        <v>13662</v>
      </c>
      <c r="AT719" s="1" t="s">
        <v>13663</v>
      </c>
      <c r="AU719" s="1" t="s">
        <v>13664</v>
      </c>
      <c r="AV719" s="1" t="s">
        <v>13665</v>
      </c>
      <c r="AW719" s="1" t="s">
        <v>82</v>
      </c>
      <c r="AX719" s="1" t="s">
        <v>82</v>
      </c>
      <c r="AY719" s="1" t="s">
        <v>13650</v>
      </c>
      <c r="AZ719" s="1" t="s">
        <v>13666</v>
      </c>
      <c r="BA719" s="1" t="s">
        <v>13751</v>
      </c>
      <c r="BB719" s="1">
        <v>2022</v>
      </c>
      <c r="BC719" s="1">
        <v>67</v>
      </c>
      <c r="BD719" s="1">
        <v>1</v>
      </c>
      <c r="BE719" s="1" t="s">
        <v>82</v>
      </c>
      <c r="BF719" s="1" t="s">
        <v>82</v>
      </c>
      <c r="BG719" s="1" t="s">
        <v>82</v>
      </c>
      <c r="BH719" s="1" t="s">
        <v>82</v>
      </c>
      <c r="BI719" s="1">
        <v>110</v>
      </c>
      <c r="BJ719" s="1">
        <v>114</v>
      </c>
      <c r="BK719" s="1" t="s">
        <v>82</v>
      </c>
      <c r="BL719" s="1" t="s">
        <v>13752</v>
      </c>
      <c r="BM719" s="1" t="str">
        <f>HYPERLINK("http://dx.doi.org/10.6165/tai.2022.67.110","http://dx.doi.org/10.6165/tai.2022.67.110")</f>
        <v>http://dx.doi.org/10.6165/tai.2022.67.110</v>
      </c>
      <c r="BN719" s="1" t="s">
        <v>82</v>
      </c>
      <c r="BO719" s="1" t="s">
        <v>82</v>
      </c>
      <c r="BP719" s="1">
        <v>5</v>
      </c>
      <c r="BQ719" s="1" t="s">
        <v>378</v>
      </c>
      <c r="BR719" s="1" t="s">
        <v>104</v>
      </c>
      <c r="BS719" s="1" t="s">
        <v>378</v>
      </c>
      <c r="BT719" s="1" t="s">
        <v>13753</v>
      </c>
      <c r="BU719" s="1" t="s">
        <v>82</v>
      </c>
      <c r="BV719" s="1" t="s">
        <v>82</v>
      </c>
      <c r="BW719" s="1" t="s">
        <v>82</v>
      </c>
      <c r="BX719" s="1" t="s">
        <v>82</v>
      </c>
      <c r="BY719" s="1" t="s">
        <v>108</v>
      </c>
      <c r="BZ719" s="1" t="s">
        <v>13754</v>
      </c>
      <c r="CA719" s="1" t="str">
        <f>HYPERLINK("https%3A%2F%2Fwww.webofscience.com%2Fwos%2Fwoscc%2Ffull-record%2FWOS:000747231300001","View Full Record in Web of Science")</f>
        <v>View Full Record in Web of Science</v>
      </c>
    </row>
    <row r="720" s="1" customFormat="1" ht="14.4" spans="1:79">
      <c r="A720">
        <v>719</v>
      </c>
      <c r="B720" s="2" t="s">
        <v>79</v>
      </c>
      <c r="C720" s="1" t="s">
        <v>80</v>
      </c>
      <c r="D720" s="1" t="s">
        <v>13755</v>
      </c>
      <c r="E720" s="1" t="s">
        <v>82</v>
      </c>
      <c r="F720" s="1" t="s">
        <v>82</v>
      </c>
      <c r="G720" s="1" t="s">
        <v>82</v>
      </c>
      <c r="H720" s="1" t="s">
        <v>13756</v>
      </c>
      <c r="I720" s="1" t="s">
        <v>82</v>
      </c>
      <c r="J720" s="1" t="s">
        <v>82</v>
      </c>
      <c r="K720" s="1" t="s">
        <v>13757</v>
      </c>
      <c r="L720" s="1" t="s">
        <v>13758</v>
      </c>
      <c r="M720" s="1">
        <v>0.813</v>
      </c>
      <c r="O720" s="1" t="s">
        <v>82</v>
      </c>
      <c r="P720" s="1" t="s">
        <v>82</v>
      </c>
      <c r="Q720" s="1" t="s">
        <v>87</v>
      </c>
      <c r="R720" s="1" t="s">
        <v>115</v>
      </c>
      <c r="S720" s="1" t="s">
        <v>82</v>
      </c>
      <c r="T720" s="1" t="s">
        <v>82</v>
      </c>
      <c r="U720" s="1" t="s">
        <v>82</v>
      </c>
      <c r="V720" s="1" t="s">
        <v>82</v>
      </c>
      <c r="W720" s="1" t="s">
        <v>82</v>
      </c>
      <c r="X720" s="1" t="s">
        <v>13759</v>
      </c>
      <c r="Y720" s="1" t="s">
        <v>13760</v>
      </c>
      <c r="Z720" s="1" t="s">
        <v>13761</v>
      </c>
      <c r="AB720" s="1" t="s">
        <v>2190</v>
      </c>
      <c r="AC720" s="1" t="s">
        <v>13762</v>
      </c>
      <c r="AD720" s="1" t="s">
        <v>206</v>
      </c>
      <c r="AE720" s="1" t="s">
        <v>13763</v>
      </c>
      <c r="AF720" s="1" t="s">
        <v>13764</v>
      </c>
      <c r="AG720" s="1" t="s">
        <v>12533</v>
      </c>
      <c r="AH720" s="1" t="s">
        <v>82</v>
      </c>
      <c r="AI720" s="1" t="s">
        <v>82</v>
      </c>
      <c r="AJ720" s="1" t="s">
        <v>5130</v>
      </c>
      <c r="AK720" s="1" t="s">
        <v>5131</v>
      </c>
      <c r="AL720" s="1" t="s">
        <v>13765</v>
      </c>
      <c r="AM720" s="1" t="s">
        <v>82</v>
      </c>
      <c r="AN720" s="1">
        <v>28</v>
      </c>
      <c r="AO720" s="1">
        <v>0</v>
      </c>
      <c r="AP720" s="1">
        <v>0</v>
      </c>
      <c r="AQ720" s="1">
        <v>2</v>
      </c>
      <c r="AR720" s="1">
        <v>4</v>
      </c>
      <c r="AS720" s="1" t="s">
        <v>13766</v>
      </c>
      <c r="AT720" s="1" t="s">
        <v>371</v>
      </c>
      <c r="AU720" s="1" t="s">
        <v>13767</v>
      </c>
      <c r="AV720" s="1" t="s">
        <v>13768</v>
      </c>
      <c r="AW720" s="1" t="s">
        <v>13769</v>
      </c>
      <c r="AX720" s="1" t="s">
        <v>82</v>
      </c>
      <c r="AY720" s="1" t="s">
        <v>13770</v>
      </c>
      <c r="AZ720" s="1" t="s">
        <v>13771</v>
      </c>
      <c r="BA720" s="1" t="s">
        <v>2145</v>
      </c>
      <c r="BB720" s="1">
        <v>2022</v>
      </c>
      <c r="BC720" s="1">
        <v>77</v>
      </c>
      <c r="BD720" s="1">
        <v>1</v>
      </c>
      <c r="BE720" s="1" t="s">
        <v>82</v>
      </c>
      <c r="BF720" s="1" t="s">
        <v>82</v>
      </c>
      <c r="BG720" s="1" t="s">
        <v>82</v>
      </c>
      <c r="BH720" s="1" t="s">
        <v>82</v>
      </c>
      <c r="BI720" s="1">
        <v>325</v>
      </c>
      <c r="BJ720" s="1">
        <v>332</v>
      </c>
      <c r="BK720" s="1" t="s">
        <v>82</v>
      </c>
      <c r="BL720" s="1" t="s">
        <v>13772</v>
      </c>
      <c r="BM720" s="1" t="str">
        <f>HYPERLINK("http://dx.doi.org/10.1007/s12225-022-10001-y","http://dx.doi.org/10.1007/s12225-022-10001-y")</f>
        <v>http://dx.doi.org/10.1007/s12225-022-10001-y</v>
      </c>
      <c r="BN720" s="1" t="s">
        <v>82</v>
      </c>
      <c r="BO720" s="1" t="s">
        <v>282</v>
      </c>
      <c r="BP720" s="1">
        <v>8</v>
      </c>
      <c r="BQ720" s="1" t="s">
        <v>378</v>
      </c>
      <c r="BR720" s="1" t="s">
        <v>104</v>
      </c>
      <c r="BS720" s="1" t="s">
        <v>378</v>
      </c>
      <c r="BT720" s="1" t="s">
        <v>13773</v>
      </c>
      <c r="BU720" s="1" t="s">
        <v>82</v>
      </c>
      <c r="BV720" s="1" t="s">
        <v>82</v>
      </c>
      <c r="BW720" s="1" t="s">
        <v>82</v>
      </c>
      <c r="BX720" s="1" t="s">
        <v>82</v>
      </c>
      <c r="BY720" s="1" t="s">
        <v>108</v>
      </c>
      <c r="BZ720" s="1" t="s">
        <v>13774</v>
      </c>
      <c r="CA720" s="1" t="str">
        <f>HYPERLINK("https%3A%2F%2Fwww.webofscience.com%2Fwos%2Fwoscc%2Ffull-record%2FWOS:000773848600001","View Full Record in Web of Science")</f>
        <v>View Full Record in Web of Science</v>
      </c>
    </row>
    <row r="721" s="1" customFormat="1" ht="14.4" spans="1:79">
      <c r="A721">
        <v>720</v>
      </c>
      <c r="B721" s="2" t="s">
        <v>79</v>
      </c>
      <c r="C721" s="1" t="s">
        <v>80</v>
      </c>
      <c r="D721" s="1" t="s">
        <v>13775</v>
      </c>
      <c r="E721" s="1" t="s">
        <v>82</v>
      </c>
      <c r="F721" s="1" t="s">
        <v>82</v>
      </c>
      <c r="G721" s="1" t="s">
        <v>82</v>
      </c>
      <c r="H721" s="1" t="s">
        <v>13776</v>
      </c>
      <c r="I721" s="1" t="s">
        <v>82</v>
      </c>
      <c r="J721" s="1" t="s">
        <v>82</v>
      </c>
      <c r="K721" s="1" t="s">
        <v>13777</v>
      </c>
      <c r="L721" s="1" t="s">
        <v>13778</v>
      </c>
      <c r="M721" s="1">
        <v>0.778</v>
      </c>
      <c r="O721" s="1" t="s">
        <v>82</v>
      </c>
      <c r="P721" s="1" t="s">
        <v>82</v>
      </c>
      <c r="Q721" s="1" t="s">
        <v>87</v>
      </c>
      <c r="R721" s="1" t="s">
        <v>115</v>
      </c>
      <c r="S721" s="1" t="s">
        <v>82</v>
      </c>
      <c r="T721" s="1" t="s">
        <v>82</v>
      </c>
      <c r="U721" s="1" t="s">
        <v>82</v>
      </c>
      <c r="V721" s="1" t="s">
        <v>82</v>
      </c>
      <c r="W721" s="1" t="s">
        <v>82</v>
      </c>
      <c r="X721" s="1" t="s">
        <v>13779</v>
      </c>
      <c r="Y721" s="1" t="s">
        <v>13780</v>
      </c>
      <c r="Z721" s="1" t="s">
        <v>13781</v>
      </c>
      <c r="AB721" s="1" t="s">
        <v>13782</v>
      </c>
      <c r="AC721" s="1" t="s">
        <v>13783</v>
      </c>
      <c r="AD721" s="1" t="s">
        <v>120</v>
      </c>
      <c r="AE721" s="1" t="s">
        <v>13784</v>
      </c>
      <c r="AF721" s="1" t="s">
        <v>13785</v>
      </c>
      <c r="AG721" s="1" t="s">
        <v>11461</v>
      </c>
      <c r="AH721" s="1" t="s">
        <v>11462</v>
      </c>
      <c r="AI721" s="1" t="s">
        <v>13786</v>
      </c>
      <c r="AJ721" s="1" t="s">
        <v>13787</v>
      </c>
      <c r="AK721" s="1" t="s">
        <v>13788</v>
      </c>
      <c r="AL721" s="1" t="s">
        <v>13789</v>
      </c>
      <c r="AM721" s="1" t="s">
        <v>82</v>
      </c>
      <c r="AN721" s="1">
        <v>76</v>
      </c>
      <c r="AO721" s="1">
        <v>0</v>
      </c>
      <c r="AP721" s="1">
        <v>0</v>
      </c>
      <c r="AQ721" s="1">
        <v>3</v>
      </c>
      <c r="AR721" s="1">
        <v>3</v>
      </c>
      <c r="AS721" s="1" t="s">
        <v>13790</v>
      </c>
      <c r="AT721" s="1" t="s">
        <v>13791</v>
      </c>
      <c r="AU721" s="1" t="s">
        <v>13792</v>
      </c>
      <c r="AV721" s="1" t="s">
        <v>13793</v>
      </c>
      <c r="AW721" s="1" t="s">
        <v>13794</v>
      </c>
      <c r="AX721" s="1" t="s">
        <v>82</v>
      </c>
      <c r="AY721" s="1" t="s">
        <v>13795</v>
      </c>
      <c r="AZ721" s="1" t="s">
        <v>13796</v>
      </c>
      <c r="BA721" s="1" t="s">
        <v>1146</v>
      </c>
      <c r="BB721" s="1">
        <v>2022</v>
      </c>
      <c r="BC721" s="1">
        <v>18</v>
      </c>
      <c r="BD721" s="1">
        <v>1</v>
      </c>
      <c r="BE721" s="1" t="s">
        <v>82</v>
      </c>
      <c r="BF721" s="1" t="s">
        <v>82</v>
      </c>
      <c r="BG721" s="1" t="s">
        <v>82</v>
      </c>
      <c r="BH721" s="1" t="s">
        <v>82</v>
      </c>
      <c r="BI721" s="1">
        <v>1</v>
      </c>
      <c r="BJ721" s="1">
        <v>8</v>
      </c>
      <c r="BK721" s="1" t="s">
        <v>13797</v>
      </c>
      <c r="BL721" s="1" t="s">
        <v>82</v>
      </c>
      <c r="BM721" s="1" t="s">
        <v>82</v>
      </c>
      <c r="BN721" s="1" t="s">
        <v>82</v>
      </c>
      <c r="BO721" s="1" t="s">
        <v>82</v>
      </c>
      <c r="BP721" s="1">
        <v>8</v>
      </c>
      <c r="BQ721" s="1" t="s">
        <v>2701</v>
      </c>
      <c r="BR721" s="1" t="s">
        <v>104</v>
      </c>
      <c r="BS721" s="1" t="s">
        <v>2701</v>
      </c>
      <c r="BT721" s="1" t="s">
        <v>13798</v>
      </c>
      <c r="BU721" s="1" t="s">
        <v>82</v>
      </c>
      <c r="BV721" s="1" t="s">
        <v>82</v>
      </c>
      <c r="BW721" s="1" t="s">
        <v>82</v>
      </c>
      <c r="BX721" s="1" t="s">
        <v>82</v>
      </c>
      <c r="BY721" s="1" t="s">
        <v>108</v>
      </c>
      <c r="BZ721" s="1" t="s">
        <v>13799</v>
      </c>
      <c r="CA721" s="1" t="str">
        <f>HYPERLINK("https%3A%2F%2Fwww.webofscience.com%2Fwos%2Fwoscc%2Ffull-record%2FWOS:000814087800002","View Full Record in Web of Science")</f>
        <v>View Full Record in Web of Science</v>
      </c>
    </row>
    <row r="722" s="1" customFormat="1" ht="14.4" spans="1:79">
      <c r="A722">
        <v>721</v>
      </c>
      <c r="B722" s="2" t="s">
        <v>110</v>
      </c>
      <c r="C722" s="1" t="s">
        <v>80</v>
      </c>
      <c r="D722" s="1" t="s">
        <v>13800</v>
      </c>
      <c r="E722" s="1" t="s">
        <v>82</v>
      </c>
      <c r="F722" s="1" t="s">
        <v>82</v>
      </c>
      <c r="G722" s="1" t="s">
        <v>82</v>
      </c>
      <c r="H722" s="1" t="s">
        <v>13801</v>
      </c>
      <c r="I722" s="1" t="s">
        <v>82</v>
      </c>
      <c r="J722" s="1" t="s">
        <v>82</v>
      </c>
      <c r="K722" s="1" t="s">
        <v>13802</v>
      </c>
      <c r="L722" s="1" t="s">
        <v>13803</v>
      </c>
      <c r="M722" s="1">
        <v>0.689</v>
      </c>
      <c r="O722" s="1" t="s">
        <v>82</v>
      </c>
      <c r="P722" s="1" t="s">
        <v>82</v>
      </c>
      <c r="Q722" s="1" t="s">
        <v>87</v>
      </c>
      <c r="R722" s="1" t="s">
        <v>115</v>
      </c>
      <c r="S722" s="1" t="s">
        <v>82</v>
      </c>
      <c r="T722" s="1" t="s">
        <v>82</v>
      </c>
      <c r="U722" s="1" t="s">
        <v>82</v>
      </c>
      <c r="V722" s="1" t="s">
        <v>82</v>
      </c>
      <c r="W722" s="1" t="s">
        <v>82</v>
      </c>
      <c r="X722" s="1" t="s">
        <v>82</v>
      </c>
      <c r="Y722" s="1" t="s">
        <v>13804</v>
      </c>
      <c r="Z722" s="1" t="s">
        <v>13805</v>
      </c>
      <c r="AB722" s="1" t="s">
        <v>13806</v>
      </c>
      <c r="AC722" s="1" t="s">
        <v>13807</v>
      </c>
      <c r="AD722" s="1" t="s">
        <v>120</v>
      </c>
      <c r="AE722" s="1" t="s">
        <v>13808</v>
      </c>
      <c r="AF722" s="1" t="s">
        <v>13809</v>
      </c>
      <c r="AG722" s="1" t="s">
        <v>13810</v>
      </c>
      <c r="AH722" s="1" t="s">
        <v>82</v>
      </c>
      <c r="AI722" s="1" t="s">
        <v>82</v>
      </c>
      <c r="AJ722" s="1" t="s">
        <v>13811</v>
      </c>
      <c r="AK722" s="1" t="s">
        <v>13812</v>
      </c>
      <c r="AL722" s="1" t="s">
        <v>13813</v>
      </c>
      <c r="AM722" s="1" t="s">
        <v>82</v>
      </c>
      <c r="AN722" s="1">
        <v>18</v>
      </c>
      <c r="AO722" s="1">
        <v>0</v>
      </c>
      <c r="AP722" s="1">
        <v>0</v>
      </c>
      <c r="AQ722" s="1">
        <v>3</v>
      </c>
      <c r="AR722" s="1">
        <v>3</v>
      </c>
      <c r="AS722" s="1" t="s">
        <v>1700</v>
      </c>
      <c r="AT722" s="1" t="s">
        <v>329</v>
      </c>
      <c r="AU722" s="1" t="s">
        <v>1701</v>
      </c>
      <c r="AV722" s="1" t="s">
        <v>13814</v>
      </c>
      <c r="AW722" s="1" t="s">
        <v>13815</v>
      </c>
      <c r="AX722" s="1" t="s">
        <v>82</v>
      </c>
      <c r="AY722" s="1" t="s">
        <v>13803</v>
      </c>
      <c r="AZ722" s="1" t="s">
        <v>13816</v>
      </c>
      <c r="BA722" s="1" t="s">
        <v>7244</v>
      </c>
      <c r="BB722" s="1">
        <v>2022</v>
      </c>
      <c r="BC722" s="1">
        <v>104</v>
      </c>
      <c r="BD722" s="1">
        <v>7</v>
      </c>
      <c r="BE722" s="1" t="s">
        <v>82</v>
      </c>
      <c r="BF722" s="1" t="s">
        <v>82</v>
      </c>
      <c r="BG722" s="1" t="s">
        <v>82</v>
      </c>
      <c r="BH722" s="1" t="s">
        <v>82</v>
      </c>
      <c r="BI722" s="1">
        <v>1315</v>
      </c>
      <c r="BJ722" s="1">
        <v>1322</v>
      </c>
      <c r="BK722" s="1" t="s">
        <v>82</v>
      </c>
      <c r="BL722" s="1" t="s">
        <v>13817</v>
      </c>
      <c r="BM722" s="1" t="str">
        <f>HYPERLINK("http://dx.doi.org/10.3987/COM-22-14669","http://dx.doi.org/10.3987/COM-22-14669")</f>
        <v>http://dx.doi.org/10.3987/COM-22-14669</v>
      </c>
      <c r="BN722" s="1" t="s">
        <v>82</v>
      </c>
      <c r="BO722" s="1" t="s">
        <v>82</v>
      </c>
      <c r="BP722" s="1">
        <v>8</v>
      </c>
      <c r="BQ722" s="1" t="s">
        <v>4190</v>
      </c>
      <c r="BR722" s="1" t="s">
        <v>745</v>
      </c>
      <c r="BS722" s="1" t="s">
        <v>706</v>
      </c>
      <c r="BT722" s="1" t="s">
        <v>13818</v>
      </c>
      <c r="BU722" s="1" t="s">
        <v>82</v>
      </c>
      <c r="BV722" s="1" t="s">
        <v>82</v>
      </c>
      <c r="BW722" s="1" t="s">
        <v>82</v>
      </c>
      <c r="BX722" s="1" t="s">
        <v>82</v>
      </c>
      <c r="BY722" s="1" t="s">
        <v>108</v>
      </c>
      <c r="BZ722" s="1" t="s">
        <v>13819</v>
      </c>
      <c r="CA722" s="1" t="str">
        <f>HYPERLINK("https%3A%2F%2Fwww.webofscience.com%2Fwos%2Fwoscc%2Ffull-record%2FWOS:000817759400010","View Full Record in Web of Science")</f>
        <v>View Full Record in Web of Science</v>
      </c>
    </row>
    <row r="723" s="1" customFormat="1" ht="14.4" spans="1:79">
      <c r="A723">
        <v>722</v>
      </c>
      <c r="B723" s="2" t="s">
        <v>79</v>
      </c>
      <c r="C723" s="1" t="s">
        <v>80</v>
      </c>
      <c r="D723" s="1" t="s">
        <v>13820</v>
      </c>
      <c r="E723" s="1" t="s">
        <v>82</v>
      </c>
      <c r="F723" s="1" t="s">
        <v>82</v>
      </c>
      <c r="G723" s="1" t="s">
        <v>82</v>
      </c>
      <c r="H723" s="1" t="s">
        <v>13821</v>
      </c>
      <c r="I723" s="1" t="s">
        <v>82</v>
      </c>
      <c r="J723" s="1" t="s">
        <v>82</v>
      </c>
      <c r="K723" s="1" t="s">
        <v>13822</v>
      </c>
      <c r="L723" s="1" t="s">
        <v>13823</v>
      </c>
      <c r="M723" s="1">
        <v>0.61</v>
      </c>
      <c r="O723" s="1" t="s">
        <v>82</v>
      </c>
      <c r="P723" s="1" t="s">
        <v>82</v>
      </c>
      <c r="Q723" s="1" t="s">
        <v>87</v>
      </c>
      <c r="R723" s="1" t="s">
        <v>115</v>
      </c>
      <c r="S723" s="1" t="s">
        <v>82</v>
      </c>
      <c r="T723" s="1" t="s">
        <v>82</v>
      </c>
      <c r="U723" s="1" t="s">
        <v>82</v>
      </c>
      <c r="V723" s="1" t="s">
        <v>82</v>
      </c>
      <c r="W723" s="1" t="s">
        <v>82</v>
      </c>
      <c r="X723" s="1" t="s">
        <v>13824</v>
      </c>
      <c r="Y723" s="1" t="s">
        <v>82</v>
      </c>
      <c r="Z723" s="1" t="s">
        <v>13825</v>
      </c>
      <c r="AB723" s="1" t="s">
        <v>7988</v>
      </c>
      <c r="AC723" s="1" t="s">
        <v>13826</v>
      </c>
      <c r="AD723" s="1" t="s">
        <v>206</v>
      </c>
      <c r="AE723" s="1" t="s">
        <v>13827</v>
      </c>
      <c r="AF723" s="1" t="s">
        <v>13828</v>
      </c>
      <c r="AG723" s="1" t="s">
        <v>3421</v>
      </c>
      <c r="AH723" s="1" t="s">
        <v>82</v>
      </c>
      <c r="AI723" s="1" t="s">
        <v>82</v>
      </c>
      <c r="AJ723" s="1" t="s">
        <v>13829</v>
      </c>
      <c r="AK723" s="1" t="s">
        <v>13830</v>
      </c>
      <c r="AL723" s="1" t="s">
        <v>13831</v>
      </c>
      <c r="AM723" s="1" t="s">
        <v>82</v>
      </c>
      <c r="AN723" s="1">
        <v>11</v>
      </c>
      <c r="AO723" s="1">
        <v>0</v>
      </c>
      <c r="AP723" s="1">
        <v>0</v>
      </c>
      <c r="AQ723" s="1">
        <v>2</v>
      </c>
      <c r="AR723" s="1">
        <v>2</v>
      </c>
      <c r="AS723" s="1" t="s">
        <v>8333</v>
      </c>
      <c r="AT723" s="1" t="s">
        <v>8334</v>
      </c>
      <c r="AU723" s="1" t="s">
        <v>8335</v>
      </c>
      <c r="AV723" s="1" t="s">
        <v>82</v>
      </c>
      <c r="AW723" s="1" t="s">
        <v>13832</v>
      </c>
      <c r="AX723" s="1" t="s">
        <v>82</v>
      </c>
      <c r="AY723" s="1" t="s">
        <v>13833</v>
      </c>
      <c r="AZ723" s="1" t="s">
        <v>13834</v>
      </c>
      <c r="BA723" s="1" t="s">
        <v>3261</v>
      </c>
      <c r="BB723" s="1">
        <v>2022</v>
      </c>
      <c r="BC723" s="1">
        <v>7</v>
      </c>
      <c r="BD723" s="1">
        <v>8</v>
      </c>
      <c r="BE723" s="1" t="s">
        <v>82</v>
      </c>
      <c r="BF723" s="1" t="s">
        <v>82</v>
      </c>
      <c r="BG723" s="1" t="s">
        <v>82</v>
      </c>
      <c r="BH723" s="1" t="s">
        <v>82</v>
      </c>
      <c r="BI723" s="1">
        <v>1448</v>
      </c>
      <c r="BJ723" s="1">
        <v>1450</v>
      </c>
      <c r="BK723" s="1" t="s">
        <v>82</v>
      </c>
      <c r="BL723" s="1" t="s">
        <v>13835</v>
      </c>
      <c r="BM723" s="1" t="str">
        <f>HYPERLINK("http://dx.doi.org/10.1080/23802359.2022.2107443","http://dx.doi.org/10.1080/23802359.2022.2107443")</f>
        <v>http://dx.doi.org/10.1080/23802359.2022.2107443</v>
      </c>
      <c r="BN723" s="1" t="s">
        <v>82</v>
      </c>
      <c r="BO723" s="1" t="s">
        <v>82</v>
      </c>
      <c r="BP723" s="1">
        <v>3</v>
      </c>
      <c r="BQ723" s="1" t="s">
        <v>7013</v>
      </c>
      <c r="BR723" s="1" t="s">
        <v>104</v>
      </c>
      <c r="BS723" s="1" t="s">
        <v>7013</v>
      </c>
      <c r="BT723" s="1" t="s">
        <v>13836</v>
      </c>
      <c r="BU723" s="1">
        <v>35958062</v>
      </c>
      <c r="BV723" s="1" t="s">
        <v>635</v>
      </c>
      <c r="BW723" s="1" t="s">
        <v>82</v>
      </c>
      <c r="BX723" s="1" t="s">
        <v>82</v>
      </c>
      <c r="BY723" s="1" t="s">
        <v>108</v>
      </c>
      <c r="BZ723" s="1" t="s">
        <v>13837</v>
      </c>
      <c r="CA723" s="1" t="str">
        <f>HYPERLINK("https%3A%2F%2Fwww.webofscience.com%2Fwos%2Fwoscc%2Ffull-record%2FWOS:000837454100001","View Full Record in Web of Science")</f>
        <v>View Full Record in Web of Science</v>
      </c>
    </row>
    <row r="724" s="1" customFormat="1" ht="14.4" spans="1:79">
      <c r="A724">
        <v>723</v>
      </c>
      <c r="B724" s="2" t="s">
        <v>79</v>
      </c>
      <c r="C724" s="1" t="s">
        <v>80</v>
      </c>
      <c r="D724" s="1" t="s">
        <v>13838</v>
      </c>
      <c r="E724" s="1" t="s">
        <v>82</v>
      </c>
      <c r="F724" s="1" t="s">
        <v>82</v>
      </c>
      <c r="G724" s="1" t="s">
        <v>82</v>
      </c>
      <c r="H724" s="1" t="s">
        <v>13839</v>
      </c>
      <c r="I724" s="1" t="s">
        <v>82</v>
      </c>
      <c r="J724" s="1" t="s">
        <v>82</v>
      </c>
      <c r="K724" s="1" t="s">
        <v>13840</v>
      </c>
      <c r="L724" s="1" t="s">
        <v>13823</v>
      </c>
      <c r="M724" s="1">
        <v>0.61</v>
      </c>
      <c r="O724" s="1" t="s">
        <v>82</v>
      </c>
      <c r="P724" s="1" t="s">
        <v>82</v>
      </c>
      <c r="Q724" s="1" t="s">
        <v>87</v>
      </c>
      <c r="R724" s="1" t="s">
        <v>115</v>
      </c>
      <c r="S724" s="1" t="s">
        <v>82</v>
      </c>
      <c r="T724" s="1" t="s">
        <v>82</v>
      </c>
      <c r="U724" s="1" t="s">
        <v>82</v>
      </c>
      <c r="V724" s="1" t="s">
        <v>82</v>
      </c>
      <c r="W724" s="1" t="s">
        <v>82</v>
      </c>
      <c r="X724" s="1" t="s">
        <v>13841</v>
      </c>
      <c r="Y724" s="1" t="s">
        <v>82</v>
      </c>
      <c r="Z724" s="1" t="s">
        <v>13842</v>
      </c>
      <c r="AB724" s="1" t="s">
        <v>13843</v>
      </c>
      <c r="AC724" s="1" t="s">
        <v>13844</v>
      </c>
      <c r="AD724" s="1" t="s">
        <v>120</v>
      </c>
      <c r="AE724" s="1" t="s">
        <v>13845</v>
      </c>
      <c r="AF724" s="1" t="s">
        <v>13846</v>
      </c>
      <c r="AG724" s="1" t="s">
        <v>13847</v>
      </c>
      <c r="AH724" s="1" t="s">
        <v>82</v>
      </c>
      <c r="AI724" s="1" t="s">
        <v>82</v>
      </c>
      <c r="AJ724" s="1" t="s">
        <v>13848</v>
      </c>
      <c r="AK724" s="1" t="s">
        <v>13849</v>
      </c>
      <c r="AL724" s="1" t="s">
        <v>13850</v>
      </c>
      <c r="AM724" s="1" t="s">
        <v>82</v>
      </c>
      <c r="AN724" s="1">
        <v>18</v>
      </c>
      <c r="AO724" s="1">
        <v>0</v>
      </c>
      <c r="AP724" s="1">
        <v>0</v>
      </c>
      <c r="AQ724" s="1">
        <v>4</v>
      </c>
      <c r="AR724" s="1">
        <v>4</v>
      </c>
      <c r="AS724" s="1" t="s">
        <v>8333</v>
      </c>
      <c r="AT724" s="1" t="s">
        <v>8334</v>
      </c>
      <c r="AU724" s="1" t="s">
        <v>8335</v>
      </c>
      <c r="AV724" s="1" t="s">
        <v>82</v>
      </c>
      <c r="AW724" s="1" t="s">
        <v>13832</v>
      </c>
      <c r="AX724" s="1" t="s">
        <v>82</v>
      </c>
      <c r="AY724" s="1" t="s">
        <v>13833</v>
      </c>
      <c r="AZ724" s="1" t="s">
        <v>13834</v>
      </c>
      <c r="BA724" s="1" t="s">
        <v>13851</v>
      </c>
      <c r="BB724" s="1">
        <v>2022</v>
      </c>
      <c r="BC724" s="1">
        <v>7</v>
      </c>
      <c r="BD724" s="1">
        <v>7</v>
      </c>
      <c r="BE724" s="1" t="s">
        <v>82</v>
      </c>
      <c r="BF724" s="1" t="s">
        <v>82</v>
      </c>
      <c r="BG724" s="1" t="s">
        <v>82</v>
      </c>
      <c r="BH724" s="1" t="s">
        <v>82</v>
      </c>
      <c r="BI724" s="1">
        <v>1229</v>
      </c>
      <c r="BJ724" s="1">
        <v>1231</v>
      </c>
      <c r="BK724" s="1" t="s">
        <v>82</v>
      </c>
      <c r="BL724" s="1" t="s">
        <v>13852</v>
      </c>
      <c r="BM724" s="1" t="str">
        <f>HYPERLINK("http://dx.doi.org/10.1080/23802359.2022.2093664","http://dx.doi.org/10.1080/23802359.2022.2093664")</f>
        <v>http://dx.doi.org/10.1080/23802359.2022.2093664</v>
      </c>
      <c r="BN724" s="1" t="s">
        <v>82</v>
      </c>
      <c r="BO724" s="1" t="s">
        <v>82</v>
      </c>
      <c r="BP724" s="1">
        <v>3</v>
      </c>
      <c r="BQ724" s="1" t="s">
        <v>7013</v>
      </c>
      <c r="BR724" s="1" t="s">
        <v>104</v>
      </c>
      <c r="BS724" s="1" t="s">
        <v>7013</v>
      </c>
      <c r="BT724" s="1" t="s">
        <v>13853</v>
      </c>
      <c r="BU724" s="1">
        <v>35814181</v>
      </c>
      <c r="BV724" s="1" t="s">
        <v>592</v>
      </c>
      <c r="BW724" s="1" t="s">
        <v>82</v>
      </c>
      <c r="BX724" s="1" t="s">
        <v>82</v>
      </c>
      <c r="BY724" s="1" t="s">
        <v>108</v>
      </c>
      <c r="BZ724" s="1" t="s">
        <v>13854</v>
      </c>
      <c r="CA724" s="1" t="str">
        <f>HYPERLINK("https%3A%2F%2Fwww.webofscience.com%2Fwos%2Fwoscc%2Ffull-record%2FWOS:000825156600001","View Full Record in Web of Science")</f>
        <v>View Full Record in Web of Science</v>
      </c>
    </row>
    <row r="725" s="1" customFormat="1" ht="14.4" spans="1:79">
      <c r="A725">
        <v>724</v>
      </c>
      <c r="B725" s="2" t="s">
        <v>79</v>
      </c>
      <c r="C725" s="1" t="s">
        <v>80</v>
      </c>
      <c r="D725" s="1" t="s">
        <v>13855</v>
      </c>
      <c r="E725" s="1" t="s">
        <v>82</v>
      </c>
      <c r="F725" s="1" t="s">
        <v>82</v>
      </c>
      <c r="G725" s="1" t="s">
        <v>82</v>
      </c>
      <c r="H725" s="1" t="s">
        <v>13856</v>
      </c>
      <c r="I725" s="1" t="s">
        <v>82</v>
      </c>
      <c r="J725" s="1" t="s">
        <v>82</v>
      </c>
      <c r="K725" s="1" t="s">
        <v>13857</v>
      </c>
      <c r="L725" s="1" t="s">
        <v>13823</v>
      </c>
      <c r="M725" s="1">
        <v>0.61</v>
      </c>
      <c r="O725" s="1" t="s">
        <v>82</v>
      </c>
      <c r="P725" s="1" t="s">
        <v>82</v>
      </c>
      <c r="Q725" s="1" t="s">
        <v>87</v>
      </c>
      <c r="R725" s="1" t="s">
        <v>115</v>
      </c>
      <c r="S725" s="1" t="s">
        <v>82</v>
      </c>
      <c r="T725" s="1" t="s">
        <v>82</v>
      </c>
      <c r="U725" s="1" t="s">
        <v>82</v>
      </c>
      <c r="V725" s="1" t="s">
        <v>82</v>
      </c>
      <c r="W725" s="1" t="s">
        <v>82</v>
      </c>
      <c r="X725" s="1" t="s">
        <v>13858</v>
      </c>
      <c r="Y725" s="1" t="s">
        <v>82</v>
      </c>
      <c r="Z725" s="1" t="s">
        <v>13859</v>
      </c>
      <c r="AB725" s="1" t="s">
        <v>13860</v>
      </c>
      <c r="AC725" s="1" t="s">
        <v>13861</v>
      </c>
      <c r="AD725" s="1" t="s">
        <v>206</v>
      </c>
      <c r="AE725" s="1" t="s">
        <v>13280</v>
      </c>
      <c r="AF725" s="1" t="s">
        <v>13862</v>
      </c>
      <c r="AG725" s="1" t="s">
        <v>13863</v>
      </c>
      <c r="AH725" s="1" t="s">
        <v>82</v>
      </c>
      <c r="AI725" s="1" t="s">
        <v>82</v>
      </c>
      <c r="AJ725" s="1" t="s">
        <v>13864</v>
      </c>
      <c r="AK725" s="1" t="s">
        <v>13865</v>
      </c>
      <c r="AL725" s="1" t="s">
        <v>13866</v>
      </c>
      <c r="AM725" s="1" t="s">
        <v>82</v>
      </c>
      <c r="AN725" s="1">
        <v>8</v>
      </c>
      <c r="AO725" s="1">
        <v>0</v>
      </c>
      <c r="AP725" s="1">
        <v>0</v>
      </c>
      <c r="AQ725" s="1">
        <v>2</v>
      </c>
      <c r="AR725" s="1">
        <v>2</v>
      </c>
      <c r="AS725" s="1" t="s">
        <v>8333</v>
      </c>
      <c r="AT725" s="1" t="s">
        <v>8334</v>
      </c>
      <c r="AU725" s="1" t="s">
        <v>8335</v>
      </c>
      <c r="AV725" s="1" t="s">
        <v>82</v>
      </c>
      <c r="AW725" s="1" t="s">
        <v>13832</v>
      </c>
      <c r="AX725" s="1" t="s">
        <v>82</v>
      </c>
      <c r="AY725" s="1" t="s">
        <v>13833</v>
      </c>
      <c r="AZ725" s="1" t="s">
        <v>13834</v>
      </c>
      <c r="BA725" s="1" t="s">
        <v>13867</v>
      </c>
      <c r="BB725" s="1">
        <v>2022</v>
      </c>
      <c r="BC725" s="1">
        <v>7</v>
      </c>
      <c r="BD725" s="1">
        <v>6</v>
      </c>
      <c r="BE725" s="1" t="s">
        <v>82</v>
      </c>
      <c r="BF725" s="1" t="s">
        <v>82</v>
      </c>
      <c r="BG725" s="1" t="s">
        <v>82</v>
      </c>
      <c r="BH725" s="1" t="s">
        <v>82</v>
      </c>
      <c r="BI725" s="1">
        <v>1066</v>
      </c>
      <c r="BJ725" s="1">
        <v>1068</v>
      </c>
      <c r="BK725" s="1" t="s">
        <v>82</v>
      </c>
      <c r="BL725" s="1" t="s">
        <v>13868</v>
      </c>
      <c r="BM725" s="1" t="str">
        <f>HYPERLINK("http://dx.doi.org/10.1080/23802359.2022.2086077","http://dx.doi.org/10.1080/23802359.2022.2086077")</f>
        <v>http://dx.doi.org/10.1080/23802359.2022.2086077</v>
      </c>
      <c r="BN725" s="1" t="s">
        <v>82</v>
      </c>
      <c r="BO725" s="1" t="s">
        <v>82</v>
      </c>
      <c r="BP725" s="1">
        <v>3</v>
      </c>
      <c r="BQ725" s="1" t="s">
        <v>7013</v>
      </c>
      <c r="BR725" s="1" t="s">
        <v>104</v>
      </c>
      <c r="BS725" s="1" t="s">
        <v>7013</v>
      </c>
      <c r="BT725" s="1" t="s">
        <v>13869</v>
      </c>
      <c r="BU725" s="1">
        <v>35801138</v>
      </c>
      <c r="BV725" s="1" t="s">
        <v>635</v>
      </c>
      <c r="BW725" s="1" t="s">
        <v>82</v>
      </c>
      <c r="BX725" s="1" t="s">
        <v>82</v>
      </c>
      <c r="BY725" s="1" t="s">
        <v>108</v>
      </c>
      <c r="BZ725" s="1" t="s">
        <v>13870</v>
      </c>
      <c r="CA725" s="1" t="str">
        <f>HYPERLINK("https%3A%2F%2Fwww.webofscience.com%2Fwos%2Fwoscc%2Ffull-record%2FWOS:000819308800001","View Full Record in Web of Science")</f>
        <v>View Full Record in Web of Science</v>
      </c>
    </row>
    <row r="726" s="1" customFormat="1" ht="14.4" spans="1:79">
      <c r="A726">
        <v>725</v>
      </c>
      <c r="B726" s="2" t="s">
        <v>79</v>
      </c>
      <c r="C726" s="1" t="s">
        <v>80</v>
      </c>
      <c r="D726" s="1" t="s">
        <v>13871</v>
      </c>
      <c r="E726" s="1" t="s">
        <v>82</v>
      </c>
      <c r="F726" s="1" t="s">
        <v>82</v>
      </c>
      <c r="G726" s="1" t="s">
        <v>82</v>
      </c>
      <c r="H726" s="1" t="s">
        <v>13872</v>
      </c>
      <c r="I726" s="1" t="s">
        <v>82</v>
      </c>
      <c r="J726" s="1" t="s">
        <v>82</v>
      </c>
      <c r="K726" s="1" t="s">
        <v>13873</v>
      </c>
      <c r="L726" s="1" t="s">
        <v>13823</v>
      </c>
      <c r="M726" s="1">
        <v>0.61</v>
      </c>
      <c r="O726" s="1" t="s">
        <v>82</v>
      </c>
      <c r="P726" s="1" t="s">
        <v>82</v>
      </c>
      <c r="Q726" s="1" t="s">
        <v>87</v>
      </c>
      <c r="R726" s="1" t="s">
        <v>115</v>
      </c>
      <c r="S726" s="1" t="s">
        <v>82</v>
      </c>
      <c r="T726" s="1" t="s">
        <v>82</v>
      </c>
      <c r="U726" s="1" t="s">
        <v>82</v>
      </c>
      <c r="V726" s="1" t="s">
        <v>82</v>
      </c>
      <c r="W726" s="1" t="s">
        <v>82</v>
      </c>
      <c r="X726" s="1" t="s">
        <v>13874</v>
      </c>
      <c r="Y726" s="1" t="s">
        <v>7550</v>
      </c>
      <c r="Z726" s="1" t="s">
        <v>13875</v>
      </c>
      <c r="AB726" s="1" t="s">
        <v>13876</v>
      </c>
      <c r="AC726" s="1" t="s">
        <v>13877</v>
      </c>
      <c r="AD726" s="1" t="s">
        <v>120</v>
      </c>
      <c r="AE726" s="1" t="s">
        <v>13878</v>
      </c>
      <c r="AF726" s="1" t="s">
        <v>13879</v>
      </c>
      <c r="AG726" s="1" t="s">
        <v>13880</v>
      </c>
      <c r="AH726" s="1" t="s">
        <v>82</v>
      </c>
      <c r="AI726" s="1" t="s">
        <v>82</v>
      </c>
      <c r="AJ726" s="1" t="s">
        <v>13881</v>
      </c>
      <c r="AK726" s="1" t="s">
        <v>13882</v>
      </c>
      <c r="AL726" s="1" t="s">
        <v>13883</v>
      </c>
      <c r="AM726" s="1" t="s">
        <v>82</v>
      </c>
      <c r="AN726" s="1">
        <v>15</v>
      </c>
      <c r="AO726" s="1">
        <v>0</v>
      </c>
      <c r="AP726" s="1">
        <v>0</v>
      </c>
      <c r="AQ726" s="1">
        <v>4</v>
      </c>
      <c r="AR726" s="1">
        <v>4</v>
      </c>
      <c r="AS726" s="1" t="s">
        <v>8333</v>
      </c>
      <c r="AT726" s="1" t="s">
        <v>8334</v>
      </c>
      <c r="AU726" s="1" t="s">
        <v>8335</v>
      </c>
      <c r="AV726" s="1" t="s">
        <v>82</v>
      </c>
      <c r="AW726" s="1" t="s">
        <v>13832</v>
      </c>
      <c r="AX726" s="1" t="s">
        <v>82</v>
      </c>
      <c r="AY726" s="1" t="s">
        <v>13833</v>
      </c>
      <c r="AZ726" s="1" t="s">
        <v>13834</v>
      </c>
      <c r="BA726" s="1" t="s">
        <v>13867</v>
      </c>
      <c r="BB726" s="1">
        <v>2022</v>
      </c>
      <c r="BC726" s="1">
        <v>7</v>
      </c>
      <c r="BD726" s="1">
        <v>6</v>
      </c>
      <c r="BE726" s="1" t="s">
        <v>82</v>
      </c>
      <c r="BF726" s="1" t="s">
        <v>82</v>
      </c>
      <c r="BG726" s="1" t="s">
        <v>82</v>
      </c>
      <c r="BH726" s="1" t="s">
        <v>82</v>
      </c>
      <c r="BI726" s="1">
        <v>1168</v>
      </c>
      <c r="BJ726" s="1">
        <v>1170</v>
      </c>
      <c r="BK726" s="1" t="s">
        <v>82</v>
      </c>
      <c r="BL726" s="1" t="s">
        <v>13884</v>
      </c>
      <c r="BM726" s="1" t="str">
        <f>HYPERLINK("http://dx.doi.org/10.1080/23802359.2022.2088308","http://dx.doi.org/10.1080/23802359.2022.2088308")</f>
        <v>http://dx.doi.org/10.1080/23802359.2022.2088308</v>
      </c>
      <c r="BN726" s="1" t="s">
        <v>82</v>
      </c>
      <c r="BO726" s="1" t="s">
        <v>82</v>
      </c>
      <c r="BP726" s="1">
        <v>3</v>
      </c>
      <c r="BQ726" s="1" t="s">
        <v>7013</v>
      </c>
      <c r="BR726" s="1" t="s">
        <v>104</v>
      </c>
      <c r="BS726" s="1" t="s">
        <v>7013</v>
      </c>
      <c r="BT726" s="1" t="s">
        <v>13885</v>
      </c>
      <c r="BU726" s="1">
        <v>35783047</v>
      </c>
      <c r="BV726" s="1" t="s">
        <v>635</v>
      </c>
      <c r="BW726" s="1" t="s">
        <v>82</v>
      </c>
      <c r="BX726" s="1" t="s">
        <v>82</v>
      </c>
      <c r="BY726" s="1" t="s">
        <v>108</v>
      </c>
      <c r="BZ726" s="1" t="s">
        <v>13886</v>
      </c>
      <c r="CA726" s="1" t="str">
        <f>HYPERLINK("https%3A%2F%2Fwww.webofscience.com%2Fwos%2Fwoscc%2Ffull-record%2FWOS:000817768500001","View Full Record in Web of Science")</f>
        <v>View Full Record in Web of Science</v>
      </c>
    </row>
    <row r="727" s="1" customFormat="1" ht="14.4" spans="1:79">
      <c r="A727">
        <v>726</v>
      </c>
      <c r="B727" s="2" t="s">
        <v>79</v>
      </c>
      <c r="C727" s="1" t="s">
        <v>80</v>
      </c>
      <c r="D727" s="1" t="s">
        <v>13887</v>
      </c>
      <c r="E727" s="1" t="s">
        <v>82</v>
      </c>
      <c r="F727" s="1" t="s">
        <v>82</v>
      </c>
      <c r="G727" s="1" t="s">
        <v>82</v>
      </c>
      <c r="H727" s="1" t="s">
        <v>13888</v>
      </c>
      <c r="I727" s="1" t="s">
        <v>82</v>
      </c>
      <c r="J727" s="1" t="s">
        <v>82</v>
      </c>
      <c r="K727" s="1" t="s">
        <v>13889</v>
      </c>
      <c r="L727" s="1" t="s">
        <v>13823</v>
      </c>
      <c r="M727" s="1">
        <v>0.61</v>
      </c>
      <c r="O727" s="1" t="s">
        <v>82</v>
      </c>
      <c r="P727" s="1" t="s">
        <v>82</v>
      </c>
      <c r="Q727" s="1" t="s">
        <v>87</v>
      </c>
      <c r="R727" s="1" t="s">
        <v>115</v>
      </c>
      <c r="S727" s="1" t="s">
        <v>82</v>
      </c>
      <c r="T727" s="1" t="s">
        <v>82</v>
      </c>
      <c r="U727" s="1" t="s">
        <v>82</v>
      </c>
      <c r="V727" s="1" t="s">
        <v>82</v>
      </c>
      <c r="W727" s="1" t="s">
        <v>82</v>
      </c>
      <c r="X727" s="1" t="s">
        <v>13890</v>
      </c>
      <c r="Y727" s="1" t="s">
        <v>82</v>
      </c>
      <c r="Z727" s="1" t="s">
        <v>13891</v>
      </c>
      <c r="AB727" s="1" t="s">
        <v>13892</v>
      </c>
      <c r="AC727" s="1" t="s">
        <v>13893</v>
      </c>
      <c r="AD727" s="1" t="s">
        <v>120</v>
      </c>
      <c r="AE727" s="1" t="s">
        <v>13894</v>
      </c>
      <c r="AF727" s="1" t="s">
        <v>13895</v>
      </c>
      <c r="AG727" s="1" t="s">
        <v>13896</v>
      </c>
      <c r="AH727" s="1" t="s">
        <v>82</v>
      </c>
      <c r="AI727" s="1" t="s">
        <v>82</v>
      </c>
      <c r="AJ727" s="1" t="s">
        <v>13897</v>
      </c>
      <c r="AK727" s="1" t="s">
        <v>13898</v>
      </c>
      <c r="AL727" s="1" t="s">
        <v>13899</v>
      </c>
      <c r="AM727" s="1" t="s">
        <v>82</v>
      </c>
      <c r="AN727" s="1">
        <v>10</v>
      </c>
      <c r="AO727" s="1">
        <v>0</v>
      </c>
      <c r="AP727" s="1">
        <v>0</v>
      </c>
      <c r="AQ727" s="1">
        <v>2</v>
      </c>
      <c r="AR727" s="1">
        <v>2</v>
      </c>
      <c r="AS727" s="1" t="s">
        <v>8333</v>
      </c>
      <c r="AT727" s="1" t="s">
        <v>8334</v>
      </c>
      <c r="AU727" s="1" t="s">
        <v>8335</v>
      </c>
      <c r="AV727" s="1" t="s">
        <v>82</v>
      </c>
      <c r="AW727" s="1" t="s">
        <v>13832</v>
      </c>
      <c r="AX727" s="1" t="s">
        <v>82</v>
      </c>
      <c r="AY727" s="1" t="s">
        <v>13833</v>
      </c>
      <c r="AZ727" s="1" t="s">
        <v>13834</v>
      </c>
      <c r="BA727" s="1" t="s">
        <v>13867</v>
      </c>
      <c r="BB727" s="1">
        <v>2022</v>
      </c>
      <c r="BC727" s="1">
        <v>7</v>
      </c>
      <c r="BD727" s="1">
        <v>6</v>
      </c>
      <c r="BE727" s="1" t="s">
        <v>82</v>
      </c>
      <c r="BF727" s="1" t="s">
        <v>82</v>
      </c>
      <c r="BG727" s="1" t="s">
        <v>82</v>
      </c>
      <c r="BH727" s="1" t="s">
        <v>82</v>
      </c>
      <c r="BI727" s="1">
        <v>1081</v>
      </c>
      <c r="BJ727" s="1">
        <v>1083</v>
      </c>
      <c r="BK727" s="1" t="s">
        <v>82</v>
      </c>
      <c r="BL727" s="1" t="s">
        <v>13900</v>
      </c>
      <c r="BM727" s="1" t="str">
        <f>HYPERLINK("http://dx.doi.org/10.1080/23802359.2022.2086494","http://dx.doi.org/10.1080/23802359.2022.2086494")</f>
        <v>http://dx.doi.org/10.1080/23802359.2022.2086494</v>
      </c>
      <c r="BN727" s="1" t="s">
        <v>82</v>
      </c>
      <c r="BO727" s="1" t="s">
        <v>82</v>
      </c>
      <c r="BP727" s="1">
        <v>3</v>
      </c>
      <c r="BQ727" s="1" t="s">
        <v>7013</v>
      </c>
      <c r="BR727" s="1" t="s">
        <v>104</v>
      </c>
      <c r="BS727" s="1" t="s">
        <v>7013</v>
      </c>
      <c r="BT727" s="1" t="s">
        <v>13901</v>
      </c>
      <c r="BU727" s="1">
        <v>35756437</v>
      </c>
      <c r="BV727" s="1" t="s">
        <v>635</v>
      </c>
      <c r="BW727" s="1" t="s">
        <v>82</v>
      </c>
      <c r="BX727" s="1" t="s">
        <v>82</v>
      </c>
      <c r="BY727" s="1" t="s">
        <v>108</v>
      </c>
      <c r="BZ727" s="1" t="s">
        <v>13902</v>
      </c>
      <c r="CA727" s="1" t="str">
        <f>HYPERLINK("https%3A%2F%2Fwww.webofscience.com%2Fwos%2Fwoscc%2Ffull-record%2FWOS:000813729600001","View Full Record in Web of Science")</f>
        <v>View Full Record in Web of Science</v>
      </c>
    </row>
    <row r="728" s="1" customFormat="1" ht="14.4" spans="1:79">
      <c r="A728">
        <v>727</v>
      </c>
      <c r="B728" s="2" t="s">
        <v>79</v>
      </c>
      <c r="C728" s="1" t="s">
        <v>80</v>
      </c>
      <c r="D728" s="1" t="s">
        <v>13903</v>
      </c>
      <c r="E728" s="1" t="s">
        <v>82</v>
      </c>
      <c r="F728" s="1" t="s">
        <v>82</v>
      </c>
      <c r="G728" s="1" t="s">
        <v>82</v>
      </c>
      <c r="H728" s="1" t="s">
        <v>13904</v>
      </c>
      <c r="I728" s="1" t="s">
        <v>82</v>
      </c>
      <c r="J728" s="1" t="s">
        <v>82</v>
      </c>
      <c r="K728" s="1" t="s">
        <v>13905</v>
      </c>
      <c r="L728" s="1" t="s">
        <v>13823</v>
      </c>
      <c r="M728" s="1">
        <v>0.61</v>
      </c>
      <c r="O728" s="1" t="s">
        <v>82</v>
      </c>
      <c r="P728" s="1" t="s">
        <v>82</v>
      </c>
      <c r="Q728" s="1" t="s">
        <v>87</v>
      </c>
      <c r="R728" s="1" t="s">
        <v>115</v>
      </c>
      <c r="S728" s="1" t="s">
        <v>82</v>
      </c>
      <c r="T728" s="1" t="s">
        <v>82</v>
      </c>
      <c r="U728" s="1" t="s">
        <v>82</v>
      </c>
      <c r="V728" s="1" t="s">
        <v>82</v>
      </c>
      <c r="W728" s="1" t="s">
        <v>82</v>
      </c>
      <c r="X728" s="1" t="s">
        <v>13906</v>
      </c>
      <c r="Y728" s="1" t="s">
        <v>13907</v>
      </c>
      <c r="Z728" s="1" t="s">
        <v>13908</v>
      </c>
      <c r="AA728" s="1">
        <v>1</v>
      </c>
      <c r="AB728" s="1" t="s">
        <v>13909</v>
      </c>
      <c r="AC728" s="1" t="s">
        <v>13910</v>
      </c>
      <c r="AD728" s="1" t="s">
        <v>93</v>
      </c>
      <c r="AE728" s="1" t="s">
        <v>13911</v>
      </c>
      <c r="AF728" s="1" t="s">
        <v>13912</v>
      </c>
      <c r="AG728" s="1" t="s">
        <v>13913</v>
      </c>
      <c r="AH728" s="1" t="s">
        <v>13914</v>
      </c>
      <c r="AI728" s="1" t="s">
        <v>13915</v>
      </c>
      <c r="AJ728" s="1" t="s">
        <v>13916</v>
      </c>
      <c r="AK728" s="1" t="s">
        <v>13917</v>
      </c>
      <c r="AL728" s="1" t="s">
        <v>13918</v>
      </c>
      <c r="AM728" s="1" t="s">
        <v>82</v>
      </c>
      <c r="AN728" s="1">
        <v>13</v>
      </c>
      <c r="AO728" s="1">
        <v>0</v>
      </c>
      <c r="AP728" s="1">
        <v>0</v>
      </c>
      <c r="AQ728" s="1">
        <v>3</v>
      </c>
      <c r="AR728" s="1">
        <v>5</v>
      </c>
      <c r="AS728" s="1" t="s">
        <v>8333</v>
      </c>
      <c r="AT728" s="1" t="s">
        <v>8334</v>
      </c>
      <c r="AU728" s="1" t="s">
        <v>8335</v>
      </c>
      <c r="AV728" s="1" t="s">
        <v>82</v>
      </c>
      <c r="AW728" s="1" t="s">
        <v>13832</v>
      </c>
      <c r="AX728" s="1" t="s">
        <v>82</v>
      </c>
      <c r="AY728" s="1" t="s">
        <v>13833</v>
      </c>
      <c r="AZ728" s="1" t="s">
        <v>13834</v>
      </c>
      <c r="BA728" s="1" t="s">
        <v>13867</v>
      </c>
      <c r="BB728" s="1">
        <v>2022</v>
      </c>
      <c r="BC728" s="1">
        <v>7</v>
      </c>
      <c r="BD728" s="1">
        <v>6</v>
      </c>
      <c r="BE728" s="1" t="s">
        <v>82</v>
      </c>
      <c r="BF728" s="1" t="s">
        <v>82</v>
      </c>
      <c r="BG728" s="1" t="s">
        <v>82</v>
      </c>
      <c r="BH728" s="1" t="s">
        <v>82</v>
      </c>
      <c r="BI728" s="1">
        <v>971</v>
      </c>
      <c r="BJ728" s="1">
        <v>973</v>
      </c>
      <c r="BK728" s="1" t="s">
        <v>82</v>
      </c>
      <c r="BL728" s="1" t="s">
        <v>13919</v>
      </c>
      <c r="BM728" s="1" t="str">
        <f>HYPERLINK("http://dx.doi.org/10.1080/23802359.2022.2080018","http://dx.doi.org/10.1080/23802359.2022.2080018")</f>
        <v>http://dx.doi.org/10.1080/23802359.2022.2080018</v>
      </c>
      <c r="BN728" s="1" t="s">
        <v>82</v>
      </c>
      <c r="BO728" s="1" t="s">
        <v>82</v>
      </c>
      <c r="BP728" s="1">
        <v>3</v>
      </c>
      <c r="BQ728" s="1" t="s">
        <v>7013</v>
      </c>
      <c r="BR728" s="1" t="s">
        <v>104</v>
      </c>
      <c r="BS728" s="1" t="s">
        <v>7013</v>
      </c>
      <c r="BT728" s="1" t="s">
        <v>13920</v>
      </c>
      <c r="BU728" s="1">
        <v>35712543</v>
      </c>
      <c r="BV728" s="1" t="s">
        <v>635</v>
      </c>
      <c r="BW728" s="1" t="s">
        <v>82</v>
      </c>
      <c r="BX728" s="1" t="s">
        <v>82</v>
      </c>
      <c r="BY728" s="1" t="s">
        <v>108</v>
      </c>
      <c r="BZ728" s="1" t="s">
        <v>13921</v>
      </c>
      <c r="CA728" s="1" t="str">
        <f>HYPERLINK("https%3A%2F%2Fwww.webofscience.com%2Fwos%2Fwoscc%2Ffull-record%2FWOS:000809252500001","View Full Record in Web of Science")</f>
        <v>View Full Record in Web of Science</v>
      </c>
    </row>
    <row r="729" s="1" customFormat="1" ht="14.4" spans="1:79">
      <c r="A729">
        <v>728</v>
      </c>
      <c r="B729" s="2" t="s">
        <v>79</v>
      </c>
      <c r="C729" s="1" t="s">
        <v>80</v>
      </c>
      <c r="D729" s="1" t="s">
        <v>13922</v>
      </c>
      <c r="E729" s="1" t="s">
        <v>82</v>
      </c>
      <c r="F729" s="1" t="s">
        <v>82</v>
      </c>
      <c r="G729" s="1" t="s">
        <v>82</v>
      </c>
      <c r="H729" s="1" t="s">
        <v>13923</v>
      </c>
      <c r="I729" s="1" t="s">
        <v>82</v>
      </c>
      <c r="J729" s="1" t="s">
        <v>82</v>
      </c>
      <c r="K729" s="1" t="s">
        <v>13924</v>
      </c>
      <c r="L729" s="1" t="s">
        <v>13823</v>
      </c>
      <c r="M729" s="1">
        <v>0.61</v>
      </c>
      <c r="O729" s="1" t="s">
        <v>82</v>
      </c>
      <c r="P729" s="1" t="s">
        <v>82</v>
      </c>
      <c r="Q729" s="1" t="s">
        <v>87</v>
      </c>
      <c r="R729" s="1" t="s">
        <v>115</v>
      </c>
      <c r="S729" s="1" t="s">
        <v>82</v>
      </c>
      <c r="T729" s="1" t="s">
        <v>82</v>
      </c>
      <c r="U729" s="1" t="s">
        <v>82</v>
      </c>
      <c r="V729" s="1" t="s">
        <v>82</v>
      </c>
      <c r="W729" s="1" t="s">
        <v>82</v>
      </c>
      <c r="X729" s="1" t="s">
        <v>13925</v>
      </c>
      <c r="Y729" s="1" t="s">
        <v>82</v>
      </c>
      <c r="Z729" s="1" t="s">
        <v>13926</v>
      </c>
      <c r="AB729" s="1" t="s">
        <v>13927</v>
      </c>
      <c r="AC729" s="1" t="s">
        <v>13928</v>
      </c>
      <c r="AD729" s="1" t="s">
        <v>120</v>
      </c>
      <c r="AE729" s="1" t="s">
        <v>13929</v>
      </c>
      <c r="AF729" s="1" t="s">
        <v>13930</v>
      </c>
      <c r="AG729" s="1" t="s">
        <v>13931</v>
      </c>
      <c r="AH729" s="1" t="s">
        <v>13932</v>
      </c>
      <c r="AI729" s="1" t="s">
        <v>82</v>
      </c>
      <c r="AJ729" s="1" t="s">
        <v>3452</v>
      </c>
      <c r="AK729" s="1" t="s">
        <v>3453</v>
      </c>
      <c r="AL729" s="1" t="s">
        <v>13933</v>
      </c>
      <c r="AM729" s="1" t="s">
        <v>82</v>
      </c>
      <c r="AN729" s="1">
        <v>11</v>
      </c>
      <c r="AO729" s="1">
        <v>0</v>
      </c>
      <c r="AP729" s="1">
        <v>0</v>
      </c>
      <c r="AQ729" s="1">
        <v>3</v>
      </c>
      <c r="AR729" s="1">
        <v>3</v>
      </c>
      <c r="AS729" s="1" t="s">
        <v>8333</v>
      </c>
      <c r="AT729" s="1" t="s">
        <v>8334</v>
      </c>
      <c r="AU729" s="1" t="s">
        <v>8335</v>
      </c>
      <c r="AV729" s="1" t="s">
        <v>82</v>
      </c>
      <c r="AW729" s="1" t="s">
        <v>13832</v>
      </c>
      <c r="AX729" s="1" t="s">
        <v>82</v>
      </c>
      <c r="AY729" s="1" t="s">
        <v>13833</v>
      </c>
      <c r="AZ729" s="1" t="s">
        <v>13834</v>
      </c>
      <c r="BA729" s="1" t="s">
        <v>13867</v>
      </c>
      <c r="BB729" s="1">
        <v>2022</v>
      </c>
      <c r="BC729" s="1">
        <v>7</v>
      </c>
      <c r="BD729" s="1">
        <v>6</v>
      </c>
      <c r="BE729" s="1" t="s">
        <v>82</v>
      </c>
      <c r="BF729" s="1" t="s">
        <v>82</v>
      </c>
      <c r="BG729" s="1" t="s">
        <v>82</v>
      </c>
      <c r="BH729" s="1" t="s">
        <v>82</v>
      </c>
      <c r="BI729" s="1">
        <v>999</v>
      </c>
      <c r="BJ729" s="1">
        <v>1000</v>
      </c>
      <c r="BK729" s="1" t="s">
        <v>82</v>
      </c>
      <c r="BL729" s="1" t="s">
        <v>13934</v>
      </c>
      <c r="BM729" s="1" t="str">
        <f>HYPERLINK("http://dx.doi.org/10.1080/23802359.2022.2079104","http://dx.doi.org/10.1080/23802359.2022.2079104")</f>
        <v>http://dx.doi.org/10.1080/23802359.2022.2079104</v>
      </c>
      <c r="BN729" s="1" t="s">
        <v>82</v>
      </c>
      <c r="BO729" s="1" t="s">
        <v>82</v>
      </c>
      <c r="BP729" s="1">
        <v>2</v>
      </c>
      <c r="BQ729" s="1" t="s">
        <v>7013</v>
      </c>
      <c r="BR729" s="1" t="s">
        <v>104</v>
      </c>
      <c r="BS729" s="1" t="s">
        <v>7013</v>
      </c>
      <c r="BT729" s="1" t="s">
        <v>13935</v>
      </c>
      <c r="BU729" s="1">
        <v>35756450</v>
      </c>
      <c r="BV729" s="1" t="s">
        <v>592</v>
      </c>
      <c r="BW729" s="1" t="s">
        <v>82</v>
      </c>
      <c r="BX729" s="1" t="s">
        <v>82</v>
      </c>
      <c r="BY729" s="1" t="s">
        <v>108</v>
      </c>
      <c r="BZ729" s="1" t="s">
        <v>13936</v>
      </c>
      <c r="CA729" s="1" t="str">
        <f>HYPERLINK("https%3A%2F%2Fwww.webofscience.com%2Fwos%2Fwoscc%2Ffull-record%2FWOS:000810213100001","View Full Record in Web of Science")</f>
        <v>View Full Record in Web of Science</v>
      </c>
    </row>
    <row r="730" s="1" customFormat="1" ht="14.4" spans="1:79">
      <c r="A730">
        <v>729</v>
      </c>
      <c r="B730" s="2" t="s">
        <v>79</v>
      </c>
      <c r="C730" s="1" t="s">
        <v>80</v>
      </c>
      <c r="D730" s="1" t="s">
        <v>13937</v>
      </c>
      <c r="E730" s="1" t="s">
        <v>82</v>
      </c>
      <c r="F730" s="1" t="s">
        <v>82</v>
      </c>
      <c r="G730" s="1" t="s">
        <v>82</v>
      </c>
      <c r="H730" s="1" t="s">
        <v>13938</v>
      </c>
      <c r="I730" s="1" t="s">
        <v>82</v>
      </c>
      <c r="J730" s="1" t="s">
        <v>82</v>
      </c>
      <c r="K730" s="1" t="s">
        <v>13939</v>
      </c>
      <c r="L730" s="1" t="s">
        <v>13823</v>
      </c>
      <c r="M730" s="1">
        <v>0.61</v>
      </c>
      <c r="O730" s="1" t="s">
        <v>82</v>
      </c>
      <c r="P730" s="1" t="s">
        <v>82</v>
      </c>
      <c r="Q730" s="1" t="s">
        <v>87</v>
      </c>
      <c r="R730" s="1" t="s">
        <v>115</v>
      </c>
      <c r="S730" s="1" t="s">
        <v>82</v>
      </c>
      <c r="T730" s="1" t="s">
        <v>82</v>
      </c>
      <c r="U730" s="1" t="s">
        <v>82</v>
      </c>
      <c r="V730" s="1" t="s">
        <v>82</v>
      </c>
      <c r="W730" s="1" t="s">
        <v>82</v>
      </c>
      <c r="X730" s="1" t="s">
        <v>13940</v>
      </c>
      <c r="Y730" s="1" t="s">
        <v>82</v>
      </c>
      <c r="Z730" s="1" t="s">
        <v>13941</v>
      </c>
      <c r="AB730" s="1" t="s">
        <v>13942</v>
      </c>
      <c r="AC730" s="1" t="s">
        <v>13943</v>
      </c>
      <c r="AD730" s="1" t="s">
        <v>120</v>
      </c>
      <c r="AE730" s="1" t="s">
        <v>7053</v>
      </c>
      <c r="AF730" s="1" t="s">
        <v>13944</v>
      </c>
      <c r="AG730" s="1" t="s">
        <v>13945</v>
      </c>
      <c r="AH730" s="1" t="s">
        <v>82</v>
      </c>
      <c r="AI730" s="1" t="s">
        <v>82</v>
      </c>
      <c r="AJ730" s="1" t="s">
        <v>13946</v>
      </c>
      <c r="AK730" s="1" t="s">
        <v>13947</v>
      </c>
      <c r="AL730" s="1" t="s">
        <v>13948</v>
      </c>
      <c r="AM730" s="1" t="s">
        <v>82</v>
      </c>
      <c r="AN730" s="1">
        <v>13</v>
      </c>
      <c r="AO730" s="1">
        <v>0</v>
      </c>
      <c r="AP730" s="1">
        <v>0</v>
      </c>
      <c r="AQ730" s="1">
        <v>1</v>
      </c>
      <c r="AR730" s="1">
        <v>2</v>
      </c>
      <c r="AS730" s="1" t="s">
        <v>8333</v>
      </c>
      <c r="AT730" s="1" t="s">
        <v>8334</v>
      </c>
      <c r="AU730" s="1" t="s">
        <v>8335</v>
      </c>
      <c r="AV730" s="1" t="s">
        <v>82</v>
      </c>
      <c r="AW730" s="1" t="s">
        <v>13832</v>
      </c>
      <c r="AX730" s="1" t="s">
        <v>82</v>
      </c>
      <c r="AY730" s="1" t="s">
        <v>13833</v>
      </c>
      <c r="AZ730" s="1" t="s">
        <v>13834</v>
      </c>
      <c r="BA730" s="1" t="s">
        <v>3331</v>
      </c>
      <c r="BB730" s="1">
        <v>2022</v>
      </c>
      <c r="BC730" s="1">
        <v>7</v>
      </c>
      <c r="BD730" s="1">
        <v>5</v>
      </c>
      <c r="BE730" s="1" t="s">
        <v>82</v>
      </c>
      <c r="BF730" s="1" t="s">
        <v>82</v>
      </c>
      <c r="BG730" s="1" t="s">
        <v>82</v>
      </c>
      <c r="BH730" s="1" t="s">
        <v>82</v>
      </c>
      <c r="BI730" s="1">
        <v>758</v>
      </c>
      <c r="BJ730" s="1">
        <v>760</v>
      </c>
      <c r="BK730" s="1" t="s">
        <v>82</v>
      </c>
      <c r="BL730" s="1" t="s">
        <v>13949</v>
      </c>
      <c r="BM730" s="1" t="str">
        <f>HYPERLINK("http://dx.doi.org/10.1080/23802359.2022.2069521","http://dx.doi.org/10.1080/23802359.2022.2069521")</f>
        <v>http://dx.doi.org/10.1080/23802359.2022.2069521</v>
      </c>
      <c r="BN730" s="1" t="s">
        <v>82</v>
      </c>
      <c r="BO730" s="1" t="s">
        <v>82</v>
      </c>
      <c r="BP730" s="1">
        <v>3</v>
      </c>
      <c r="BQ730" s="1" t="s">
        <v>7013</v>
      </c>
      <c r="BR730" s="1" t="s">
        <v>104</v>
      </c>
      <c r="BS730" s="1" t="s">
        <v>7013</v>
      </c>
      <c r="BT730" s="1" t="s">
        <v>13950</v>
      </c>
      <c r="BU730" s="1">
        <v>35558185</v>
      </c>
      <c r="BV730" s="1" t="s">
        <v>635</v>
      </c>
      <c r="BW730" s="1" t="s">
        <v>82</v>
      </c>
      <c r="BX730" s="1" t="s">
        <v>82</v>
      </c>
      <c r="BY730" s="1" t="s">
        <v>108</v>
      </c>
      <c r="BZ730" s="1" t="s">
        <v>13951</v>
      </c>
      <c r="CA730" s="1" t="str">
        <f>HYPERLINK("https%3A%2F%2Fwww.webofscience.com%2Fwos%2Fwoscc%2Ffull-record%2FWOS:000791589100001","View Full Record in Web of Science")</f>
        <v>View Full Record in Web of Science</v>
      </c>
    </row>
    <row r="731" s="1" customFormat="1" ht="14.4" spans="1:79">
      <c r="A731">
        <v>730</v>
      </c>
      <c r="B731" s="2" t="s">
        <v>79</v>
      </c>
      <c r="C731" s="1" t="s">
        <v>80</v>
      </c>
      <c r="D731" s="1" t="s">
        <v>13952</v>
      </c>
      <c r="E731" s="1" t="s">
        <v>82</v>
      </c>
      <c r="F731" s="1" t="s">
        <v>82</v>
      </c>
      <c r="G731" s="1" t="s">
        <v>82</v>
      </c>
      <c r="H731" s="1" t="s">
        <v>13953</v>
      </c>
      <c r="I731" s="1" t="s">
        <v>82</v>
      </c>
      <c r="J731" s="1" t="s">
        <v>82</v>
      </c>
      <c r="K731" s="1" t="s">
        <v>13954</v>
      </c>
      <c r="L731" s="1" t="s">
        <v>13823</v>
      </c>
      <c r="M731" s="1">
        <v>0.61</v>
      </c>
      <c r="O731" s="1" t="s">
        <v>82</v>
      </c>
      <c r="P731" s="1" t="s">
        <v>82</v>
      </c>
      <c r="Q731" s="1" t="s">
        <v>87</v>
      </c>
      <c r="R731" s="1" t="s">
        <v>115</v>
      </c>
      <c r="S731" s="1" t="s">
        <v>82</v>
      </c>
      <c r="T731" s="1" t="s">
        <v>82</v>
      </c>
      <c r="U731" s="1" t="s">
        <v>82</v>
      </c>
      <c r="V731" s="1" t="s">
        <v>82</v>
      </c>
      <c r="W731" s="1" t="s">
        <v>82</v>
      </c>
      <c r="X731" s="1" t="s">
        <v>13955</v>
      </c>
      <c r="Y731" s="1" t="s">
        <v>13956</v>
      </c>
      <c r="Z731" s="1" t="s">
        <v>13957</v>
      </c>
      <c r="AB731" s="1" t="s">
        <v>13958</v>
      </c>
      <c r="AC731" s="1" t="s">
        <v>13959</v>
      </c>
      <c r="AD731" s="1" t="s">
        <v>120</v>
      </c>
      <c r="AE731" s="1" t="s">
        <v>13960</v>
      </c>
      <c r="AF731" s="1" t="s">
        <v>13961</v>
      </c>
      <c r="AG731" s="1" t="s">
        <v>13931</v>
      </c>
      <c r="AH731" s="1" t="s">
        <v>82</v>
      </c>
      <c r="AI731" s="1" t="s">
        <v>13962</v>
      </c>
      <c r="AJ731" s="1" t="s">
        <v>3452</v>
      </c>
      <c r="AK731" s="1" t="s">
        <v>3453</v>
      </c>
      <c r="AL731" s="1" t="s">
        <v>13963</v>
      </c>
      <c r="AM731" s="1" t="s">
        <v>82</v>
      </c>
      <c r="AN731" s="1">
        <v>16</v>
      </c>
      <c r="AO731" s="1">
        <v>1</v>
      </c>
      <c r="AP731" s="1">
        <v>1</v>
      </c>
      <c r="AQ731" s="1">
        <v>1</v>
      </c>
      <c r="AR731" s="1">
        <v>2</v>
      </c>
      <c r="AS731" s="1" t="s">
        <v>8333</v>
      </c>
      <c r="AT731" s="1" t="s">
        <v>8334</v>
      </c>
      <c r="AU731" s="1" t="s">
        <v>8335</v>
      </c>
      <c r="AV731" s="1" t="s">
        <v>82</v>
      </c>
      <c r="AW731" s="1" t="s">
        <v>13832</v>
      </c>
      <c r="AX731" s="1" t="s">
        <v>82</v>
      </c>
      <c r="AY731" s="1" t="s">
        <v>13833</v>
      </c>
      <c r="AZ731" s="1" t="s">
        <v>13834</v>
      </c>
      <c r="BA731" s="1" t="s">
        <v>2060</v>
      </c>
      <c r="BB731" s="1">
        <v>2022</v>
      </c>
      <c r="BC731" s="1">
        <v>7</v>
      </c>
      <c r="BD731" s="1">
        <v>3</v>
      </c>
      <c r="BE731" s="1" t="s">
        <v>82</v>
      </c>
      <c r="BF731" s="1" t="s">
        <v>82</v>
      </c>
      <c r="BG731" s="1" t="s">
        <v>82</v>
      </c>
      <c r="BH731" s="1" t="s">
        <v>82</v>
      </c>
      <c r="BI731" s="1">
        <v>548</v>
      </c>
      <c r="BJ731" s="1">
        <v>549</v>
      </c>
      <c r="BK731" s="1" t="s">
        <v>82</v>
      </c>
      <c r="BL731" s="1" t="s">
        <v>13964</v>
      </c>
      <c r="BM731" s="1" t="str">
        <f>HYPERLINK("http://dx.doi.org/10.1080/23802359.2022.2054382","http://dx.doi.org/10.1080/23802359.2022.2054382")</f>
        <v>http://dx.doi.org/10.1080/23802359.2022.2054382</v>
      </c>
      <c r="BN731" s="1" t="s">
        <v>82</v>
      </c>
      <c r="BO731" s="1" t="s">
        <v>82</v>
      </c>
      <c r="BP731" s="1">
        <v>2</v>
      </c>
      <c r="BQ731" s="1" t="s">
        <v>7013</v>
      </c>
      <c r="BR731" s="1" t="s">
        <v>104</v>
      </c>
      <c r="BS731" s="1" t="s">
        <v>7013</v>
      </c>
      <c r="BT731" s="1" t="s">
        <v>13965</v>
      </c>
      <c r="BU731" s="1">
        <v>35372691</v>
      </c>
      <c r="BV731" s="1" t="s">
        <v>635</v>
      </c>
      <c r="BW731" s="1" t="s">
        <v>82</v>
      </c>
      <c r="BX731" s="1" t="s">
        <v>82</v>
      </c>
      <c r="BY731" s="1" t="s">
        <v>108</v>
      </c>
      <c r="BZ731" s="1" t="s">
        <v>13966</v>
      </c>
      <c r="CA731" s="1" t="str">
        <f>HYPERLINK("https%3A%2F%2Fwww.webofscience.com%2Fwos%2Fwoscc%2Ffull-record%2FWOS:000773711100001","View Full Record in Web of Science")</f>
        <v>View Full Record in Web of Science</v>
      </c>
    </row>
    <row r="732" s="1" customFormat="1" ht="14.4" spans="1:79">
      <c r="A732">
        <v>731</v>
      </c>
      <c r="B732" s="2" t="s">
        <v>79</v>
      </c>
      <c r="C732" s="1" t="s">
        <v>80</v>
      </c>
      <c r="D732" s="1" t="s">
        <v>13967</v>
      </c>
      <c r="E732" s="1" t="s">
        <v>82</v>
      </c>
      <c r="F732" s="1" t="s">
        <v>82</v>
      </c>
      <c r="G732" s="1" t="s">
        <v>82</v>
      </c>
      <c r="H732" s="1" t="s">
        <v>13968</v>
      </c>
      <c r="I732" s="1" t="s">
        <v>82</v>
      </c>
      <c r="J732" s="1" t="s">
        <v>82</v>
      </c>
      <c r="K732" s="1" t="s">
        <v>13969</v>
      </c>
      <c r="L732" s="1" t="s">
        <v>13970</v>
      </c>
      <c r="M732" s="1">
        <v>0.578</v>
      </c>
      <c r="O732" s="1" t="s">
        <v>82</v>
      </c>
      <c r="P732" s="1" t="s">
        <v>82</v>
      </c>
      <c r="Q732" s="1" t="s">
        <v>87</v>
      </c>
      <c r="R732" s="1" t="s">
        <v>115</v>
      </c>
      <c r="S732" s="1" t="s">
        <v>82</v>
      </c>
      <c r="T732" s="1" t="s">
        <v>82</v>
      </c>
      <c r="U732" s="1" t="s">
        <v>82</v>
      </c>
      <c r="V732" s="1" t="s">
        <v>82</v>
      </c>
      <c r="W732" s="1" t="s">
        <v>82</v>
      </c>
      <c r="X732" s="1" t="s">
        <v>82</v>
      </c>
      <c r="Y732" s="1" t="s">
        <v>82</v>
      </c>
      <c r="Z732" s="1" t="s">
        <v>13971</v>
      </c>
      <c r="AB732" s="1" t="s">
        <v>13972</v>
      </c>
      <c r="AC732" s="1" t="s">
        <v>13973</v>
      </c>
      <c r="AD732" s="1" t="s">
        <v>206</v>
      </c>
      <c r="AE732" s="1" t="s">
        <v>94</v>
      </c>
      <c r="AF732" s="1" t="s">
        <v>13974</v>
      </c>
      <c r="AG732" s="1" t="s">
        <v>4438</v>
      </c>
      <c r="AH732" s="1" t="s">
        <v>82</v>
      </c>
      <c r="AI732" s="1" t="s">
        <v>82</v>
      </c>
      <c r="AJ732" s="1" t="s">
        <v>13975</v>
      </c>
      <c r="AK732" s="1" t="s">
        <v>13976</v>
      </c>
      <c r="AL732" s="1" t="s">
        <v>13977</v>
      </c>
      <c r="AM732" s="1" t="s">
        <v>82</v>
      </c>
      <c r="AN732" s="1">
        <v>16</v>
      </c>
      <c r="AO732" s="1">
        <v>0</v>
      </c>
      <c r="AP732" s="1">
        <v>0</v>
      </c>
      <c r="AQ732" s="1">
        <v>0</v>
      </c>
      <c r="AR732" s="1">
        <v>0</v>
      </c>
      <c r="AS732" s="1" t="s">
        <v>13978</v>
      </c>
      <c r="AT732" s="1" t="s">
        <v>13979</v>
      </c>
      <c r="AU732" s="1" t="s">
        <v>13980</v>
      </c>
      <c r="AV732" s="1" t="s">
        <v>13981</v>
      </c>
      <c r="AW732" s="1" t="s">
        <v>13982</v>
      </c>
      <c r="AX732" s="1" t="s">
        <v>82</v>
      </c>
      <c r="AY732" s="1" t="s">
        <v>13983</v>
      </c>
      <c r="AZ732" s="1" t="s">
        <v>13984</v>
      </c>
      <c r="BA732" s="1" t="s">
        <v>657</v>
      </c>
      <c r="BB732" s="1">
        <v>2022</v>
      </c>
      <c r="BC732" s="1">
        <v>59</v>
      </c>
      <c r="BD732" s="1">
        <v>1</v>
      </c>
      <c r="BE732" s="1" t="s">
        <v>82</v>
      </c>
      <c r="BF732" s="1" t="s">
        <v>82</v>
      </c>
      <c r="BG732" s="1" t="s">
        <v>82</v>
      </c>
      <c r="BH732" s="1" t="s">
        <v>82</v>
      </c>
      <c r="BI732" s="1">
        <v>177</v>
      </c>
      <c r="BJ732" s="1">
        <v>183</v>
      </c>
      <c r="BK732" s="1" t="s">
        <v>82</v>
      </c>
      <c r="BL732" s="1" t="s">
        <v>82</v>
      </c>
      <c r="BM732" s="1" t="s">
        <v>82</v>
      </c>
      <c r="BN732" s="1" t="s">
        <v>82</v>
      </c>
      <c r="BO732" s="1" t="s">
        <v>82</v>
      </c>
      <c r="BP732" s="1">
        <v>7</v>
      </c>
      <c r="BQ732" s="1" t="s">
        <v>378</v>
      </c>
      <c r="BR732" s="1" t="s">
        <v>104</v>
      </c>
      <c r="BS732" s="1" t="s">
        <v>378</v>
      </c>
      <c r="BT732" s="1" t="s">
        <v>13985</v>
      </c>
      <c r="BU732" s="1" t="s">
        <v>82</v>
      </c>
      <c r="BV732" s="1" t="s">
        <v>82</v>
      </c>
      <c r="BW732" s="1" t="s">
        <v>82</v>
      </c>
      <c r="BX732" s="1" t="s">
        <v>82</v>
      </c>
      <c r="BY732" s="1" t="s">
        <v>108</v>
      </c>
      <c r="BZ732" s="1" t="s">
        <v>13986</v>
      </c>
      <c r="CA732" s="1" t="str">
        <f>HYPERLINK("https%3A%2F%2Fwww.webofscience.com%2Fwos%2Fwoscc%2Ffull-record%2FWOS:000905477700026","View Full Record in Web of Science")</f>
        <v>View Full Record in Web of Science</v>
      </c>
    </row>
    <row r="733" s="1" customFormat="1" ht="14.4" spans="1:79">
      <c r="A733">
        <v>732</v>
      </c>
      <c r="B733" s="2" t="s">
        <v>79</v>
      </c>
      <c r="C733" s="1" t="s">
        <v>80</v>
      </c>
      <c r="D733" s="1" t="s">
        <v>13987</v>
      </c>
      <c r="E733" s="1" t="s">
        <v>82</v>
      </c>
      <c r="F733" s="1" t="s">
        <v>82</v>
      </c>
      <c r="G733" s="1" t="s">
        <v>82</v>
      </c>
      <c r="H733" s="1" t="s">
        <v>13988</v>
      </c>
      <c r="I733" s="1" t="s">
        <v>82</v>
      </c>
      <c r="J733" s="1" t="s">
        <v>82</v>
      </c>
      <c r="K733" s="1" t="s">
        <v>13989</v>
      </c>
      <c r="L733" s="1" t="s">
        <v>13990</v>
      </c>
      <c r="M733" s="1">
        <v>0.545</v>
      </c>
      <c r="O733" s="1" t="s">
        <v>82</v>
      </c>
      <c r="P733" s="1" t="s">
        <v>82</v>
      </c>
      <c r="Q733" s="1" t="s">
        <v>87</v>
      </c>
      <c r="R733" s="1" t="s">
        <v>115</v>
      </c>
      <c r="S733" s="1" t="s">
        <v>82</v>
      </c>
      <c r="T733" s="1" t="s">
        <v>82</v>
      </c>
      <c r="U733" s="1" t="s">
        <v>82</v>
      </c>
      <c r="V733" s="1" t="s">
        <v>82</v>
      </c>
      <c r="W733" s="1" t="s">
        <v>82</v>
      </c>
      <c r="X733" s="1" t="s">
        <v>13991</v>
      </c>
      <c r="Y733" s="1" t="s">
        <v>13992</v>
      </c>
      <c r="Z733" s="1" t="s">
        <v>13993</v>
      </c>
      <c r="AB733" s="1" t="s">
        <v>5125</v>
      </c>
      <c r="AC733" s="1" t="s">
        <v>13994</v>
      </c>
      <c r="AD733" s="1" t="s">
        <v>206</v>
      </c>
      <c r="AE733" s="1" t="s">
        <v>4436</v>
      </c>
      <c r="AF733" s="1" t="s">
        <v>13995</v>
      </c>
      <c r="AG733" s="1" t="s">
        <v>12533</v>
      </c>
      <c r="AH733" s="1" t="s">
        <v>82</v>
      </c>
      <c r="AI733" s="1" t="s">
        <v>82</v>
      </c>
      <c r="AJ733" s="1" t="s">
        <v>82</v>
      </c>
      <c r="AK733" s="1" t="s">
        <v>82</v>
      </c>
      <c r="AL733" s="1" t="s">
        <v>82</v>
      </c>
      <c r="AM733" s="1" t="s">
        <v>82</v>
      </c>
      <c r="AN733" s="1">
        <v>53</v>
      </c>
      <c r="AO733" s="1">
        <v>0</v>
      </c>
      <c r="AP733" s="1">
        <v>0</v>
      </c>
      <c r="AQ733" s="1">
        <v>2</v>
      </c>
      <c r="AR733" s="1">
        <v>2</v>
      </c>
      <c r="AS733" s="1" t="s">
        <v>13996</v>
      </c>
      <c r="AT733" s="1" t="s">
        <v>13997</v>
      </c>
      <c r="AU733" s="1" t="s">
        <v>13998</v>
      </c>
      <c r="AV733" s="1" t="s">
        <v>13999</v>
      </c>
      <c r="AW733" s="1" t="s">
        <v>82</v>
      </c>
      <c r="AX733" s="1" t="s">
        <v>82</v>
      </c>
      <c r="AY733" s="1" t="s">
        <v>13990</v>
      </c>
      <c r="AZ733" s="1" t="s">
        <v>14000</v>
      </c>
      <c r="BA733" s="1" t="s">
        <v>13490</v>
      </c>
      <c r="BB733" s="1">
        <v>2022</v>
      </c>
      <c r="BC733" s="1">
        <v>137</v>
      </c>
      <c r="BD733" s="1">
        <v>2</v>
      </c>
      <c r="BE733" s="1" t="s">
        <v>82</v>
      </c>
      <c r="BF733" s="1" t="s">
        <v>82</v>
      </c>
      <c r="BG733" s="1" t="s">
        <v>82</v>
      </c>
      <c r="BH733" s="1" t="s">
        <v>82</v>
      </c>
      <c r="BI733" s="1">
        <v>189</v>
      </c>
      <c r="BJ733" s="1">
        <v>201</v>
      </c>
      <c r="BK733" s="1" t="s">
        <v>82</v>
      </c>
      <c r="BL733" s="1" t="s">
        <v>14001</v>
      </c>
      <c r="BM733" s="1" t="str">
        <f>HYPERLINK("http://dx.doi.org/10.5248/137.189","http://dx.doi.org/10.5248/137.189")</f>
        <v>http://dx.doi.org/10.5248/137.189</v>
      </c>
      <c r="BN733" s="1" t="s">
        <v>82</v>
      </c>
      <c r="BO733" s="1" t="s">
        <v>82</v>
      </c>
      <c r="BP733" s="1">
        <v>13</v>
      </c>
      <c r="BQ733" s="1" t="s">
        <v>225</v>
      </c>
      <c r="BR733" s="1" t="s">
        <v>104</v>
      </c>
      <c r="BS733" s="1" t="s">
        <v>225</v>
      </c>
      <c r="BT733" s="1" t="s">
        <v>14002</v>
      </c>
      <c r="BU733" s="1" t="s">
        <v>82</v>
      </c>
      <c r="BV733" s="1" t="s">
        <v>268</v>
      </c>
      <c r="BW733" s="1" t="s">
        <v>82</v>
      </c>
      <c r="BX733" s="1" t="s">
        <v>82</v>
      </c>
      <c r="BY733" s="1" t="s">
        <v>108</v>
      </c>
      <c r="BZ733" s="1" t="s">
        <v>14003</v>
      </c>
      <c r="CA733" s="1" t="str">
        <f>HYPERLINK("https%3A%2F%2Fwww.webofscience.com%2Fwos%2Fwoscc%2Ffull-record%2FWOS:000842560600003","View Full Record in Web of Science")</f>
        <v>View Full Record in Web of Science</v>
      </c>
    </row>
    <row r="734" s="1" customFormat="1" ht="14.4" spans="1:79">
      <c r="A734">
        <v>733</v>
      </c>
      <c r="B734" s="2" t="s">
        <v>79</v>
      </c>
      <c r="C734" s="1" t="s">
        <v>80</v>
      </c>
      <c r="D734" s="1" t="s">
        <v>4428</v>
      </c>
      <c r="E734" s="1" t="s">
        <v>82</v>
      </c>
      <c r="F734" s="1" t="s">
        <v>82</v>
      </c>
      <c r="G734" s="1" t="s">
        <v>82</v>
      </c>
      <c r="H734" s="1" t="s">
        <v>4429</v>
      </c>
      <c r="I734" s="1" t="s">
        <v>82</v>
      </c>
      <c r="J734" s="1" t="s">
        <v>82</v>
      </c>
      <c r="K734" s="1" t="s">
        <v>14004</v>
      </c>
      <c r="L734" s="1" t="s">
        <v>13990</v>
      </c>
      <c r="M734" s="1">
        <v>0.545</v>
      </c>
      <c r="O734" s="1" t="s">
        <v>82</v>
      </c>
      <c r="P734" s="1" t="s">
        <v>82</v>
      </c>
      <c r="Q734" s="1" t="s">
        <v>87</v>
      </c>
      <c r="R734" s="1" t="s">
        <v>115</v>
      </c>
      <c r="S734" s="1" t="s">
        <v>82</v>
      </c>
      <c r="T734" s="1" t="s">
        <v>82</v>
      </c>
      <c r="U734" s="1" t="s">
        <v>82</v>
      </c>
      <c r="V734" s="1" t="s">
        <v>82</v>
      </c>
      <c r="W734" s="1" t="s">
        <v>82</v>
      </c>
      <c r="X734" s="1" t="s">
        <v>14005</v>
      </c>
      <c r="Y734" s="1" t="s">
        <v>14006</v>
      </c>
      <c r="Z734" s="1" t="s">
        <v>14007</v>
      </c>
      <c r="AB734" s="1" t="s">
        <v>4434</v>
      </c>
      <c r="AC734" s="1" t="s">
        <v>14008</v>
      </c>
      <c r="AD734" s="1" t="s">
        <v>206</v>
      </c>
      <c r="AE734" s="1" t="s">
        <v>4436</v>
      </c>
      <c r="AF734" s="1" t="s">
        <v>14009</v>
      </c>
      <c r="AG734" s="1" t="s">
        <v>12533</v>
      </c>
      <c r="AH734" s="1" t="s">
        <v>82</v>
      </c>
      <c r="AI734" s="1" t="s">
        <v>82</v>
      </c>
      <c r="AJ734" s="1" t="s">
        <v>82</v>
      </c>
      <c r="AK734" s="1" t="s">
        <v>82</v>
      </c>
      <c r="AL734" s="1" t="s">
        <v>82</v>
      </c>
      <c r="AM734" s="1" t="s">
        <v>82</v>
      </c>
      <c r="AN734" s="1">
        <v>25</v>
      </c>
      <c r="AO734" s="1">
        <v>0</v>
      </c>
      <c r="AP734" s="1">
        <v>0</v>
      </c>
      <c r="AQ734" s="1">
        <v>2</v>
      </c>
      <c r="AR734" s="1">
        <v>2</v>
      </c>
      <c r="AS734" s="1" t="s">
        <v>13996</v>
      </c>
      <c r="AT734" s="1" t="s">
        <v>13997</v>
      </c>
      <c r="AU734" s="1" t="s">
        <v>13998</v>
      </c>
      <c r="AV734" s="1" t="s">
        <v>13999</v>
      </c>
      <c r="AW734" s="1" t="s">
        <v>82</v>
      </c>
      <c r="AX734" s="1" t="s">
        <v>82</v>
      </c>
      <c r="AY734" s="1" t="s">
        <v>13990</v>
      </c>
      <c r="AZ734" s="1" t="s">
        <v>14000</v>
      </c>
      <c r="BA734" s="1" t="s">
        <v>13490</v>
      </c>
      <c r="BB734" s="1">
        <v>2022</v>
      </c>
      <c r="BC734" s="1">
        <v>137</v>
      </c>
      <c r="BD734" s="1">
        <v>2</v>
      </c>
      <c r="BE734" s="1" t="s">
        <v>82</v>
      </c>
      <c r="BF734" s="1" t="s">
        <v>82</v>
      </c>
      <c r="BG734" s="1" t="s">
        <v>82</v>
      </c>
      <c r="BH734" s="1" t="s">
        <v>82</v>
      </c>
      <c r="BI734" s="1">
        <v>209</v>
      </c>
      <c r="BJ734" s="1">
        <v>219</v>
      </c>
      <c r="BK734" s="1" t="s">
        <v>82</v>
      </c>
      <c r="BL734" s="1" t="s">
        <v>14010</v>
      </c>
      <c r="BM734" s="1" t="str">
        <f>HYPERLINK("http://dx.doi.org/10.5248/137.209","http://dx.doi.org/10.5248/137.209")</f>
        <v>http://dx.doi.org/10.5248/137.209</v>
      </c>
      <c r="BN734" s="1" t="s">
        <v>82</v>
      </c>
      <c r="BO734" s="1" t="s">
        <v>82</v>
      </c>
      <c r="BP734" s="1">
        <v>11</v>
      </c>
      <c r="BQ734" s="1" t="s">
        <v>225</v>
      </c>
      <c r="BR734" s="1" t="s">
        <v>104</v>
      </c>
      <c r="BS734" s="1" t="s">
        <v>225</v>
      </c>
      <c r="BT734" s="1" t="s">
        <v>14002</v>
      </c>
      <c r="BU734" s="1" t="s">
        <v>82</v>
      </c>
      <c r="BV734" s="1" t="s">
        <v>268</v>
      </c>
      <c r="BW734" s="1" t="s">
        <v>82</v>
      </c>
      <c r="BX734" s="1" t="s">
        <v>82</v>
      </c>
      <c r="BY734" s="1" t="s">
        <v>108</v>
      </c>
      <c r="BZ734" s="1" t="s">
        <v>14011</v>
      </c>
      <c r="CA734" s="1" t="str">
        <f>HYPERLINK("https%3A%2F%2Fwww.webofscience.com%2Fwos%2Fwoscc%2Ffull-record%2FWOS:000842560600005","View Full Record in Web of Science")</f>
        <v>View Full Record in Web of Science</v>
      </c>
    </row>
    <row r="735" s="1" customFormat="1" ht="14.4" spans="1:79">
      <c r="A735">
        <v>734</v>
      </c>
      <c r="B735" s="2" t="s">
        <v>79</v>
      </c>
      <c r="C735" s="1" t="s">
        <v>80</v>
      </c>
      <c r="D735" s="1" t="s">
        <v>14012</v>
      </c>
      <c r="E735" s="1" t="s">
        <v>82</v>
      </c>
      <c r="F735" s="1" t="s">
        <v>82</v>
      </c>
      <c r="G735" s="1" t="s">
        <v>82</v>
      </c>
      <c r="H735" s="1" t="s">
        <v>14013</v>
      </c>
      <c r="I735" s="1" t="s">
        <v>82</v>
      </c>
      <c r="J735" s="1" t="s">
        <v>82</v>
      </c>
      <c r="K735" s="1" t="s">
        <v>14014</v>
      </c>
      <c r="L735" s="1" t="s">
        <v>13990</v>
      </c>
      <c r="M735" s="1">
        <v>0.545</v>
      </c>
      <c r="O735" s="1" t="s">
        <v>82</v>
      </c>
      <c r="P735" s="1" t="s">
        <v>82</v>
      </c>
      <c r="Q735" s="1" t="s">
        <v>87</v>
      </c>
      <c r="R735" s="1" t="s">
        <v>115</v>
      </c>
      <c r="S735" s="1" t="s">
        <v>82</v>
      </c>
      <c r="T735" s="1" t="s">
        <v>82</v>
      </c>
      <c r="U735" s="1" t="s">
        <v>82</v>
      </c>
      <c r="V735" s="1" t="s">
        <v>82</v>
      </c>
      <c r="W735" s="1" t="s">
        <v>82</v>
      </c>
      <c r="X735" s="1" t="s">
        <v>14015</v>
      </c>
      <c r="Y735" s="1" t="s">
        <v>14016</v>
      </c>
      <c r="Z735" s="1" t="s">
        <v>14017</v>
      </c>
      <c r="AB735" s="1" t="s">
        <v>14018</v>
      </c>
      <c r="AC735" s="1" t="s">
        <v>14019</v>
      </c>
      <c r="AD735" s="1" t="s">
        <v>206</v>
      </c>
      <c r="AE735" s="1" t="s">
        <v>4436</v>
      </c>
      <c r="AF735" s="1" t="s">
        <v>14020</v>
      </c>
      <c r="AG735" s="1" t="s">
        <v>4438</v>
      </c>
      <c r="AH735" s="1" t="s">
        <v>82</v>
      </c>
      <c r="AI735" s="1" t="s">
        <v>82</v>
      </c>
      <c r="AJ735" s="1" t="s">
        <v>82</v>
      </c>
      <c r="AK735" s="1" t="s">
        <v>82</v>
      </c>
      <c r="AL735" s="1" t="s">
        <v>82</v>
      </c>
      <c r="AM735" s="1" t="s">
        <v>82</v>
      </c>
      <c r="AN735" s="1">
        <v>23</v>
      </c>
      <c r="AO735" s="1">
        <v>0</v>
      </c>
      <c r="AP735" s="1">
        <v>0</v>
      </c>
      <c r="AQ735" s="1">
        <v>3</v>
      </c>
      <c r="AR735" s="1">
        <v>3</v>
      </c>
      <c r="AS735" s="1" t="s">
        <v>13996</v>
      </c>
      <c r="AT735" s="1" t="s">
        <v>13997</v>
      </c>
      <c r="AU735" s="1" t="s">
        <v>13998</v>
      </c>
      <c r="AV735" s="1" t="s">
        <v>13999</v>
      </c>
      <c r="AW735" s="1" t="s">
        <v>82</v>
      </c>
      <c r="AX735" s="1" t="s">
        <v>82</v>
      </c>
      <c r="AY735" s="1" t="s">
        <v>13990</v>
      </c>
      <c r="AZ735" s="1" t="s">
        <v>14000</v>
      </c>
      <c r="BA735" s="1" t="s">
        <v>13490</v>
      </c>
      <c r="BB735" s="1">
        <v>2022</v>
      </c>
      <c r="BC735" s="1">
        <v>137</v>
      </c>
      <c r="BD735" s="1">
        <v>2</v>
      </c>
      <c r="BE735" s="1" t="s">
        <v>82</v>
      </c>
      <c r="BF735" s="1" t="s">
        <v>82</v>
      </c>
      <c r="BG735" s="1" t="s">
        <v>82</v>
      </c>
      <c r="BH735" s="1" t="s">
        <v>82</v>
      </c>
      <c r="BI735" s="1">
        <v>261</v>
      </c>
      <c r="BJ735" s="1">
        <v>270</v>
      </c>
      <c r="BK735" s="1" t="s">
        <v>82</v>
      </c>
      <c r="BL735" s="1" t="s">
        <v>14021</v>
      </c>
      <c r="BM735" s="1" t="str">
        <f>HYPERLINK("http://dx.doi.org/10.5248/137.261","http://dx.doi.org/10.5248/137.261")</f>
        <v>http://dx.doi.org/10.5248/137.261</v>
      </c>
      <c r="BN735" s="1" t="s">
        <v>82</v>
      </c>
      <c r="BO735" s="1" t="s">
        <v>82</v>
      </c>
      <c r="BP735" s="1">
        <v>10</v>
      </c>
      <c r="BQ735" s="1" t="s">
        <v>225</v>
      </c>
      <c r="BR735" s="1" t="s">
        <v>104</v>
      </c>
      <c r="BS735" s="1" t="s">
        <v>225</v>
      </c>
      <c r="BT735" s="1" t="s">
        <v>14002</v>
      </c>
      <c r="BU735" s="1" t="s">
        <v>82</v>
      </c>
      <c r="BV735" s="1" t="s">
        <v>268</v>
      </c>
      <c r="BW735" s="1" t="s">
        <v>82</v>
      </c>
      <c r="BX735" s="1" t="s">
        <v>82</v>
      </c>
      <c r="BY735" s="1" t="s">
        <v>108</v>
      </c>
      <c r="BZ735" s="1" t="s">
        <v>14022</v>
      </c>
      <c r="CA735" s="1" t="str">
        <f>HYPERLINK("https%3A%2F%2Fwww.webofscience.com%2Fwos%2Fwoscc%2Ffull-record%2FWOS:000842560600011","View Full Record in Web of Science")</f>
        <v>View Full Record in Web of Science</v>
      </c>
    </row>
    <row r="736" s="1" customFormat="1" ht="14.4" spans="1:79">
      <c r="A736">
        <v>735</v>
      </c>
      <c r="B736" s="2" t="s">
        <v>79</v>
      </c>
      <c r="C736" s="1" t="s">
        <v>80</v>
      </c>
      <c r="D736" s="1" t="s">
        <v>14023</v>
      </c>
      <c r="E736" s="1" t="s">
        <v>82</v>
      </c>
      <c r="F736" s="1" t="s">
        <v>82</v>
      </c>
      <c r="G736" s="1" t="s">
        <v>82</v>
      </c>
      <c r="H736" s="1" t="s">
        <v>14024</v>
      </c>
      <c r="I736" s="1" t="s">
        <v>82</v>
      </c>
      <c r="J736" s="1" t="s">
        <v>82</v>
      </c>
      <c r="K736" s="1" t="s">
        <v>14025</v>
      </c>
      <c r="L736" s="1" t="s">
        <v>14026</v>
      </c>
      <c r="M736" s="1">
        <v>0.507</v>
      </c>
      <c r="O736" s="1" t="s">
        <v>82</v>
      </c>
      <c r="P736" s="1" t="s">
        <v>82</v>
      </c>
      <c r="Q736" s="1" t="s">
        <v>87</v>
      </c>
      <c r="R736" s="1" t="s">
        <v>115</v>
      </c>
      <c r="S736" s="1" t="s">
        <v>82</v>
      </c>
      <c r="T736" s="1" t="s">
        <v>82</v>
      </c>
      <c r="U736" s="1" t="s">
        <v>82</v>
      </c>
      <c r="V736" s="1" t="s">
        <v>82</v>
      </c>
      <c r="W736" s="1" t="s">
        <v>82</v>
      </c>
      <c r="X736" s="1" t="s">
        <v>14027</v>
      </c>
      <c r="Y736" s="1" t="s">
        <v>14028</v>
      </c>
      <c r="Z736" s="1" t="s">
        <v>14029</v>
      </c>
      <c r="AB736" s="1" t="s">
        <v>14030</v>
      </c>
      <c r="AC736" s="1" t="s">
        <v>14031</v>
      </c>
      <c r="AD736" s="1" t="s">
        <v>120</v>
      </c>
      <c r="AE736" s="1" t="s">
        <v>14032</v>
      </c>
      <c r="AF736" s="1" t="s">
        <v>14033</v>
      </c>
      <c r="AG736" s="1" t="s">
        <v>14034</v>
      </c>
      <c r="AH736" s="1" t="s">
        <v>82</v>
      </c>
      <c r="AI736" s="1" t="s">
        <v>82</v>
      </c>
      <c r="AJ736" s="1" t="s">
        <v>82</v>
      </c>
      <c r="AK736" s="1" t="s">
        <v>82</v>
      </c>
      <c r="AL736" s="1" t="s">
        <v>82</v>
      </c>
      <c r="AM736" s="1" t="s">
        <v>82</v>
      </c>
      <c r="AN736" s="1">
        <v>46</v>
      </c>
      <c r="AO736" s="1">
        <v>0</v>
      </c>
      <c r="AP736" s="1">
        <v>0</v>
      </c>
      <c r="AQ736" s="1">
        <v>10</v>
      </c>
      <c r="AR736" s="1">
        <v>10</v>
      </c>
      <c r="AS736" s="1" t="s">
        <v>14035</v>
      </c>
      <c r="AT736" s="1" t="s">
        <v>14036</v>
      </c>
      <c r="AU736" s="1" t="s">
        <v>14037</v>
      </c>
      <c r="AV736" s="1" t="s">
        <v>14038</v>
      </c>
      <c r="AW736" s="1" t="s">
        <v>82</v>
      </c>
      <c r="AX736" s="1" t="s">
        <v>82</v>
      </c>
      <c r="AY736" s="1" t="s">
        <v>14039</v>
      </c>
      <c r="AZ736" s="1" t="s">
        <v>14040</v>
      </c>
      <c r="BA736" s="1" t="s">
        <v>245</v>
      </c>
      <c r="BB736" s="1">
        <v>2022</v>
      </c>
      <c r="BC736" s="1">
        <v>49</v>
      </c>
      <c r="BD736" s="1">
        <v>3</v>
      </c>
      <c r="BE736" s="1" t="s">
        <v>82</v>
      </c>
      <c r="BF736" s="1" t="s">
        <v>82</v>
      </c>
      <c r="BG736" s="1" t="s">
        <v>170</v>
      </c>
      <c r="BH736" s="1" t="s">
        <v>82</v>
      </c>
      <c r="BI736" s="1">
        <v>730</v>
      </c>
      <c r="BJ736" s="1">
        <v>741</v>
      </c>
      <c r="BK736" s="1" t="s">
        <v>82</v>
      </c>
      <c r="BL736" s="1" t="s">
        <v>14041</v>
      </c>
      <c r="BM736" s="1" t="str">
        <f>HYPERLINK("http://dx.doi.org/10.12982/CMJS.2022.057","http://dx.doi.org/10.12982/CMJS.2022.057")</f>
        <v>http://dx.doi.org/10.12982/CMJS.2022.057</v>
      </c>
      <c r="BN736" s="1" t="s">
        <v>82</v>
      </c>
      <c r="BO736" s="1" t="s">
        <v>82</v>
      </c>
      <c r="BP736" s="1">
        <v>12</v>
      </c>
      <c r="BQ736" s="1" t="s">
        <v>103</v>
      </c>
      <c r="BR736" s="1" t="s">
        <v>104</v>
      </c>
      <c r="BS736" s="1" t="s">
        <v>105</v>
      </c>
      <c r="BT736" s="1" t="s">
        <v>14042</v>
      </c>
      <c r="BU736" s="1" t="s">
        <v>82</v>
      </c>
      <c r="BV736" s="1" t="s">
        <v>107</v>
      </c>
      <c r="BW736" s="1" t="s">
        <v>82</v>
      </c>
      <c r="BX736" s="1" t="s">
        <v>82</v>
      </c>
      <c r="BY736" s="1" t="s">
        <v>108</v>
      </c>
      <c r="BZ736" s="1" t="s">
        <v>14043</v>
      </c>
      <c r="CA736" s="1" t="str">
        <f>HYPERLINK("https%3A%2F%2Fwww.webofscience.com%2Fwos%2Fwoscc%2Ffull-record%2FWOS:000836149400001","View Full Record in Web of Science")</f>
        <v>View Full Record in Web of Science</v>
      </c>
    </row>
    <row r="737" s="1" customFormat="1" ht="14.4" spans="1:79">
      <c r="A737">
        <v>736</v>
      </c>
      <c r="B737" s="2" t="s">
        <v>79</v>
      </c>
      <c r="C737" s="1" t="s">
        <v>80</v>
      </c>
      <c r="D737" s="1" t="s">
        <v>14044</v>
      </c>
      <c r="E737" s="1" t="s">
        <v>82</v>
      </c>
      <c r="F737" s="1" t="s">
        <v>82</v>
      </c>
      <c r="G737" s="1" t="s">
        <v>82</v>
      </c>
      <c r="H737" s="1" t="s">
        <v>14045</v>
      </c>
      <c r="I737" s="1" t="s">
        <v>82</v>
      </c>
      <c r="J737" s="1" t="s">
        <v>82</v>
      </c>
      <c r="K737" s="1" t="s">
        <v>14046</v>
      </c>
      <c r="L737" s="1" t="s">
        <v>14026</v>
      </c>
      <c r="M737" s="1">
        <v>0.507</v>
      </c>
      <c r="O737" s="1" t="s">
        <v>82</v>
      </c>
      <c r="P737" s="1" t="s">
        <v>82</v>
      </c>
      <c r="Q737" s="1" t="s">
        <v>87</v>
      </c>
      <c r="R737" s="1" t="s">
        <v>115</v>
      </c>
      <c r="S737" s="1" t="s">
        <v>82</v>
      </c>
      <c r="T737" s="1" t="s">
        <v>82</v>
      </c>
      <c r="U737" s="1" t="s">
        <v>82</v>
      </c>
      <c r="V737" s="1" t="s">
        <v>82</v>
      </c>
      <c r="W737" s="1" t="s">
        <v>82</v>
      </c>
      <c r="X737" s="1" t="s">
        <v>14047</v>
      </c>
      <c r="Y737" s="1" t="s">
        <v>14048</v>
      </c>
      <c r="Z737" s="1" t="s">
        <v>14049</v>
      </c>
      <c r="AA737" s="1">
        <v>1</v>
      </c>
      <c r="AB737" s="1" t="s">
        <v>14050</v>
      </c>
      <c r="AC737" s="1" t="s">
        <v>14051</v>
      </c>
      <c r="AD737" s="1" t="s">
        <v>93</v>
      </c>
      <c r="AE737" s="1" t="s">
        <v>14052</v>
      </c>
      <c r="AF737" s="1" t="s">
        <v>14053</v>
      </c>
      <c r="AG737" s="1" t="s">
        <v>14054</v>
      </c>
      <c r="AH737" s="1" t="s">
        <v>801</v>
      </c>
      <c r="AI737" s="1" t="s">
        <v>802</v>
      </c>
      <c r="AJ737" s="1" t="s">
        <v>14055</v>
      </c>
      <c r="AK737" s="1" t="s">
        <v>14056</v>
      </c>
      <c r="AL737" s="1" t="s">
        <v>14057</v>
      </c>
      <c r="AM737" s="1" t="s">
        <v>82</v>
      </c>
      <c r="AN737" s="1">
        <v>33</v>
      </c>
      <c r="AO737" s="1">
        <v>0</v>
      </c>
      <c r="AP737" s="1">
        <v>0</v>
      </c>
      <c r="AQ737" s="1">
        <v>0</v>
      </c>
      <c r="AR737" s="1">
        <v>0</v>
      </c>
      <c r="AS737" s="1" t="s">
        <v>14035</v>
      </c>
      <c r="AT737" s="1" t="s">
        <v>14036</v>
      </c>
      <c r="AU737" s="1" t="s">
        <v>14037</v>
      </c>
      <c r="AV737" s="1" t="s">
        <v>14038</v>
      </c>
      <c r="AW737" s="1" t="s">
        <v>82</v>
      </c>
      <c r="AX737" s="1" t="s">
        <v>82</v>
      </c>
      <c r="AY737" s="1" t="s">
        <v>14039</v>
      </c>
      <c r="AZ737" s="1" t="s">
        <v>14040</v>
      </c>
      <c r="BA737" s="1" t="s">
        <v>245</v>
      </c>
      <c r="BB737" s="1">
        <v>2022</v>
      </c>
      <c r="BC737" s="1">
        <v>49</v>
      </c>
      <c r="BD737" s="1">
        <v>3</v>
      </c>
      <c r="BE737" s="1" t="s">
        <v>82</v>
      </c>
      <c r="BF737" s="1" t="s">
        <v>82</v>
      </c>
      <c r="BG737" s="1" t="s">
        <v>170</v>
      </c>
      <c r="BH737" s="1" t="s">
        <v>82</v>
      </c>
      <c r="BI737" s="1">
        <v>641</v>
      </c>
      <c r="BJ737" s="1">
        <v>653</v>
      </c>
      <c r="BK737" s="1" t="s">
        <v>82</v>
      </c>
      <c r="BL737" s="1" t="s">
        <v>14058</v>
      </c>
      <c r="BM737" s="1" t="str">
        <f>HYPERLINK("http://dx.doi.org/10.12982/CMJS.2022.051","http://dx.doi.org/10.12982/CMJS.2022.051")</f>
        <v>http://dx.doi.org/10.12982/CMJS.2022.051</v>
      </c>
      <c r="BN737" s="1" t="s">
        <v>82</v>
      </c>
      <c r="BO737" s="1" t="s">
        <v>82</v>
      </c>
      <c r="BP737" s="1">
        <v>13</v>
      </c>
      <c r="BQ737" s="1" t="s">
        <v>103</v>
      </c>
      <c r="BR737" s="1" t="s">
        <v>104</v>
      </c>
      <c r="BS737" s="1" t="s">
        <v>105</v>
      </c>
      <c r="BT737" s="1" t="s">
        <v>14059</v>
      </c>
      <c r="BU737" s="1" t="s">
        <v>82</v>
      </c>
      <c r="BV737" s="1" t="s">
        <v>107</v>
      </c>
      <c r="BW737" s="1" t="s">
        <v>82</v>
      </c>
      <c r="BX737" s="1" t="s">
        <v>82</v>
      </c>
      <c r="BY737" s="1" t="s">
        <v>108</v>
      </c>
      <c r="BZ737" s="1" t="s">
        <v>14060</v>
      </c>
      <c r="CA737" s="1" t="str">
        <f>HYPERLINK("https%3A%2F%2Fwww.webofscience.com%2Fwos%2Fwoscc%2Ffull-record%2FWOS:000835737500002","View Full Record in Web of Science")</f>
        <v>View Full Record in Web of Science</v>
      </c>
    </row>
    <row r="738" s="1" customFormat="1" ht="14.4" spans="1:79">
      <c r="A738">
        <v>737</v>
      </c>
      <c r="B738" s="2" t="s">
        <v>79</v>
      </c>
      <c r="C738" s="1" t="s">
        <v>80</v>
      </c>
      <c r="D738" s="1" t="s">
        <v>14061</v>
      </c>
      <c r="E738" s="1" t="s">
        <v>82</v>
      </c>
      <c r="F738" s="1" t="s">
        <v>82</v>
      </c>
      <c r="G738" s="1" t="s">
        <v>82</v>
      </c>
      <c r="H738" s="1" t="s">
        <v>14062</v>
      </c>
      <c r="I738" s="1" t="s">
        <v>82</v>
      </c>
      <c r="J738" s="1" t="s">
        <v>82</v>
      </c>
      <c r="K738" s="1" t="str">
        <f>HYPERLINK("https://gmsmushrooms.org/: A Comprehensive Online Database of Mushrooms in the Greater Mekong Sub Region","https://gmsmushrooms.org/: A Comprehensive Online Database of Mushrooms in the Greater Mekong Sub Region")</f>
        <v>https://gmsmushrooms.org/: A Comprehensive Online Database of Mushrooms in the Greater Mekong Sub Region</v>
      </c>
      <c r="L738" s="1" t="s">
        <v>14026</v>
      </c>
      <c r="M738" s="1">
        <v>0.507</v>
      </c>
      <c r="O738" s="1" t="s">
        <v>82</v>
      </c>
      <c r="P738" s="1" t="s">
        <v>82</v>
      </c>
      <c r="Q738" s="1" t="s">
        <v>87</v>
      </c>
      <c r="R738" s="1" t="s">
        <v>115</v>
      </c>
      <c r="S738" s="1" t="s">
        <v>82</v>
      </c>
      <c r="T738" s="1" t="s">
        <v>82</v>
      </c>
      <c r="U738" s="1" t="s">
        <v>82</v>
      </c>
      <c r="V738" s="1" t="s">
        <v>82</v>
      </c>
      <c r="W738" s="1" t="s">
        <v>82</v>
      </c>
      <c r="X738" s="1" t="s">
        <v>14063</v>
      </c>
      <c r="Y738" s="1" t="s">
        <v>14064</v>
      </c>
      <c r="Z738" s="1" t="s">
        <v>14065</v>
      </c>
      <c r="AB738" s="1" t="s">
        <v>14066</v>
      </c>
      <c r="AC738" s="1" t="s">
        <v>14067</v>
      </c>
      <c r="AD738" s="1" t="s">
        <v>206</v>
      </c>
      <c r="AE738" s="1" t="s">
        <v>14068</v>
      </c>
      <c r="AF738" s="1" t="s">
        <v>14069</v>
      </c>
      <c r="AG738" s="1" t="s">
        <v>14070</v>
      </c>
      <c r="AH738" s="1" t="s">
        <v>13155</v>
      </c>
      <c r="AI738" s="1" t="s">
        <v>82</v>
      </c>
      <c r="AJ738" s="1" t="s">
        <v>14071</v>
      </c>
      <c r="AK738" s="1" t="s">
        <v>14072</v>
      </c>
      <c r="AL738" s="1" t="s">
        <v>14073</v>
      </c>
      <c r="AM738" s="1" t="s">
        <v>82</v>
      </c>
      <c r="AN738" s="1">
        <v>25</v>
      </c>
      <c r="AO738" s="1">
        <v>0</v>
      </c>
      <c r="AP738" s="1">
        <v>0</v>
      </c>
      <c r="AQ738" s="1">
        <v>0</v>
      </c>
      <c r="AR738" s="1">
        <v>2</v>
      </c>
      <c r="AS738" s="1" t="s">
        <v>14035</v>
      </c>
      <c r="AT738" s="1" t="s">
        <v>14036</v>
      </c>
      <c r="AU738" s="1" t="s">
        <v>14037</v>
      </c>
      <c r="AV738" s="1" t="s">
        <v>14038</v>
      </c>
      <c r="AW738" s="1" t="s">
        <v>82</v>
      </c>
      <c r="AX738" s="1" t="s">
        <v>82</v>
      </c>
      <c r="AY738" s="1" t="s">
        <v>14039</v>
      </c>
      <c r="AZ738" s="1" t="s">
        <v>14040</v>
      </c>
      <c r="BA738" s="1" t="s">
        <v>245</v>
      </c>
      <c r="BB738" s="1">
        <v>2022</v>
      </c>
      <c r="BC738" s="1">
        <v>49</v>
      </c>
      <c r="BD738" s="1">
        <v>3</v>
      </c>
      <c r="BE738" s="1" t="s">
        <v>82</v>
      </c>
      <c r="BF738" s="1" t="s">
        <v>82</v>
      </c>
      <c r="BG738" s="1" t="s">
        <v>170</v>
      </c>
      <c r="BH738" s="1" t="s">
        <v>82</v>
      </c>
      <c r="BI738" s="1">
        <v>538</v>
      </c>
      <c r="BJ738" s="1">
        <v>550</v>
      </c>
      <c r="BK738" s="1" t="s">
        <v>82</v>
      </c>
      <c r="BL738" s="1" t="s">
        <v>14074</v>
      </c>
      <c r="BM738" s="1" t="str">
        <f>HYPERLINK("http://dx.doi.org/10.12982/CMJS.2022.045","http://dx.doi.org/10.12982/CMJS.2022.045")</f>
        <v>http://dx.doi.org/10.12982/CMJS.2022.045</v>
      </c>
      <c r="BN738" s="1" t="s">
        <v>82</v>
      </c>
      <c r="BO738" s="1" t="s">
        <v>82</v>
      </c>
      <c r="BP738" s="1">
        <v>13</v>
      </c>
      <c r="BQ738" s="1" t="s">
        <v>103</v>
      </c>
      <c r="BR738" s="1" t="s">
        <v>104</v>
      </c>
      <c r="BS738" s="1" t="s">
        <v>105</v>
      </c>
      <c r="BT738" s="1" t="s">
        <v>14075</v>
      </c>
      <c r="BU738" s="1" t="s">
        <v>82</v>
      </c>
      <c r="BV738" s="1" t="s">
        <v>107</v>
      </c>
      <c r="BW738" s="1" t="s">
        <v>82</v>
      </c>
      <c r="BX738" s="1" t="s">
        <v>82</v>
      </c>
      <c r="BY738" s="1" t="s">
        <v>108</v>
      </c>
      <c r="BZ738" s="1" t="s">
        <v>14076</v>
      </c>
      <c r="CA738" s="1" t="str">
        <f>HYPERLINK("https%3A%2F%2Fwww.webofscience.com%2Fwos%2Fwoscc%2Ffull-record%2FWOS:000809258100002","View Full Record in Web of Science")</f>
        <v>View Full Record in Web of Science</v>
      </c>
    </row>
    <row r="739" s="1" customFormat="1" ht="14.4" spans="1:79">
      <c r="A739">
        <v>738</v>
      </c>
      <c r="B739" s="2" t="s">
        <v>79</v>
      </c>
      <c r="C739" s="1" t="s">
        <v>80</v>
      </c>
      <c r="D739" s="1" t="s">
        <v>14077</v>
      </c>
      <c r="E739" s="1" t="s">
        <v>82</v>
      </c>
      <c r="F739" s="1" t="s">
        <v>82</v>
      </c>
      <c r="G739" s="1" t="s">
        <v>82</v>
      </c>
      <c r="H739" s="1" t="s">
        <v>14078</v>
      </c>
      <c r="I739" s="1" t="s">
        <v>82</v>
      </c>
      <c r="J739" s="1" t="s">
        <v>82</v>
      </c>
      <c r="K739" s="1" t="s">
        <v>14079</v>
      </c>
      <c r="L739" s="1" t="s">
        <v>14026</v>
      </c>
      <c r="M739" s="1">
        <v>0.507</v>
      </c>
      <c r="O739" s="1" t="s">
        <v>82</v>
      </c>
      <c r="P739" s="1" t="s">
        <v>82</v>
      </c>
      <c r="Q739" s="1" t="s">
        <v>87</v>
      </c>
      <c r="R739" s="1" t="s">
        <v>115</v>
      </c>
      <c r="S739" s="1" t="s">
        <v>82</v>
      </c>
      <c r="T739" s="1" t="s">
        <v>82</v>
      </c>
      <c r="U739" s="1" t="s">
        <v>82</v>
      </c>
      <c r="V739" s="1" t="s">
        <v>82</v>
      </c>
      <c r="W739" s="1" t="s">
        <v>82</v>
      </c>
      <c r="X739" s="1" t="s">
        <v>14080</v>
      </c>
      <c r="Y739" s="1" t="s">
        <v>14081</v>
      </c>
      <c r="Z739" s="1" t="s">
        <v>14082</v>
      </c>
      <c r="AB739" s="1" t="s">
        <v>14083</v>
      </c>
      <c r="AC739" s="1" t="s">
        <v>14084</v>
      </c>
      <c r="AD739" s="1" t="s">
        <v>120</v>
      </c>
      <c r="AE739" s="1" t="s">
        <v>14085</v>
      </c>
      <c r="AF739" s="1" t="s">
        <v>14086</v>
      </c>
      <c r="AG739" s="1" t="s">
        <v>9984</v>
      </c>
      <c r="AH739" s="1" t="s">
        <v>14087</v>
      </c>
      <c r="AI739" s="1" t="s">
        <v>14088</v>
      </c>
      <c r="AJ739" s="1" t="s">
        <v>14089</v>
      </c>
      <c r="AK739" s="1" t="s">
        <v>14090</v>
      </c>
      <c r="AL739" s="1" t="s">
        <v>14091</v>
      </c>
      <c r="AM739" s="1" t="s">
        <v>82</v>
      </c>
      <c r="AN739" s="1">
        <v>32</v>
      </c>
      <c r="AO739" s="1">
        <v>0</v>
      </c>
      <c r="AP739" s="1">
        <v>0</v>
      </c>
      <c r="AQ739" s="1">
        <v>0</v>
      </c>
      <c r="AR739" s="1">
        <v>0</v>
      </c>
      <c r="AS739" s="1" t="s">
        <v>14035</v>
      </c>
      <c r="AT739" s="1" t="s">
        <v>14036</v>
      </c>
      <c r="AU739" s="1" t="s">
        <v>14037</v>
      </c>
      <c r="AV739" s="1" t="s">
        <v>14038</v>
      </c>
      <c r="AW739" s="1" t="s">
        <v>82</v>
      </c>
      <c r="AX739" s="1" t="s">
        <v>82</v>
      </c>
      <c r="AY739" s="1" t="s">
        <v>14039</v>
      </c>
      <c r="AZ739" s="1" t="s">
        <v>14040</v>
      </c>
      <c r="BA739" s="1" t="s">
        <v>245</v>
      </c>
      <c r="BB739" s="1">
        <v>2022</v>
      </c>
      <c r="BC739" s="1">
        <v>49</v>
      </c>
      <c r="BD739" s="1">
        <v>3</v>
      </c>
      <c r="BE739" s="1" t="s">
        <v>82</v>
      </c>
      <c r="BF739" s="1" t="s">
        <v>82</v>
      </c>
      <c r="BG739" s="1" t="s">
        <v>170</v>
      </c>
      <c r="BH739" s="1" t="s">
        <v>82</v>
      </c>
      <c r="BI739" s="1">
        <v>581</v>
      </c>
      <c r="BJ739" s="1">
        <v>597</v>
      </c>
      <c r="BK739" s="1" t="s">
        <v>82</v>
      </c>
      <c r="BL739" s="1" t="s">
        <v>14092</v>
      </c>
      <c r="BM739" s="1" t="str">
        <f>HYPERLINK("http://dx.doi.org/10.12982/CMJS.2022.048","http://dx.doi.org/10.12982/CMJS.2022.048")</f>
        <v>http://dx.doi.org/10.12982/CMJS.2022.048</v>
      </c>
      <c r="BN739" s="1" t="s">
        <v>82</v>
      </c>
      <c r="BO739" s="1" t="s">
        <v>82</v>
      </c>
      <c r="BP739" s="1">
        <v>17</v>
      </c>
      <c r="BQ739" s="1" t="s">
        <v>103</v>
      </c>
      <c r="BR739" s="1" t="s">
        <v>104</v>
      </c>
      <c r="BS739" s="1" t="s">
        <v>105</v>
      </c>
      <c r="BT739" s="1" t="s">
        <v>14075</v>
      </c>
      <c r="BU739" s="1" t="s">
        <v>82</v>
      </c>
      <c r="BV739" s="1" t="s">
        <v>107</v>
      </c>
      <c r="BW739" s="1" t="s">
        <v>82</v>
      </c>
      <c r="BX739" s="1" t="s">
        <v>82</v>
      </c>
      <c r="BY739" s="1" t="s">
        <v>108</v>
      </c>
      <c r="BZ739" s="1" t="s">
        <v>14093</v>
      </c>
      <c r="CA739" s="1" t="str">
        <f>HYPERLINK("https%3A%2F%2Fwww.webofscience.com%2Fwos%2Fwoscc%2Ffull-record%2FWOS:000809258100005","View Full Record in Web of Science")</f>
        <v>View Full Record in Web of Science</v>
      </c>
    </row>
    <row r="740" s="1" customFormat="1" ht="14.4" spans="1:79">
      <c r="A740">
        <v>739</v>
      </c>
      <c r="B740" s="2" t="s">
        <v>79</v>
      </c>
      <c r="C740" s="1" t="s">
        <v>80</v>
      </c>
      <c r="D740" s="1" t="s">
        <v>14094</v>
      </c>
      <c r="E740" s="1" t="s">
        <v>82</v>
      </c>
      <c r="F740" s="1" t="s">
        <v>82</v>
      </c>
      <c r="G740" s="1" t="s">
        <v>82</v>
      </c>
      <c r="H740" s="1" t="s">
        <v>14095</v>
      </c>
      <c r="I740" s="1" t="s">
        <v>82</v>
      </c>
      <c r="J740" s="1" t="s">
        <v>82</v>
      </c>
      <c r="K740" s="1" t="s">
        <v>14096</v>
      </c>
      <c r="L740" s="1" t="s">
        <v>14026</v>
      </c>
      <c r="M740" s="1">
        <v>0.507</v>
      </c>
      <c r="O740" s="1" t="s">
        <v>82</v>
      </c>
      <c r="P740" s="1" t="s">
        <v>82</v>
      </c>
      <c r="Q740" s="1" t="s">
        <v>87</v>
      </c>
      <c r="R740" s="1" t="s">
        <v>200</v>
      </c>
      <c r="S740" s="1" t="s">
        <v>82</v>
      </c>
      <c r="T740" s="1" t="s">
        <v>82</v>
      </c>
      <c r="U740" s="1" t="s">
        <v>82</v>
      </c>
      <c r="V740" s="1" t="s">
        <v>82</v>
      </c>
      <c r="W740" s="1" t="s">
        <v>82</v>
      </c>
      <c r="X740" s="1" t="s">
        <v>14097</v>
      </c>
      <c r="Y740" s="1" t="s">
        <v>14098</v>
      </c>
      <c r="Z740" s="1" t="s">
        <v>14099</v>
      </c>
      <c r="AB740" s="1" t="s">
        <v>14030</v>
      </c>
      <c r="AC740" s="1" t="s">
        <v>14100</v>
      </c>
      <c r="AD740" s="1" t="s">
        <v>120</v>
      </c>
      <c r="AE740" s="1" t="s">
        <v>14101</v>
      </c>
      <c r="AF740" s="1" t="s">
        <v>14102</v>
      </c>
      <c r="AG740" s="1" t="s">
        <v>14103</v>
      </c>
      <c r="AH740" s="1" t="s">
        <v>82</v>
      </c>
      <c r="AI740" s="1" t="s">
        <v>82</v>
      </c>
      <c r="AJ740" s="1" t="s">
        <v>82</v>
      </c>
      <c r="AK740" s="1" t="s">
        <v>82</v>
      </c>
      <c r="AL740" s="1" t="s">
        <v>82</v>
      </c>
      <c r="AM740" s="1" t="s">
        <v>82</v>
      </c>
      <c r="AN740" s="1">
        <v>53</v>
      </c>
      <c r="AO740" s="1">
        <v>0</v>
      </c>
      <c r="AP740" s="1">
        <v>0</v>
      </c>
      <c r="AQ740" s="1">
        <v>19</v>
      </c>
      <c r="AR740" s="1">
        <v>23</v>
      </c>
      <c r="AS740" s="1" t="s">
        <v>14035</v>
      </c>
      <c r="AT740" s="1" t="s">
        <v>14036</v>
      </c>
      <c r="AU740" s="1" t="s">
        <v>14037</v>
      </c>
      <c r="AV740" s="1" t="s">
        <v>14038</v>
      </c>
      <c r="AW740" s="1" t="s">
        <v>82</v>
      </c>
      <c r="AX740" s="1" t="s">
        <v>82</v>
      </c>
      <c r="AY740" s="1" t="s">
        <v>14039</v>
      </c>
      <c r="AZ740" s="1" t="s">
        <v>14040</v>
      </c>
      <c r="BA740" s="1" t="s">
        <v>245</v>
      </c>
      <c r="BB740" s="1">
        <v>2022</v>
      </c>
      <c r="BC740" s="1">
        <v>49</v>
      </c>
      <c r="BD740" s="1">
        <v>3</v>
      </c>
      <c r="BE740" s="1" t="s">
        <v>82</v>
      </c>
      <c r="BF740" s="1" t="s">
        <v>82</v>
      </c>
      <c r="BG740" s="1" t="s">
        <v>170</v>
      </c>
      <c r="BH740" s="1" t="s">
        <v>82</v>
      </c>
      <c r="BI740" s="1">
        <v>598</v>
      </c>
      <c r="BJ740" s="1">
        <v>607</v>
      </c>
      <c r="BK740" s="1" t="s">
        <v>82</v>
      </c>
      <c r="BL740" s="1" t="s">
        <v>14104</v>
      </c>
      <c r="BM740" s="1" t="str">
        <f>HYPERLINK("http://dx.doi.org/10.12982/CMJS.2022.049","http://dx.doi.org/10.12982/CMJS.2022.049")</f>
        <v>http://dx.doi.org/10.12982/CMJS.2022.049</v>
      </c>
      <c r="BN740" s="1" t="s">
        <v>82</v>
      </c>
      <c r="BO740" s="1" t="s">
        <v>82</v>
      </c>
      <c r="BP740" s="1">
        <v>10</v>
      </c>
      <c r="BQ740" s="1" t="s">
        <v>103</v>
      </c>
      <c r="BR740" s="1" t="s">
        <v>104</v>
      </c>
      <c r="BS740" s="1" t="s">
        <v>105</v>
      </c>
      <c r="BT740" s="1" t="s">
        <v>14075</v>
      </c>
      <c r="BU740" s="1" t="s">
        <v>82</v>
      </c>
      <c r="BV740" s="1" t="s">
        <v>107</v>
      </c>
      <c r="BW740" s="1" t="s">
        <v>82</v>
      </c>
      <c r="BX740" s="1" t="s">
        <v>82</v>
      </c>
      <c r="BY740" s="1" t="s">
        <v>108</v>
      </c>
      <c r="BZ740" s="1" t="s">
        <v>14105</v>
      </c>
      <c r="CA740" s="1" t="str">
        <f>HYPERLINK("https%3A%2F%2Fwww.webofscience.com%2Fwos%2Fwoscc%2Ffull-record%2FWOS:000809258100006","View Full Record in Web of Science")</f>
        <v>View Full Record in Web of Science</v>
      </c>
    </row>
    <row r="741" s="1" customFormat="1" ht="14.4" spans="1:79">
      <c r="A741">
        <v>740</v>
      </c>
      <c r="B741" s="2" t="s">
        <v>79</v>
      </c>
      <c r="C741" s="1" t="s">
        <v>80</v>
      </c>
      <c r="D741" s="1" t="s">
        <v>14106</v>
      </c>
      <c r="E741" s="1" t="s">
        <v>82</v>
      </c>
      <c r="F741" s="1" t="s">
        <v>82</v>
      </c>
      <c r="G741" s="1" t="s">
        <v>82</v>
      </c>
      <c r="H741" s="1" t="s">
        <v>14107</v>
      </c>
      <c r="I741" s="1" t="s">
        <v>82</v>
      </c>
      <c r="J741" s="1" t="s">
        <v>82</v>
      </c>
      <c r="K741" s="1" t="s">
        <v>14108</v>
      </c>
      <c r="L741" s="1" t="s">
        <v>14026</v>
      </c>
      <c r="M741" s="1">
        <v>0.507</v>
      </c>
      <c r="O741" s="1" t="s">
        <v>82</v>
      </c>
      <c r="P741" s="1" t="s">
        <v>82</v>
      </c>
      <c r="Q741" s="1" t="s">
        <v>87</v>
      </c>
      <c r="R741" s="1" t="s">
        <v>115</v>
      </c>
      <c r="S741" s="1" t="s">
        <v>82</v>
      </c>
      <c r="T741" s="1" t="s">
        <v>82</v>
      </c>
      <c r="U741" s="1" t="s">
        <v>82</v>
      </c>
      <c r="V741" s="1" t="s">
        <v>82</v>
      </c>
      <c r="W741" s="1" t="s">
        <v>82</v>
      </c>
      <c r="X741" s="1" t="s">
        <v>14109</v>
      </c>
      <c r="Y741" s="1" t="s">
        <v>14110</v>
      </c>
      <c r="Z741" s="1" t="s">
        <v>14111</v>
      </c>
      <c r="AB741" s="1" t="s">
        <v>14112</v>
      </c>
      <c r="AC741" s="1" t="s">
        <v>14113</v>
      </c>
      <c r="AD741" s="1" t="s">
        <v>120</v>
      </c>
      <c r="AE741" s="1" t="s">
        <v>14114</v>
      </c>
      <c r="AF741" s="1" t="s">
        <v>14115</v>
      </c>
      <c r="AG741" s="1" t="s">
        <v>14116</v>
      </c>
      <c r="AH741" s="1" t="s">
        <v>14117</v>
      </c>
      <c r="AI741" s="1" t="s">
        <v>14118</v>
      </c>
      <c r="AJ741" s="1" t="s">
        <v>14119</v>
      </c>
      <c r="AK741" s="1" t="s">
        <v>14120</v>
      </c>
      <c r="AL741" s="1" t="s">
        <v>14121</v>
      </c>
      <c r="AM741" s="1" t="s">
        <v>82</v>
      </c>
      <c r="AN741" s="1">
        <v>57</v>
      </c>
      <c r="AO741" s="1">
        <v>0</v>
      </c>
      <c r="AP741" s="1">
        <v>1</v>
      </c>
      <c r="AQ741" s="1">
        <v>5</v>
      </c>
      <c r="AR741" s="1">
        <v>7</v>
      </c>
      <c r="AS741" s="1" t="s">
        <v>14035</v>
      </c>
      <c r="AT741" s="1" t="s">
        <v>14036</v>
      </c>
      <c r="AU741" s="1" t="s">
        <v>14037</v>
      </c>
      <c r="AV741" s="1" t="s">
        <v>14038</v>
      </c>
      <c r="AW741" s="1" t="s">
        <v>82</v>
      </c>
      <c r="AX741" s="1" t="s">
        <v>82</v>
      </c>
      <c r="AY741" s="1" t="s">
        <v>14039</v>
      </c>
      <c r="AZ741" s="1" t="s">
        <v>14040</v>
      </c>
      <c r="BA741" s="1" t="s">
        <v>2145</v>
      </c>
      <c r="BB741" s="1">
        <v>2022</v>
      </c>
      <c r="BC741" s="1">
        <v>49</v>
      </c>
      <c r="BD741" s="1">
        <v>2</v>
      </c>
      <c r="BE741" s="1" t="s">
        <v>82</v>
      </c>
      <c r="BF741" s="1" t="s">
        <v>82</v>
      </c>
      <c r="BG741" s="1" t="s">
        <v>82</v>
      </c>
      <c r="BH741" s="1" t="s">
        <v>82</v>
      </c>
      <c r="BI741" s="1">
        <v>223</v>
      </c>
      <c r="BJ741" s="1">
        <v>247</v>
      </c>
      <c r="BK741" s="1" t="s">
        <v>82</v>
      </c>
      <c r="BL741" s="1" t="s">
        <v>14122</v>
      </c>
      <c r="BM741" s="1" t="str">
        <f>HYPERLINK("http://dx.doi.org/10.12982/CMJS.2022.028","http://dx.doi.org/10.12982/CMJS.2022.028")</f>
        <v>http://dx.doi.org/10.12982/CMJS.2022.028</v>
      </c>
      <c r="BN741" s="1" t="s">
        <v>82</v>
      </c>
      <c r="BO741" s="1" t="s">
        <v>82</v>
      </c>
      <c r="BP741" s="1">
        <v>25</v>
      </c>
      <c r="BQ741" s="1" t="s">
        <v>103</v>
      </c>
      <c r="BR741" s="1" t="s">
        <v>104</v>
      </c>
      <c r="BS741" s="1" t="s">
        <v>105</v>
      </c>
      <c r="BT741" s="1" t="s">
        <v>14123</v>
      </c>
      <c r="BU741" s="1" t="s">
        <v>82</v>
      </c>
      <c r="BV741" s="1" t="s">
        <v>107</v>
      </c>
      <c r="BW741" s="1" t="s">
        <v>82</v>
      </c>
      <c r="BX741" s="1" t="s">
        <v>82</v>
      </c>
      <c r="BY741" s="1" t="s">
        <v>108</v>
      </c>
      <c r="BZ741" s="1" t="s">
        <v>14124</v>
      </c>
      <c r="CA741" s="1" t="str">
        <f>HYPERLINK("https%3A%2F%2Fwww.webofscience.com%2Fwos%2Fwoscc%2Ffull-record%2FWOS:000784434600001","View Full Record in Web of Science")</f>
        <v>View Full Record in Web of Science</v>
      </c>
    </row>
    <row r="742" s="1" customFormat="1" ht="14.4" spans="1:79">
      <c r="A742">
        <v>741</v>
      </c>
      <c r="B742" s="2" t="s">
        <v>79</v>
      </c>
      <c r="C742" s="1" t="s">
        <v>80</v>
      </c>
      <c r="D742" s="1" t="s">
        <v>14125</v>
      </c>
      <c r="E742" s="1" t="s">
        <v>82</v>
      </c>
      <c r="F742" s="1" t="s">
        <v>82</v>
      </c>
      <c r="G742" s="1" t="s">
        <v>82</v>
      </c>
      <c r="H742" s="1" t="s">
        <v>14126</v>
      </c>
      <c r="I742" s="1" t="s">
        <v>82</v>
      </c>
      <c r="J742" s="1" t="s">
        <v>82</v>
      </c>
      <c r="K742" s="1" t="s">
        <v>14127</v>
      </c>
      <c r="L742" s="1" t="s">
        <v>14026</v>
      </c>
      <c r="M742" s="1">
        <v>0.507</v>
      </c>
      <c r="O742" s="1" t="s">
        <v>82</v>
      </c>
      <c r="P742" s="1" t="s">
        <v>82</v>
      </c>
      <c r="Q742" s="1" t="s">
        <v>87</v>
      </c>
      <c r="R742" s="1" t="s">
        <v>200</v>
      </c>
      <c r="S742" s="1" t="s">
        <v>82</v>
      </c>
      <c r="T742" s="1" t="s">
        <v>82</v>
      </c>
      <c r="U742" s="1" t="s">
        <v>82</v>
      </c>
      <c r="V742" s="1" t="s">
        <v>82</v>
      </c>
      <c r="W742" s="1" t="s">
        <v>82</v>
      </c>
      <c r="X742" s="1" t="s">
        <v>14128</v>
      </c>
      <c r="Y742" s="1" t="s">
        <v>14129</v>
      </c>
      <c r="Z742" s="1" t="s">
        <v>14130</v>
      </c>
      <c r="AB742" s="1" t="s">
        <v>14131</v>
      </c>
      <c r="AC742" s="1" t="s">
        <v>14132</v>
      </c>
      <c r="AD742" s="1" t="s">
        <v>120</v>
      </c>
      <c r="AE742" s="1" t="s">
        <v>14133</v>
      </c>
      <c r="AF742" s="1" t="s">
        <v>14134</v>
      </c>
      <c r="AG742" s="1" t="s">
        <v>14135</v>
      </c>
      <c r="AH742" s="1" t="s">
        <v>14136</v>
      </c>
      <c r="AI742" s="1" t="s">
        <v>82</v>
      </c>
      <c r="AJ742" s="1" t="s">
        <v>14137</v>
      </c>
      <c r="AK742" s="1" t="s">
        <v>14138</v>
      </c>
      <c r="AL742" s="1" t="s">
        <v>14139</v>
      </c>
      <c r="AM742" s="1" t="s">
        <v>82</v>
      </c>
      <c r="AN742" s="1">
        <v>97</v>
      </c>
      <c r="AO742" s="1">
        <v>0</v>
      </c>
      <c r="AP742" s="1">
        <v>1</v>
      </c>
      <c r="AQ742" s="1">
        <v>4</v>
      </c>
      <c r="AR742" s="1">
        <v>5</v>
      </c>
      <c r="AS742" s="1" t="s">
        <v>14035</v>
      </c>
      <c r="AT742" s="1" t="s">
        <v>14036</v>
      </c>
      <c r="AU742" s="1" t="s">
        <v>14037</v>
      </c>
      <c r="AV742" s="1" t="s">
        <v>14038</v>
      </c>
      <c r="AW742" s="1" t="s">
        <v>82</v>
      </c>
      <c r="AX742" s="1" t="s">
        <v>82</v>
      </c>
      <c r="AY742" s="1" t="s">
        <v>14039</v>
      </c>
      <c r="AZ742" s="1" t="s">
        <v>14040</v>
      </c>
      <c r="BA742" s="1" t="s">
        <v>2145</v>
      </c>
      <c r="BB742" s="1">
        <v>2022</v>
      </c>
      <c r="BC742" s="1">
        <v>49</v>
      </c>
      <c r="BD742" s="1">
        <v>2</v>
      </c>
      <c r="BE742" s="1" t="s">
        <v>82</v>
      </c>
      <c r="BF742" s="1" t="s">
        <v>82</v>
      </c>
      <c r="BG742" s="1" t="s">
        <v>82</v>
      </c>
      <c r="BH742" s="1" t="s">
        <v>82</v>
      </c>
      <c r="BI742" s="1">
        <v>248</v>
      </c>
      <c r="BJ742" s="1">
        <v>271</v>
      </c>
      <c r="BK742" s="1" t="s">
        <v>82</v>
      </c>
      <c r="BL742" s="1" t="s">
        <v>14140</v>
      </c>
      <c r="BM742" s="1" t="str">
        <f>HYPERLINK("http://dx.doi.org/10.12982/CMJS.2022.027","http://dx.doi.org/10.12982/CMJS.2022.027")</f>
        <v>http://dx.doi.org/10.12982/CMJS.2022.027</v>
      </c>
      <c r="BN742" s="1" t="s">
        <v>82</v>
      </c>
      <c r="BO742" s="1" t="s">
        <v>82</v>
      </c>
      <c r="BP742" s="1">
        <v>24</v>
      </c>
      <c r="BQ742" s="1" t="s">
        <v>103</v>
      </c>
      <c r="BR742" s="1" t="s">
        <v>104</v>
      </c>
      <c r="BS742" s="1" t="s">
        <v>105</v>
      </c>
      <c r="BT742" s="1" t="s">
        <v>14123</v>
      </c>
      <c r="BU742" s="1" t="s">
        <v>82</v>
      </c>
      <c r="BV742" s="1" t="s">
        <v>107</v>
      </c>
      <c r="BW742" s="1" t="s">
        <v>82</v>
      </c>
      <c r="BX742" s="1" t="s">
        <v>82</v>
      </c>
      <c r="BY742" s="1" t="s">
        <v>108</v>
      </c>
      <c r="BZ742" s="1" t="s">
        <v>14141</v>
      </c>
      <c r="CA742" s="1" t="str">
        <f>HYPERLINK("https%3A%2F%2Fwww.webofscience.com%2Fwos%2Fwoscc%2Ffull-record%2FWOS:000784434600002","View Full Record in Web of Science")</f>
        <v>View Full Record in Web of Science</v>
      </c>
    </row>
    <row r="743" s="1" customFormat="1" spans="1:1">
      <c r="A743" s="2"/>
    </row>
    <row r="744" s="1" customFormat="1" spans="1:1">
      <c r="A744" s="2"/>
    </row>
    <row r="745" s="1" customFormat="1" spans="1:1">
      <c r="A745" s="2"/>
    </row>
    <row r="746" s="1" customFormat="1" spans="1:1">
      <c r="A746" s="2"/>
    </row>
    <row r="747" s="1" customFormat="1" spans="1:1">
      <c r="A747" s="2"/>
    </row>
    <row r="748" s="1" customFormat="1" spans="1:1">
      <c r="A748" s="2"/>
    </row>
    <row r="749" s="1" customFormat="1" spans="1:1">
      <c r="A749" s="2"/>
    </row>
    <row r="750" s="1" customFormat="1" spans="1:1">
      <c r="A750" s="2"/>
    </row>
    <row r="751" s="1" customFormat="1" spans="1:1">
      <c r="A751" s="2"/>
    </row>
    <row r="752" s="1" customFormat="1" spans="1:1">
      <c r="A752" s="2"/>
    </row>
    <row r="753" s="1" customFormat="1" spans="1:1">
      <c r="A753" s="2"/>
    </row>
    <row r="754" s="1" customFormat="1" spans="1:1">
      <c r="A754" s="2"/>
    </row>
    <row r="755" s="1" customFormat="1" spans="1:1">
      <c r="A755" s="2"/>
    </row>
  </sheetData>
  <sortState ref="A2:CA755">
    <sortCondition ref="M2" descending="1"/>
  </sortState>
  <conditionalFormatting sqref="K1 K13:K65547">
    <cfRule type="duplicateValues" dxfId="0" priority="1"/>
    <cfRule type="duplicateValues" dxfId="0" priority="2"/>
  </conditionalFormatting>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昌昌的小蚂螂</cp:lastModifiedBy>
  <dcterms:created xsi:type="dcterms:W3CDTF">2023-02-22T03:50:00Z</dcterms:created>
  <dcterms:modified xsi:type="dcterms:W3CDTF">2023-05-17T02:58:07Z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A86DDEB25DB84EE698A228DCD17023D6</vt:lpwstr>
  </property>
  <property fmtid="{D5CDD505-2E9C-101B-9397-08002B2CF9AE}" pid="3" name="KSOProductBuildVer">
    <vt:lpwstr>2052-11.1.0.14309</vt:lpwstr>
  </property>
</Properties>
</file>